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Mode="manual"/>
</workbook>
</file>

<file path=xl/calcChain.xml><?xml version="1.0" encoding="utf-8"?>
<calcChain xmlns="http://schemas.openxmlformats.org/spreadsheetml/2006/main">
  <c r="I62" i="78" l="1"/>
  <c r="I63" i="78"/>
  <c r="I64" i="78"/>
  <c r="I65" i="78"/>
  <c r="I66" i="78"/>
  <c r="I67" i="78"/>
  <c r="I68" i="78"/>
  <c r="I69" i="78"/>
  <c r="I70" i="78"/>
  <c r="I71" i="78"/>
  <c r="I72" i="78"/>
  <c r="I73" i="78"/>
  <c r="I74" i="78"/>
  <c r="I75" i="78"/>
  <c r="I76" i="78"/>
  <c r="I77" i="78"/>
  <c r="I78" i="78"/>
  <c r="I79" i="78"/>
  <c r="I80" i="78"/>
  <c r="I81" i="78"/>
  <c r="I82" i="78"/>
  <c r="I83" i="78"/>
  <c r="I84" i="78"/>
  <c r="I61" i="78"/>
  <c r="G62" i="78"/>
  <c r="G63" i="78"/>
  <c r="G64" i="78"/>
  <c r="G65" i="78"/>
  <c r="G66" i="78"/>
  <c r="G67" i="78"/>
  <c r="G68" i="78"/>
  <c r="G69" i="78"/>
  <c r="G70" i="78"/>
  <c r="G71" i="78"/>
  <c r="G72" i="78"/>
  <c r="G73" i="78"/>
  <c r="G74" i="78"/>
  <c r="G75" i="78"/>
  <c r="G76" i="78"/>
  <c r="G77" i="78"/>
  <c r="G78" i="78"/>
  <c r="G79" i="78"/>
  <c r="G80" i="78"/>
  <c r="G81" i="78"/>
  <c r="G82" i="78"/>
  <c r="G83" i="78"/>
  <c r="G84" i="78"/>
  <c r="G61" i="78"/>
  <c r="E62" i="78"/>
  <c r="E63" i="78"/>
  <c r="E64" i="78"/>
  <c r="E65" i="78"/>
  <c r="E66" i="78"/>
  <c r="E67" i="78"/>
  <c r="E68" i="78"/>
  <c r="E69" i="78"/>
  <c r="E70" i="78"/>
  <c r="E71" i="78"/>
  <c r="E72" i="78"/>
  <c r="E73" i="78"/>
  <c r="E74" i="78"/>
  <c r="E75" i="78"/>
  <c r="E76" i="78"/>
  <c r="E77" i="78"/>
  <c r="E78" i="78"/>
  <c r="E79" i="78"/>
  <c r="E80" i="78"/>
  <c r="E81" i="78"/>
  <c r="E82" i="78"/>
  <c r="E83" i="78"/>
  <c r="E84" i="78"/>
  <c r="E61" i="78"/>
  <c r="C48" i="78"/>
  <c r="C49" i="78"/>
  <c r="C50" i="78"/>
  <c r="C51" i="78"/>
  <c r="C52" i="78"/>
  <c r="C53" i="78"/>
  <c r="C54" i="78"/>
  <c r="C55" i="78"/>
  <c r="C56" i="78"/>
  <c r="C57" i="78"/>
  <c r="C47" i="78"/>
  <c r="C39" i="78"/>
  <c r="C40" i="78"/>
  <c r="C41" i="78"/>
  <c r="C42" i="78"/>
  <c r="C43" i="78"/>
  <c r="C44" i="78"/>
  <c r="C45" i="78"/>
  <c r="C46" i="78"/>
  <c r="C38" i="78"/>
  <c r="E47" i="33" l="1"/>
  <c r="I47" i="33"/>
  <c r="N7" i="1" l="1"/>
  <c r="N6" i="1"/>
  <c r="E18" i="31" l="1"/>
  <c r="D18" i="31"/>
  <c r="G47" i="33" l="1"/>
  <c r="T7" i="31"/>
  <c r="T5"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B24" i="31"/>
  <c r="A24" i="31"/>
  <c r="C40" i="33"/>
  <c r="Y6" i="1"/>
  <c r="C36" i="33" s="1"/>
  <c r="F19" i="6"/>
  <c r="B13" i="3"/>
  <c r="I33" i="77"/>
  <c r="F20" i="6" s="1"/>
  <c r="H33" i="77"/>
  <c r="A3" i="3" s="1"/>
  <c r="K13" i="3" l="1"/>
  <c r="D3" i="4"/>
  <c r="D7" i="71" l="1"/>
  <c r="AH5" i="71"/>
  <c r="AG5" i="71"/>
  <c r="AE5" i="71"/>
  <c r="AF5" i="71" s="1"/>
  <c r="AD5" i="71"/>
  <c r="Q5" i="71"/>
  <c r="P5" i="71"/>
  <c r="O5" i="71"/>
  <c r="N5" i="71"/>
  <c r="L3" i="71"/>
  <c r="K3" i="71"/>
  <c r="I3" i="71"/>
  <c r="J3" i="71"/>
  <c r="AD6" i="71"/>
  <c r="AG6" i="71"/>
  <c r="AH6" i="71"/>
  <c r="AE6" i="71"/>
  <c r="AF6" i="71" s="1"/>
  <c r="N6" i="71"/>
  <c r="Q6" i="71"/>
  <c r="P6" i="71"/>
  <c r="O6" i="71"/>
  <c r="C6" i="71"/>
  <c r="T6" i="71" s="1"/>
  <c r="Q7" i="71"/>
  <c r="F6" i="71"/>
  <c r="F5" i="71"/>
  <c r="P7" i="71"/>
  <c r="E6" i="71"/>
  <c r="E5" i="71" s="1"/>
  <c r="O7" i="71"/>
  <c r="N7" i="71"/>
  <c r="B6" i="71"/>
  <c r="S6" i="71"/>
  <c r="V6" i="71"/>
  <c r="B5" i="71"/>
  <c r="D6" i="71"/>
  <c r="U6" i="71" s="1"/>
  <c r="C5" i="71"/>
  <c r="D5" i="71" s="1"/>
  <c r="A2" i="53"/>
  <c r="K59" i="67"/>
  <c r="P61" i="67" s="1"/>
  <c r="K59" i="15"/>
  <c r="P74" i="15"/>
  <c r="P61"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Q8" i="71"/>
  <c r="P8" i="71"/>
  <c r="O8" i="71"/>
  <c r="N8"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59" i="72"/>
  <c r="B58" i="72"/>
  <c r="B67" i="72"/>
  <c r="B66" i="72"/>
  <c r="B12" i="72"/>
  <c r="B10" i="72"/>
  <c r="C53" i="10"/>
  <c r="B51" i="10"/>
  <c r="B19" i="72"/>
  <c r="A18" i="51"/>
  <c r="B13" i="72" s="1"/>
  <c r="C8" i="68"/>
  <c r="B49" i="48"/>
  <c r="B5" i="72" s="1"/>
  <c r="I19" i="43"/>
  <c r="D71" i="71"/>
  <c r="F70" i="71"/>
  <c r="F69" i="71" s="1"/>
  <c r="F68" i="71" s="1"/>
  <c r="E70" i="71"/>
  <c r="E69" i="71"/>
  <c r="E68" i="71" s="1"/>
  <c r="C70" i="71"/>
  <c r="D70" i="71" s="1"/>
  <c r="B70" i="71"/>
  <c r="B69" i="71" s="1"/>
  <c r="B68" i="71" s="1"/>
  <c r="D67" i="71"/>
  <c r="F66" i="71"/>
  <c r="F65" i="71" s="1"/>
  <c r="F64" i="71" s="1"/>
  <c r="E66" i="71"/>
  <c r="E65" i="71"/>
  <c r="E64" i="71" s="1"/>
  <c r="C66" i="71"/>
  <c r="D66" i="71" s="1"/>
  <c r="B66" i="71"/>
  <c r="B65" i="71" s="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F49" i="71"/>
  <c r="F48" i="71" s="1"/>
  <c r="Q48" i="7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c r="N39" i="71"/>
  <c r="B40" i="71"/>
  <c r="B41" i="71" s="1"/>
  <c r="B42" i="71"/>
  <c r="S42" i="71" s="1"/>
  <c r="D39" i="71"/>
  <c r="Q38" i="71"/>
  <c r="P38" i="71"/>
  <c r="O38" i="71"/>
  <c r="N38" i="71"/>
  <c r="Q37" i="71"/>
  <c r="P37" i="71"/>
  <c r="O37" i="71"/>
  <c r="N37" i="71"/>
  <c r="Q36" i="71"/>
  <c r="P36" i="71"/>
  <c r="O36" i="71"/>
  <c r="N36" i="71"/>
  <c r="Q35" i="71"/>
  <c r="F36" i="71" s="1"/>
  <c r="F37" i="71" s="1"/>
  <c r="F38" i="71" s="1"/>
  <c r="V38" i="71" s="1"/>
  <c r="P35" i="71"/>
  <c r="E36" i="7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c r="E34" i="71" s="1"/>
  <c r="U34" i="71" s="1"/>
  <c r="O31" i="71"/>
  <c r="C32" i="71"/>
  <c r="N31" i="71"/>
  <c r="B32" i="71"/>
  <c r="B33" i="71" s="1"/>
  <c r="B34" i="7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c r="E30" i="71" s="1"/>
  <c r="U30" i="71" s="1"/>
  <c r="O27" i="71"/>
  <c r="C28" i="71"/>
  <c r="N27" i="71"/>
  <c r="B28" i="71"/>
  <c r="B29" i="71" s="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N23" i="71"/>
  <c r="B24" i="71"/>
  <c r="B25" i="71" s="1"/>
  <c r="B26" i="71"/>
  <c r="S26" i="71" s="1"/>
  <c r="D23" i="71"/>
  <c r="Q22" i="71"/>
  <c r="P22" i="71"/>
  <c r="O22" i="71"/>
  <c r="N22" i="71"/>
  <c r="Q21" i="71"/>
  <c r="AB21" i="71" s="1"/>
  <c r="P21" i="71"/>
  <c r="AA21" i="71"/>
  <c r="O21" i="71"/>
  <c r="Y21" i="71"/>
  <c r="Z21" i="71" s="1"/>
  <c r="N21" i="71"/>
  <c r="X21" i="71" s="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Q17" i="71"/>
  <c r="AB17" i="71"/>
  <c r="P17" i="71"/>
  <c r="O17" i="71"/>
  <c r="Y17" i="71" s="1"/>
  <c r="Z17" i="71" s="1"/>
  <c r="N17" i="71"/>
  <c r="Q16" i="71"/>
  <c r="AB16" i="71"/>
  <c r="P16" i="71"/>
  <c r="O16" i="71"/>
  <c r="Y16" i="71" s="1"/>
  <c r="Z16" i="71" s="1"/>
  <c r="N16" i="71"/>
  <c r="Q15" i="71"/>
  <c r="F16" i="71" s="1"/>
  <c r="F17" i="71" s="1"/>
  <c r="F18" i="71" s="1"/>
  <c r="V18" i="71" s="1"/>
  <c r="P15" i="71"/>
  <c r="O15" i="71"/>
  <c r="N15" i="71"/>
  <c r="D15" i="71"/>
  <c r="Q14" i="71"/>
  <c r="AB14" i="71"/>
  <c r="P14" i="71"/>
  <c r="O14" i="71"/>
  <c r="Y14" i="71" s="1"/>
  <c r="Z14" i="71" s="1"/>
  <c r="N14" i="71"/>
  <c r="Q13" i="71"/>
  <c r="AB13" i="71" s="1"/>
  <c r="P13" i="71"/>
  <c r="O13" i="71"/>
  <c r="Y13" i="71"/>
  <c r="Z13" i="71" s="1"/>
  <c r="N13" i="71"/>
  <c r="X11" i="71" s="1"/>
  <c r="Q12" i="71"/>
  <c r="AB12" i="71"/>
  <c r="P12" i="71"/>
  <c r="O12" i="71"/>
  <c r="Y12" i="71" s="1"/>
  <c r="Z12" i="71" s="1"/>
  <c r="N12" i="71"/>
  <c r="Q11" i="71"/>
  <c r="F12" i="71" s="1"/>
  <c r="F13" i="71" s="1"/>
  <c r="F14" i="71" s="1"/>
  <c r="V14" i="71" s="1"/>
  <c r="P11" i="71"/>
  <c r="O11" i="71"/>
  <c r="Y11" i="71" s="1"/>
  <c r="Z11" i="71" s="1"/>
  <c r="N11" i="71"/>
  <c r="D11" i="71"/>
  <c r="O10" i="71"/>
  <c r="N10" i="71"/>
  <c r="B12" i="71"/>
  <c r="B13" i="71"/>
  <c r="B14" i="71" s="1"/>
  <c r="S14" i="71" s="1"/>
  <c r="E12" i="71"/>
  <c r="E13" i="71" s="1"/>
  <c r="E14" i="71" s="1"/>
  <c r="U14" i="71" s="1"/>
  <c r="AA11" i="71"/>
  <c r="B16" i="71"/>
  <c r="B17" i="71"/>
  <c r="B18" i="71" s="1"/>
  <c r="S18" i="71" s="1"/>
  <c r="X15" i="71"/>
  <c r="B20" i="71"/>
  <c r="B21" i="71" s="1"/>
  <c r="B22" i="71" s="1"/>
  <c r="S22" i="71" s="1"/>
  <c r="X19" i="71"/>
  <c r="E20" i="71"/>
  <c r="E21" i="71"/>
  <c r="E22" i="71" s="1"/>
  <c r="U22" i="71" s="1"/>
  <c r="AA19" i="71"/>
  <c r="N50" i="71"/>
  <c r="E16" i="71"/>
  <c r="E17" i="71"/>
  <c r="E18" i="71" s="1"/>
  <c r="U18" i="71" s="1"/>
  <c r="AA15" i="71"/>
  <c r="C12"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c r="V34" i="71" s="1"/>
  <c r="C10" i="71"/>
  <c r="Y3" i="71"/>
  <c r="Z3" i="71"/>
  <c r="Y7" i="71"/>
  <c r="Z7" i="71"/>
  <c r="Y8" i="71"/>
  <c r="Z8" i="71"/>
  <c r="Y9" i="71"/>
  <c r="Z9" i="71"/>
  <c r="Y10" i="71"/>
  <c r="Z10" i="71"/>
  <c r="B10" i="71"/>
  <c r="B9" i="71"/>
  <c r="B8" i="71" s="1"/>
  <c r="X7" i="71"/>
  <c r="X8" i="71"/>
  <c r="X9" i="71"/>
  <c r="X3" i="71"/>
  <c r="X10" i="71"/>
  <c r="C13" i="71"/>
  <c r="D12" i="71"/>
  <c r="D16" i="71"/>
  <c r="C21" i="71"/>
  <c r="D20" i="71"/>
  <c r="C25" i="71"/>
  <c r="D24" i="71"/>
  <c r="C29" i="71"/>
  <c r="D29" i="71" s="1"/>
  <c r="D28" i="71"/>
  <c r="C33" i="71"/>
  <c r="D32" i="71"/>
  <c r="P10" i="71"/>
  <c r="E37" i="71"/>
  <c r="E38" i="71" s="1"/>
  <c r="U38" i="71" s="1"/>
  <c r="E41" i="71"/>
  <c r="E42" i="71"/>
  <c r="U42" i="71" s="1"/>
  <c r="E45" i="71"/>
  <c r="E46" i="71" s="1"/>
  <c r="U46" i="71" s="1"/>
  <c r="Q47" i="71"/>
  <c r="U50" i="71"/>
  <c r="E49" i="71"/>
  <c r="Q10" i="71"/>
  <c r="C37" i="71"/>
  <c r="D36" i="71"/>
  <c r="C41" i="71"/>
  <c r="D40" i="71"/>
  <c r="C45" i="71"/>
  <c r="D44" i="71"/>
  <c r="Q49" i="71"/>
  <c r="T50" i="71"/>
  <c r="O50" i="71"/>
  <c r="D50" i="71"/>
  <c r="C49" i="71"/>
  <c r="Q50" i="71"/>
  <c r="C53" i="71"/>
  <c r="E53" i="71"/>
  <c r="E52" i="71" s="1"/>
  <c r="D54" i="71"/>
  <c r="C57" i="71"/>
  <c r="E57" i="71"/>
  <c r="E56" i="71" s="1"/>
  <c r="D58" i="71"/>
  <c r="C61" i="71"/>
  <c r="E61" i="71"/>
  <c r="E60" i="71" s="1"/>
  <c r="D62" i="71"/>
  <c r="C65" i="71"/>
  <c r="C69" i="71"/>
  <c r="T10" i="71"/>
  <c r="C9" i="71"/>
  <c r="S10" i="71"/>
  <c r="F10" i="71"/>
  <c r="F9" i="71" s="1"/>
  <c r="F8" i="71" s="1"/>
  <c r="AB3" i="71"/>
  <c r="AB7" i="71"/>
  <c r="AB8" i="71"/>
  <c r="AB9" i="71"/>
  <c r="AB10" i="71"/>
  <c r="E10" i="71"/>
  <c r="E9" i="71"/>
  <c r="E8" i="71" s="1"/>
  <c r="AA3" i="71"/>
  <c r="AA7" i="71"/>
  <c r="AA8" i="71"/>
  <c r="AA9" i="71"/>
  <c r="AA10" i="71"/>
  <c r="D10" i="71"/>
  <c r="U10" i="71"/>
  <c r="C48" i="71"/>
  <c r="O49" i="71"/>
  <c r="D49" i="71"/>
  <c r="C46" i="71"/>
  <c r="D45" i="71"/>
  <c r="D65" i="71"/>
  <c r="C64" i="71"/>
  <c r="D64" i="71"/>
  <c r="D57" i="71"/>
  <c r="C56" i="71"/>
  <c r="D56" i="71" s="1"/>
  <c r="D69" i="71"/>
  <c r="C68" i="71"/>
  <c r="D68" i="71"/>
  <c r="D61" i="71"/>
  <c r="C60" i="71"/>
  <c r="D60" i="71" s="1"/>
  <c r="D53" i="71"/>
  <c r="C52" i="71"/>
  <c r="D52" i="71"/>
  <c r="C42" i="71"/>
  <c r="D41" i="71"/>
  <c r="C38" i="71"/>
  <c r="D37" i="71"/>
  <c r="P49" i="71"/>
  <c r="E48" i="71"/>
  <c r="P47" i="71" s="1"/>
  <c r="C34" i="71"/>
  <c r="D33" i="71"/>
  <c r="C26" i="71"/>
  <c r="D25" i="71"/>
  <c r="C22" i="71"/>
  <c r="D21" i="71"/>
  <c r="C14" i="71"/>
  <c r="D13" i="71"/>
  <c r="C8" i="71"/>
  <c r="D8" i="71"/>
  <c r="D9" i="71"/>
  <c r="V10" i="71"/>
  <c r="P48" i="71"/>
  <c r="O48" i="71"/>
  <c r="D48" i="71"/>
  <c r="O47" i="71"/>
  <c r="T14" i="71"/>
  <c r="D14"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25" i="40"/>
  <c r="AA25" i="40" s="1"/>
  <c r="Z29" i="39"/>
  <c r="Q29" i="39"/>
  <c r="D103" i="39"/>
  <c r="E103" i="39" s="1"/>
  <c r="F29" i="39"/>
  <c r="AA29" i="39" s="1"/>
  <c r="Q18" i="36"/>
  <c r="Z18" i="36" s="1"/>
  <c r="D66" i="36"/>
  <c r="E66" i="36" s="1"/>
  <c r="F66" i="36" s="1"/>
  <c r="H18" i="36"/>
  <c r="AB18" i="36"/>
  <c r="F18" i="36"/>
  <c r="AA18" i="36"/>
  <c r="C18" i="36"/>
  <c r="Q18" i="35"/>
  <c r="Z18" i="35" s="1"/>
  <c r="D68" i="35"/>
  <c r="E68" i="35"/>
  <c r="F18" i="35"/>
  <c r="AA18" i="35" s="1"/>
  <c r="C18" i="35"/>
  <c r="Q21" i="37"/>
  <c r="Z21" i="37" s="1"/>
  <c r="D77" i="37"/>
  <c r="E77" i="37"/>
  <c r="C21" i="37"/>
  <c r="Z21" i="34"/>
  <c r="Q21" i="34"/>
  <c r="D84" i="34"/>
  <c r="E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W18" i="35" s="1"/>
  <c r="F77" i="37"/>
  <c r="H21" i="37"/>
  <c r="U21" i="37" s="1"/>
  <c r="F21" i="37"/>
  <c r="F84" i="34"/>
  <c r="G84" i="34" s="1"/>
  <c r="H21" i="34"/>
  <c r="F83" i="33"/>
  <c r="G83" i="33" s="1"/>
  <c r="H21" i="33"/>
  <c r="U21" i="33" s="1"/>
  <c r="F21" i="33"/>
  <c r="E83" i="21"/>
  <c r="S21" i="21"/>
  <c r="H1" i="69"/>
  <c r="AC25" i="40"/>
  <c r="W25" i="40"/>
  <c r="AB25" i="40"/>
  <c r="U25" i="40"/>
  <c r="AB29" i="39"/>
  <c r="U29" i="39"/>
  <c r="AC29" i="39"/>
  <c r="W29" i="39"/>
  <c r="AC18" i="36"/>
  <c r="W18" i="36"/>
  <c r="AB21" i="37"/>
  <c r="AA21" i="37"/>
  <c r="S21" i="37"/>
  <c r="AB21" i="34"/>
  <c r="U21" i="34"/>
  <c r="AB21" i="33"/>
  <c r="AB18" i="35"/>
  <c r="U18" i="35"/>
  <c r="AC18" i="35"/>
  <c r="G77" i="37"/>
  <c r="J21" i="37"/>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F38" i="68"/>
  <c r="E37" i="68"/>
  <c r="F36" i="68"/>
  <c r="F35" i="68"/>
  <c r="F21" i="68"/>
  <c r="C21" i="68" s="1"/>
  <c r="F20" i="68"/>
  <c r="E10" i="68"/>
  <c r="E9" i="68"/>
  <c r="F7" i="68"/>
  <c r="C7" i="68" s="1"/>
  <c r="C5" i="68" s="1"/>
  <c r="W21" i="21"/>
  <c r="AC21" i="21"/>
  <c r="Q72" i="67"/>
  <c r="Q59" i="67"/>
  <c r="Q58" i="67"/>
  <c r="Q51" i="67"/>
  <c r="J50" i="67"/>
  <c r="M47" i="67"/>
  <c r="D46" i="67"/>
  <c r="F33" i="67"/>
  <c r="F61" i="67" s="1"/>
  <c r="F23" i="67"/>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AZ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R447" i="31"/>
  <c r="R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R55" i="31" s="1"/>
  <c r="S55" i="31" s="1"/>
  <c r="C56" i="31"/>
  <c r="R56" i="31" s="1"/>
  <c r="S56" i="31" s="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s="1"/>
  <c r="D2" i="52"/>
  <c r="B46" i="72" s="1"/>
  <c r="B8" i="53"/>
  <c r="B23" i="72" s="1"/>
  <c r="L4" i="9"/>
  <c r="B17" i="72"/>
  <c r="B15" i="72"/>
  <c r="A3" i="51"/>
  <c r="C8" i="11"/>
  <c r="B2" i="49"/>
  <c r="B23" i="49" s="1"/>
  <c r="E4" i="4" s="1"/>
  <c r="B5" i="62" s="1"/>
  <c r="B73" i="72" s="1"/>
  <c r="B40" i="48"/>
  <c r="B3" i="72" s="1"/>
  <c r="I2" i="43"/>
  <c r="N1" i="43" s="1"/>
  <c r="F35" i="4"/>
  <c r="J55" i="39" s="1"/>
  <c r="H34" i="43"/>
  <c r="H35" i="43"/>
  <c r="H36" i="43"/>
  <c r="H37" i="43"/>
  <c r="H38" i="43"/>
  <c r="H39" i="43"/>
  <c r="H33" i="43"/>
  <c r="J20" i="43"/>
  <c r="G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342"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7"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2" i="31"/>
  <c r="S121" i="31"/>
  <c r="S120" i="31"/>
  <c r="S119" i="31"/>
  <c r="S118" i="31"/>
  <c r="S117" i="31"/>
  <c r="S116" i="31"/>
  <c r="S115" i="31"/>
  <c r="S114" i="31"/>
  <c r="S113" i="31"/>
  <c r="S112" i="31"/>
  <c r="S502" i="31"/>
  <c r="S467" i="31"/>
  <c r="S465" i="31"/>
  <c r="S463" i="31"/>
  <c r="S461" i="31"/>
  <c r="S459" i="31"/>
  <c r="S457" i="31"/>
  <c r="S455" i="31"/>
  <c r="S453" i="31"/>
  <c r="S451" i="31"/>
  <c r="S77" i="31"/>
  <c r="S76" i="31"/>
  <c r="S75" i="31"/>
  <c r="S74" i="31"/>
  <c r="S73" i="31"/>
  <c r="S72" i="31"/>
  <c r="S71" i="31"/>
  <c r="S70" i="31"/>
  <c r="S69" i="31"/>
  <c r="S68" i="31"/>
  <c r="S67" i="31"/>
  <c r="S66" i="31"/>
  <c r="S65" i="31"/>
  <c r="S64" i="31"/>
  <c r="S63" i="31"/>
  <c r="S62" i="31"/>
  <c r="S61" i="31"/>
  <c r="S60" i="31"/>
  <c r="S59" i="31"/>
  <c r="S58" i="31"/>
  <c r="S57"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H26" i="35" s="1"/>
  <c r="U26"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D113" i="33"/>
  <c r="F37" i="33" s="1"/>
  <c r="D111" i="33"/>
  <c r="E111" i="33" s="1"/>
  <c r="F111" i="33" s="1"/>
  <c r="G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J41" i="33" s="1"/>
  <c r="E121" i="33"/>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D69" i="33"/>
  <c r="E69" i="33" s="1"/>
  <c r="F69" i="33" s="1"/>
  <c r="G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c r="Q45" i="33"/>
  <c r="Z45" i="33"/>
  <c r="Q44" i="33"/>
  <c r="Z44" i="33"/>
  <c r="Q43" i="33"/>
  <c r="Z43" i="33"/>
  <c r="Q42" i="33"/>
  <c r="Z42" i="33"/>
  <c r="Q41" i="33"/>
  <c r="Z41" i="33"/>
  <c r="Q40" i="33"/>
  <c r="Z40" i="33"/>
  <c r="J40" i="33"/>
  <c r="AC40" i="33" s="1"/>
  <c r="H40" i="33"/>
  <c r="AB40" i="33" s="1"/>
  <c r="AA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Q32" i="33"/>
  <c r="Z32" i="33"/>
  <c r="Q31" i="33"/>
  <c r="Z31" i="33" s="1"/>
  <c r="Q30" i="33"/>
  <c r="Z30" i="33" s="1"/>
  <c r="Q29" i="33"/>
  <c r="Z29" i="33" s="1"/>
  <c r="Q28" i="33"/>
  <c r="Z28" i="33" s="1"/>
  <c r="Q27" i="33"/>
  <c r="Z27" i="33" s="1"/>
  <c r="Q26" i="33"/>
  <c r="Z26" i="33" s="1"/>
  <c r="Q25" i="33"/>
  <c r="Z25" i="33"/>
  <c r="Q23" i="33"/>
  <c r="Z23" i="33"/>
  <c r="Q19" i="33"/>
  <c r="Z19" i="33"/>
  <c r="Q17" i="33"/>
  <c r="Z17" i="33"/>
  <c r="Q15" i="33"/>
  <c r="Z15" i="33"/>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S40" i="33"/>
  <c r="H39" i="37"/>
  <c r="AB39" i="37"/>
  <c r="S27" i="35"/>
  <c r="F11" i="40"/>
  <c r="AA11" i="40" s="1"/>
  <c r="H11" i="40"/>
  <c r="AB11" i="40" s="1"/>
  <c r="W8" i="40"/>
  <c r="AB39" i="40"/>
  <c r="AC40" i="40"/>
  <c r="AA9" i="40"/>
  <c r="AC9" i="40"/>
  <c r="U9" i="40"/>
  <c r="S34" i="40"/>
  <c r="U38" i="40"/>
  <c r="S40"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E113"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F28" i="40"/>
  <c r="AA28" i="40"/>
  <c r="AA29" i="35"/>
  <c r="AA42" i="34"/>
  <c r="S42" i="34"/>
  <c r="AC38" i="34"/>
  <c r="AA38" i="34"/>
  <c r="J37" i="34"/>
  <c r="AC37" i="34"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F13" i="33"/>
  <c r="S13" i="33" s="1"/>
  <c r="J29" i="33"/>
  <c r="AC29" i="33" s="1"/>
  <c r="H29" i="33"/>
  <c r="U29" i="33" s="1"/>
  <c r="F29" i="33"/>
  <c r="S29" i="33" s="1"/>
  <c r="J31" i="33"/>
  <c r="W31" i="33" s="1"/>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H28" i="36"/>
  <c r="U28" i="36" s="1"/>
  <c r="H32" i="36"/>
  <c r="AB32" i="36" s="1"/>
  <c r="J32" i="36"/>
  <c r="W32" i="36" s="1"/>
  <c r="J11" i="36"/>
  <c r="H11" i="36"/>
  <c r="U11" i="36" s="1"/>
  <c r="F11" i="36"/>
  <c r="AA11" i="36" s="1"/>
  <c r="H13" i="36"/>
  <c r="AB13" i="36" s="1"/>
  <c r="J13" i="36"/>
  <c r="W13" i="36" s="1"/>
  <c r="F13" i="36"/>
  <c r="S13" i="36"/>
  <c r="E89" i="37"/>
  <c r="F89" i="37"/>
  <c r="G89" i="37" s="1"/>
  <c r="H89" i="37" s="1"/>
  <c r="I89" i="37" s="1"/>
  <c r="J89" i="37" s="1"/>
  <c r="K89" i="37" s="1"/>
  <c r="L89" i="37" s="1"/>
  <c r="M89" i="37" s="1"/>
  <c r="J29" i="37"/>
  <c r="F29" i="37"/>
  <c r="S29" i="37" s="1"/>
  <c r="F105" i="37"/>
  <c r="G105" i="37" s="1"/>
  <c r="H36" i="37"/>
  <c r="AB36" i="37"/>
  <c r="J37" i="37"/>
  <c r="AC37" i="37" s="1"/>
  <c r="H37" i="37"/>
  <c r="U37" i="37" s="1"/>
  <c r="H40" i="37"/>
  <c r="U40" i="37" s="1"/>
  <c r="J40" i="37"/>
  <c r="F40" i="37"/>
  <c r="AA40" i="37" s="1"/>
  <c r="AC12" i="40"/>
  <c r="W12" i="40"/>
  <c r="H14" i="33"/>
  <c r="U14" i="33" s="1"/>
  <c r="F14" i="33"/>
  <c r="S14" i="33" s="1"/>
  <c r="J14" i="33"/>
  <c r="W14" i="33" s="1"/>
  <c r="H30" i="33"/>
  <c r="AB30" i="33" s="1"/>
  <c r="F30" i="33"/>
  <c r="AA30" i="33" s="1"/>
  <c r="J30" i="33"/>
  <c r="H44" i="33"/>
  <c r="AB44" i="33" s="1"/>
  <c r="J44" i="33"/>
  <c r="AC44" i="33"/>
  <c r="F44" i="33"/>
  <c r="S44" i="33"/>
  <c r="J46" i="33"/>
  <c r="AC46" i="33"/>
  <c r="F46" i="33"/>
  <c r="AA46" i="33" s="1"/>
  <c r="H46" i="33"/>
  <c r="AB46" i="33" s="1"/>
  <c r="H13" i="34"/>
  <c r="U13" i="34"/>
  <c r="J13" i="34"/>
  <c r="W13" i="34"/>
  <c r="F13" i="34"/>
  <c r="AA13" i="34"/>
  <c r="J29" i="34"/>
  <c r="F29" i="34"/>
  <c r="S29" i="34" s="1"/>
  <c r="H29" i="34"/>
  <c r="AB29" i="34" s="1"/>
  <c r="J31" i="34"/>
  <c r="H31" i="34"/>
  <c r="AB31" i="34" s="1"/>
  <c r="F31" i="34"/>
  <c r="S31" i="34" s="1"/>
  <c r="H45" i="34"/>
  <c r="U45" i="34" s="1"/>
  <c r="J45" i="34"/>
  <c r="F45" i="34"/>
  <c r="S45" i="34" s="1"/>
  <c r="H47" i="34"/>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U13" i="39" s="1"/>
  <c r="H14" i="40"/>
  <c r="AB14" i="40"/>
  <c r="J14" i="40"/>
  <c r="W14" i="40"/>
  <c r="F14" i="40"/>
  <c r="AA14" i="40"/>
  <c r="J14" i="37"/>
  <c r="AC14" i="37"/>
  <c r="J27" i="37"/>
  <c r="AC27" i="37"/>
  <c r="AA44" i="33"/>
  <c r="AA13" i="35"/>
  <c r="U31" i="34"/>
  <c r="U46" i="33"/>
  <c r="AA14" i="33"/>
  <c r="J36" i="37"/>
  <c r="AB11" i="36"/>
  <c r="AB11" i="35"/>
  <c r="J10" i="36"/>
  <c r="AC10" i="36"/>
  <c r="AB30" i="21"/>
  <c r="AA14" i="37"/>
  <c r="AC13" i="36"/>
  <c r="W11" i="35"/>
  <c r="S45" i="33"/>
  <c r="AB45" i="33"/>
  <c r="AB31" i="33"/>
  <c r="U31" i="33"/>
  <c r="W29" i="33"/>
  <c r="AC28" i="21"/>
  <c r="S44" i="34"/>
  <c r="BA586" i="3"/>
  <c r="BA585" i="3"/>
  <c r="F17" i="21"/>
  <c r="H17" i="2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AZ530" i="3" s="1"/>
  <c r="BL526" i="3"/>
  <c r="BL522" i="3"/>
  <c r="BL516" i="3"/>
  <c r="BL512" i="3"/>
  <c r="BL506" i="3"/>
  <c r="BL502" i="3"/>
  <c r="AZ502" i="3" s="1"/>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AZ500" i="3" s="1"/>
  <c r="BA498" i="3"/>
  <c r="AZ498" i="3"/>
  <c r="BA496" i="3"/>
  <c r="BA494" i="3"/>
  <c r="AZ494" i="3" s="1"/>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c r="BQ505" i="3"/>
  <c r="BL505" i="3"/>
  <c r="AZ505" i="3" s="1"/>
  <c r="BQ503" i="3"/>
  <c r="BL503" i="3" s="1"/>
  <c r="AZ503" i="3"/>
  <c r="BQ501" i="3"/>
  <c r="BL501" i="3"/>
  <c r="AZ501" i="3" s="1"/>
  <c r="BQ499" i="3"/>
  <c r="BL499" i="3"/>
  <c r="BQ497" i="3"/>
  <c r="BL497" i="3"/>
  <c r="AZ497" i="3" s="1"/>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s="1"/>
  <c r="H17" i="37"/>
  <c r="U17" i="37" s="1"/>
  <c r="AB27" i="37"/>
  <c r="AA36" i="39"/>
  <c r="F39" i="33"/>
  <c r="AA39" i="33" s="1"/>
  <c r="E123" i="33"/>
  <c r="J42" i="33" s="1"/>
  <c r="AC42" i="33" s="1"/>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J43" i="33"/>
  <c r="AC43" i="33" s="1"/>
  <c r="U14" i="40"/>
  <c r="AC32" i="36"/>
  <c r="AC33" i="36"/>
  <c r="U35" i="35"/>
  <c r="AA12" i="35"/>
  <c r="W23" i="35"/>
  <c r="W14" i="37"/>
  <c r="AB28" i="37"/>
  <c r="U33" i="37"/>
  <c r="U39" i="37"/>
  <c r="W26" i="37"/>
  <c r="AC8" i="37"/>
  <c r="U26" i="37"/>
  <c r="AB13" i="34"/>
  <c r="W37" i="34"/>
  <c r="AB37" i="34"/>
  <c r="AC36" i="34"/>
  <c r="AA13" i="33"/>
  <c r="AC31" i="33"/>
  <c r="AC45" i="33"/>
  <c r="W44" i="33"/>
  <c r="U19" i="21"/>
  <c r="W44" i="21"/>
  <c r="U26" i="21"/>
  <c r="AC46" i="21"/>
  <c r="U12" i="21"/>
  <c r="AB38" i="21"/>
  <c r="F43" i="33"/>
  <c r="AA43" i="33" s="1"/>
  <c r="W15" i="34"/>
  <c r="AC15" i="34"/>
  <c r="W16" i="35"/>
  <c r="G107" i="37"/>
  <c r="H107" i="37" s="1"/>
  <c r="I107" i="37" s="1"/>
  <c r="J107" i="37" s="1"/>
  <c r="K107" i="37" s="1"/>
  <c r="L107" i="37" s="1"/>
  <c r="M107" i="37" s="1"/>
  <c r="H37" i="21"/>
  <c r="U37" i="21"/>
  <c r="S42" i="21"/>
  <c r="H19" i="34"/>
  <c r="AB19" i="34" s="1"/>
  <c r="F36" i="35"/>
  <c r="S36" i="35" s="1"/>
  <c r="J9" i="37"/>
  <c r="W9" i="37" s="1"/>
  <c r="H9" i="37"/>
  <c r="F9" i="37"/>
  <c r="S9" i="37" s="1"/>
  <c r="J12" i="37"/>
  <c r="W12" i="37" s="1"/>
  <c r="H12" i="37"/>
  <c r="F12" i="37"/>
  <c r="E71" i="37"/>
  <c r="F71" i="37" s="1"/>
  <c r="F15" i="37"/>
  <c r="AA15" i="37"/>
  <c r="E94" i="37"/>
  <c r="F31" i="37"/>
  <c r="F12" i="39"/>
  <c r="S12" i="39" s="1"/>
  <c r="J42" i="39"/>
  <c r="H21" i="40"/>
  <c r="F94" i="37"/>
  <c r="G94" i="37"/>
  <c r="H94" i="37" s="1"/>
  <c r="I94" i="37"/>
  <c r="J94" i="37" s="1"/>
  <c r="K94" i="37" s="1"/>
  <c r="L94" i="37" s="1"/>
  <c r="M94" i="37" s="1"/>
  <c r="H31" i="37"/>
  <c r="U31" i="37"/>
  <c r="G71" i="37"/>
  <c r="J15" i="37"/>
  <c r="W15" i="37"/>
  <c r="AT6" i="3"/>
  <c r="H5" i="3"/>
  <c r="AA25" i="21"/>
  <c r="C12" i="43"/>
  <c r="H19" i="40"/>
  <c r="U19" i="40" s="1"/>
  <c r="F88" i="40"/>
  <c r="G88" i="40" s="1"/>
  <c r="F19" i="40"/>
  <c r="S19" i="40" s="1"/>
  <c r="S14" i="40"/>
  <c r="AC13" i="40"/>
  <c r="AB33" i="40"/>
  <c r="W23" i="39"/>
  <c r="AC43" i="39"/>
  <c r="W43" i="39"/>
  <c r="U45" i="39"/>
  <c r="AB45" i="39"/>
  <c r="AB44" i="39"/>
  <c r="G101" i="39"/>
  <c r="H37" i="39"/>
  <c r="AB37" i="39"/>
  <c r="AC37" i="39"/>
  <c r="W37" i="39"/>
  <c r="H25" i="39"/>
  <c r="AB25" i="39"/>
  <c r="J25" i="39"/>
  <c r="F25" i="39"/>
  <c r="F15" i="39"/>
  <c r="AA15" i="39" s="1"/>
  <c r="H15" i="39"/>
  <c r="J15" i="39"/>
  <c r="H41" i="39"/>
  <c r="U41" i="39" s="1"/>
  <c r="W27" i="39"/>
  <c r="AB34" i="39"/>
  <c r="U40" i="39"/>
  <c r="S42" i="39"/>
  <c r="AA41" i="39"/>
  <c r="W9" i="39"/>
  <c r="W8" i="39"/>
  <c r="J19" i="40"/>
  <c r="AC19" i="40"/>
  <c r="J50" i="40"/>
  <c r="H103" i="9"/>
  <c r="B16" i="53"/>
  <c r="B33" i="72" s="1"/>
  <c r="C7" i="37"/>
  <c r="C52" i="37" s="1"/>
  <c r="D52" i="37" s="1"/>
  <c r="C7" i="34"/>
  <c r="C7" i="36"/>
  <c r="W35" i="40"/>
  <c r="A118" i="9"/>
  <c r="A4" i="52"/>
  <c r="B41" i="72" s="1"/>
  <c r="J11" i="39"/>
  <c r="F11" i="39"/>
  <c r="A12" i="52"/>
  <c r="B56" i="72" s="1"/>
  <c r="G4" i="4"/>
  <c r="I4" i="4"/>
  <c r="K5" i="4"/>
  <c r="B47" i="48" s="1"/>
  <c r="A2" i="9"/>
  <c r="N2" i="43"/>
  <c r="F59" i="43"/>
  <c r="AZ24" i="3"/>
  <c r="AZ28" i="3"/>
  <c r="AZ32" i="3"/>
  <c r="BL549" i="3"/>
  <c r="AZ514"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AZ549" i="3"/>
  <c r="AZ506" i="3"/>
  <c r="AZ496" i="3"/>
  <c r="G548" i="3"/>
  <c r="G538" i="3"/>
  <c r="G520" i="3"/>
  <c r="G502" i="3"/>
  <c r="BS5" i="3"/>
  <c r="BP5" i="3"/>
  <c r="BN5" i="3"/>
  <c r="G29" i="6" s="1"/>
  <c r="BK5" i="3"/>
  <c r="BI5" i="3"/>
  <c r="BG5" i="3"/>
  <c r="BE5" i="3"/>
  <c r="BC5" i="3"/>
  <c r="G17" i="3"/>
  <c r="BA17" i="3"/>
  <c r="BT5" i="3"/>
  <c r="AZ350" i="3"/>
  <c r="AZ352" i="3"/>
  <c r="AZ356" i="3"/>
  <c r="AZ368" i="3"/>
  <c r="BA15" i="3"/>
  <c r="BB5" i="3"/>
  <c r="BR5" i="3"/>
  <c r="G28" i="6" s="1"/>
  <c r="AZ380" i="3"/>
  <c r="AZ384" i="3"/>
  <c r="AZ388" i="3"/>
  <c r="AZ392" i="3"/>
  <c r="AZ396" i="3"/>
  <c r="AZ509" i="3"/>
  <c r="BL493" i="3"/>
  <c r="AZ493" i="3" s="1"/>
  <c r="AZ491" i="3"/>
  <c r="AZ376" i="3"/>
  <c r="AZ382" i="3"/>
  <c r="U36" i="40"/>
  <c r="N4" i="43"/>
  <c r="F36" i="43"/>
  <c r="F81" i="43"/>
  <c r="H83" i="43"/>
  <c r="H113" i="43"/>
  <c r="F48" i="43"/>
  <c r="N7" i="43"/>
  <c r="F70" i="43"/>
  <c r="H73" i="43"/>
  <c r="M6" i="43"/>
  <c r="M11" i="43"/>
  <c r="E17" i="43"/>
  <c r="F39" i="43"/>
  <c r="I17" i="43"/>
  <c r="F35" i="43"/>
  <c r="J17" i="43"/>
  <c r="F6" i="1"/>
  <c r="G6" i="1" s="1"/>
  <c r="U17" i="39"/>
  <c r="S14" i="35"/>
  <c r="U43" i="21"/>
  <c r="U35" i="21"/>
  <c r="AC35" i="21"/>
  <c r="U10" i="21"/>
  <c r="G9" i="1"/>
  <c r="F48" i="9"/>
  <c r="O52" i="9" s="1"/>
  <c r="AZ563" i="3"/>
  <c r="W37" i="37"/>
  <c r="W44" i="34"/>
  <c r="AC44" i="34"/>
  <c r="S15" i="37"/>
  <c r="U13" i="37"/>
  <c r="U12" i="40"/>
  <c r="AA12" i="40"/>
  <c r="J37" i="33"/>
  <c r="W37" i="33" s="1"/>
  <c r="AC17" i="34"/>
  <c r="F106" i="33"/>
  <c r="G106" i="33"/>
  <c r="H106" i="33" s="1"/>
  <c r="I106" i="33" s="1"/>
  <c r="J106" i="33" s="1"/>
  <c r="K106" i="33" s="1"/>
  <c r="L106" i="33" s="1"/>
  <c r="M106" i="33" s="1"/>
  <c r="J34" i="33"/>
  <c r="W34" i="33" s="1"/>
  <c r="F33" i="34"/>
  <c r="W12" i="36"/>
  <c r="AC12" i="36"/>
  <c r="H20" i="36"/>
  <c r="J20" i="36"/>
  <c r="W20" i="36" s="1"/>
  <c r="W24" i="36"/>
  <c r="J27" i="36"/>
  <c r="W27" i="36"/>
  <c r="AC33" i="40"/>
  <c r="F111" i="40"/>
  <c r="G111" i="40"/>
  <c r="H111" i="40" s="1"/>
  <c r="I111" i="40"/>
  <c r="J111" i="40" s="1"/>
  <c r="K111" i="40" s="1"/>
  <c r="L111" i="40" s="1"/>
  <c r="M111" i="40" s="1"/>
  <c r="H35" i="40"/>
  <c r="AB35" i="40"/>
  <c r="AC29" i="35"/>
  <c r="W29" i="35"/>
  <c r="H35" i="37"/>
  <c r="U35" i="37"/>
  <c r="AC14" i="35"/>
  <c r="H20" i="35"/>
  <c r="U20" i="35" s="1"/>
  <c r="F20" i="35"/>
  <c r="AB23" i="35"/>
  <c r="AB29" i="36"/>
  <c r="U29" i="36"/>
  <c r="H32" i="37"/>
  <c r="AB32" i="37"/>
  <c r="F96" i="37"/>
  <c r="H27" i="40"/>
  <c r="U27" i="40" s="1"/>
  <c r="J27" i="40"/>
  <c r="F27" i="40"/>
  <c r="S27" i="40" s="1"/>
  <c r="J30" i="40"/>
  <c r="F30" i="40"/>
  <c r="AC21" i="40"/>
  <c r="S31" i="39"/>
  <c r="S11" i="40"/>
  <c r="E98" i="40"/>
  <c r="F98" i="40"/>
  <c r="G98" i="40" s="1"/>
  <c r="H98" i="40"/>
  <c r="I98" i="40" s="1"/>
  <c r="J98" i="40" s="1"/>
  <c r="K98" i="40" s="1"/>
  <c r="L98" i="40" s="1"/>
  <c r="M98" i="40" s="1"/>
  <c r="F10" i="33"/>
  <c r="S10" i="33" s="1"/>
  <c r="F34" i="33"/>
  <c r="S34" i="33" s="1"/>
  <c r="H34" i="33"/>
  <c r="U34" i="33" s="1"/>
  <c r="F35" i="33"/>
  <c r="S35" i="33" s="1"/>
  <c r="F39" i="34"/>
  <c r="J39" i="34"/>
  <c r="W39" i="34" s="1"/>
  <c r="F40" i="34"/>
  <c r="S40" i="34" s="1"/>
  <c r="F43" i="34"/>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C20" i="43" s="1"/>
  <c r="F23" i="39"/>
  <c r="AA23" i="39"/>
  <c r="H27" i="36"/>
  <c r="U27" i="36"/>
  <c r="F27" i="36"/>
  <c r="AA27" i="36"/>
  <c r="H33" i="34"/>
  <c r="U33" i="34"/>
  <c r="F32" i="37"/>
  <c r="AA32" i="37"/>
  <c r="G96" i="37"/>
  <c r="H96" i="37"/>
  <c r="I96" i="37" s="1"/>
  <c r="J96" i="37"/>
  <c r="K96" i="37" s="1"/>
  <c r="L96" i="37" s="1"/>
  <c r="M96" i="37" s="1"/>
  <c r="F20" i="36"/>
  <c r="J33" i="34"/>
  <c r="AC33" i="34" s="1"/>
  <c r="H23" i="39"/>
  <c r="U23" i="39" s="1"/>
  <c r="D48" i="9"/>
  <c r="M52" i="9" s="1"/>
  <c r="H86" i="43"/>
  <c r="H82" i="43"/>
  <c r="H87" i="43"/>
  <c r="K9" i="1"/>
  <c r="M9" i="1" s="1"/>
  <c r="AE9" i="1"/>
  <c r="D93" i="9"/>
  <c r="K6" i="1"/>
  <c r="M6" i="1" s="1"/>
  <c r="O6" i="1" s="1"/>
  <c r="P6" i="1" s="1"/>
  <c r="W27" i="34"/>
  <c r="AC27" i="34"/>
  <c r="AB34" i="36"/>
  <c r="AB33" i="36"/>
  <c r="AC12" i="39"/>
  <c r="W12" i="39"/>
  <c r="AC39" i="40"/>
  <c r="W39" i="40"/>
  <c r="AZ401" i="3"/>
  <c r="AZ417" i="3"/>
  <c r="AZ428" i="3"/>
  <c r="AZ433" i="3"/>
  <c r="AZ465" i="3"/>
  <c r="AZ586" i="3"/>
  <c r="W12" i="33"/>
  <c r="AC12" i="33"/>
  <c r="AA32" i="36"/>
  <c r="S32" i="36"/>
  <c r="AZ550" i="3"/>
  <c r="AZ408" i="3"/>
  <c r="AZ437" i="3"/>
  <c r="AZ441" i="3"/>
  <c r="AZ457" i="3"/>
  <c r="AZ473" i="3"/>
  <c r="AZ490" i="3"/>
  <c r="BL14" i="3"/>
  <c r="AZ266" i="3"/>
  <c r="U30" i="33"/>
  <c r="AC13" i="34"/>
  <c r="AA47" i="34"/>
  <c r="W28" i="37"/>
  <c r="S19" i="39"/>
  <c r="F12" i="33"/>
  <c r="S12" i="33" s="1"/>
  <c r="H12" i="39"/>
  <c r="AB12" i="39" s="1"/>
  <c r="F39" i="40"/>
  <c r="AA39" i="40" s="1"/>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s="1"/>
  <c r="S10" i="1"/>
  <c r="R10" i="1"/>
  <c r="B10" i="1"/>
  <c r="E10" i="1" s="1"/>
  <c r="D1" i="66"/>
  <c r="E10" i="66" s="1"/>
  <c r="AZ80" i="3"/>
  <c r="AZ84" i="3"/>
  <c r="AZ88" i="3"/>
  <c r="AZ107" i="3"/>
  <c r="AZ111" i="3"/>
  <c r="K12" i="1"/>
  <c r="M12" i="1" s="1"/>
  <c r="S13" i="1"/>
  <c r="AR13" i="1" s="1"/>
  <c r="R13" i="1"/>
  <c r="S11" i="1"/>
  <c r="R11" i="1"/>
  <c r="S9" i="1"/>
  <c r="AR9" i="1" s="1"/>
  <c r="R9" i="1"/>
  <c r="J51" i="67"/>
  <c r="C42" i="1"/>
  <c r="H100" i="43"/>
  <c r="C30" i="66"/>
  <c r="E26" i="66"/>
  <c r="AC34" i="33"/>
  <c r="B41" i="1"/>
  <c r="F53" i="9" s="1"/>
  <c r="J100" i="43"/>
  <c r="AB37" i="40"/>
  <c r="S35" i="40"/>
  <c r="U35" i="40"/>
  <c r="AC36" i="40"/>
  <c r="W38" i="40"/>
  <c r="AA32" i="40"/>
  <c r="S17" i="40"/>
  <c r="S23" i="40"/>
  <c r="AC17" i="40"/>
  <c r="AC15" i="40"/>
  <c r="AB27" i="40"/>
  <c r="AA19" i="40"/>
  <c r="S28" i="40"/>
  <c r="AB19" i="40"/>
  <c r="U37" i="39"/>
  <c r="W39" i="39"/>
  <c r="S43" i="39"/>
  <c r="S37" i="39"/>
  <c r="U35" i="39"/>
  <c r="F32" i="39"/>
  <c r="F107" i="39"/>
  <c r="G107" i="39" s="1"/>
  <c r="U25" i="39"/>
  <c r="AB27" i="39"/>
  <c r="U31" i="39"/>
  <c r="J21" i="39"/>
  <c r="AC21" i="39" s="1"/>
  <c r="F21" i="39"/>
  <c r="G95" i="39"/>
  <c r="H21" i="39"/>
  <c r="W19" i="39"/>
  <c r="U19" i="39"/>
  <c r="S17" i="39"/>
  <c r="S15" i="39"/>
  <c r="AA12" i="39"/>
  <c r="S9" i="39"/>
  <c r="U14" i="39"/>
  <c r="U12" i="39"/>
  <c r="S23" i="36"/>
  <c r="U13" i="36"/>
  <c r="AC27" i="36"/>
  <c r="AB27" i="36"/>
  <c r="U26" i="36"/>
  <c r="S33" i="36"/>
  <c r="S27" i="36"/>
  <c r="AA26" i="36"/>
  <c r="AA34" i="36"/>
  <c r="S29"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F26" i="35"/>
  <c r="J26" i="35"/>
  <c r="W26" i="35" s="1"/>
  <c r="AB40" i="37"/>
  <c r="S25" i="37"/>
  <c r="W27" i="37"/>
  <c r="S26" i="37"/>
  <c r="AC9" i="37"/>
  <c r="U29" i="37"/>
  <c r="S32" i="37"/>
  <c r="AB31" i="37"/>
  <c r="W30" i="37"/>
  <c r="S36" i="37"/>
  <c r="AA38" i="37"/>
  <c r="U32" i="37"/>
  <c r="W38" i="37"/>
  <c r="AC35" i="37"/>
  <c r="W39" i="37"/>
  <c r="S30" i="37"/>
  <c r="S37" i="37"/>
  <c r="AC15" i="37"/>
  <c r="J17" i="37"/>
  <c r="W17" i="37"/>
  <c r="F17" i="37"/>
  <c r="AB17" i="37"/>
  <c r="F75" i="37"/>
  <c r="F19" i="37"/>
  <c r="AA19" i="37" s="1"/>
  <c r="F79" i="37"/>
  <c r="F23" i="37"/>
  <c r="S23" i="37" s="1"/>
  <c r="U23" i="37"/>
  <c r="U15" i="37"/>
  <c r="AC13" i="37"/>
  <c r="AA13" i="37"/>
  <c r="AA9" i="37"/>
  <c r="H10" i="37"/>
  <c r="H60" i="37"/>
  <c r="F11" i="37"/>
  <c r="S11" i="37" s="1"/>
  <c r="S27" i="34"/>
  <c r="W25" i="34"/>
  <c r="AB8" i="34"/>
  <c r="U44" i="34"/>
  <c r="U43" i="34"/>
  <c r="W41" i="34"/>
  <c r="AC42" i="34"/>
  <c r="AB35" i="34"/>
  <c r="U39" i="34"/>
  <c r="AB41" i="34"/>
  <c r="AA45" i="34"/>
  <c r="W34" i="34"/>
  <c r="AA25" i="34"/>
  <c r="U28" i="34"/>
  <c r="S17" i="34"/>
  <c r="AA29" i="34"/>
  <c r="U27" i="34"/>
  <c r="S23" i="34"/>
  <c r="U15" i="34"/>
  <c r="S10" i="34"/>
  <c r="S13" i="34"/>
  <c r="H67" i="34"/>
  <c r="H10" i="34"/>
  <c r="F11" i="34"/>
  <c r="F70" i="34"/>
  <c r="G70" i="34" s="1"/>
  <c r="W42" i="33"/>
  <c r="AA35" i="33"/>
  <c r="AA29" i="33"/>
  <c r="AB29" i="33"/>
  <c r="W38" i="33"/>
  <c r="H41" i="33"/>
  <c r="AB41" i="33" s="1"/>
  <c r="F121" i="33"/>
  <c r="G121" i="33"/>
  <c r="H121" i="33" s="1"/>
  <c r="I121" i="33"/>
  <c r="J121" i="33" s="1"/>
  <c r="K121" i="33" s="1"/>
  <c r="L121" i="33" s="1"/>
  <c r="M121" i="33" s="1"/>
  <c r="F36" i="33"/>
  <c r="G108" i="33"/>
  <c r="H108" i="33" s="1"/>
  <c r="I108" i="33" s="1"/>
  <c r="J108" i="33" s="1"/>
  <c r="K108" i="33" s="1"/>
  <c r="L108" i="33" s="1"/>
  <c r="M108" i="33" s="1"/>
  <c r="J35" i="33"/>
  <c r="AC35" i="33" s="1"/>
  <c r="S37" i="33"/>
  <c r="AA37" i="33"/>
  <c r="S39" i="33"/>
  <c r="S46" i="33"/>
  <c r="W43" i="33"/>
  <c r="S43" i="33"/>
  <c r="J23" i="33"/>
  <c r="W23" i="33" s="1"/>
  <c r="H23" i="33"/>
  <c r="U23" i="33" s="1"/>
  <c r="J17" i="33"/>
  <c r="AC17" i="33" s="1"/>
  <c r="U9" i="33"/>
  <c r="J10" i="33"/>
  <c r="AC10" i="33" s="1"/>
  <c r="H10" i="33"/>
  <c r="U10" i="33" s="1"/>
  <c r="AB14" i="33"/>
  <c r="W43" i="21"/>
  <c r="W36" i="21"/>
  <c r="W41" i="21"/>
  <c r="AB39" i="21"/>
  <c r="AA43" i="21"/>
  <c r="S39" i="21"/>
  <c r="AA38" i="21"/>
  <c r="AA36" i="21"/>
  <c r="AC40" i="21"/>
  <c r="J15" i="21"/>
  <c r="F77" i="21"/>
  <c r="G77" i="21" s="1"/>
  <c r="F23" i="21"/>
  <c r="S23" i="21" s="1"/>
  <c r="E85" i="21"/>
  <c r="F85" i="21" s="1"/>
  <c r="AC11" i="21"/>
  <c r="AA14" i="21"/>
  <c r="AB8" i="21"/>
  <c r="S8" i="21"/>
  <c r="M3" i="43"/>
  <c r="N10" i="43"/>
  <c r="M1" i="43"/>
  <c r="M8" i="43"/>
  <c r="N8" i="43"/>
  <c r="N9" i="43"/>
  <c r="C18" i="9"/>
  <c r="D18" i="9" s="1"/>
  <c r="F34" i="67"/>
  <c r="F62" i="67" s="1"/>
  <c r="M20" i="67"/>
  <c r="F34" i="15"/>
  <c r="F62" i="15" s="1"/>
  <c r="G13" i="3"/>
  <c r="BA13" i="3"/>
  <c r="E11" i="6"/>
  <c r="E61" i="39" s="1"/>
  <c r="BL17" i="3"/>
  <c r="BL13" i="3"/>
  <c r="J56" i="9"/>
  <c r="J57" i="9"/>
  <c r="A24" i="51"/>
  <c r="B18" i="72" s="1"/>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7" i="21"/>
  <c r="C7" i="40"/>
  <c r="C63" i="40" s="1"/>
  <c r="M47" i="9"/>
  <c r="G19" i="43"/>
  <c r="T35" i="4"/>
  <c r="A19" i="51" s="1"/>
  <c r="B14" i="72" s="1"/>
  <c r="C46" i="36"/>
  <c r="D46" i="36" s="1"/>
  <c r="E46" i="36" s="1"/>
  <c r="C59" i="34"/>
  <c r="D59" i="34" s="1"/>
  <c r="E59" i="34" s="1"/>
  <c r="F59" i="34" s="1"/>
  <c r="G59" i="34" s="1"/>
  <c r="A4" i="51"/>
  <c r="B6" i="72" s="1"/>
  <c r="C48" i="35"/>
  <c r="D48" i="35" s="1"/>
  <c r="C58" i="21"/>
  <c r="D58" i="21" s="1"/>
  <c r="E58" i="21" s="1"/>
  <c r="F58" i="21" s="1"/>
  <c r="G58" i="21" s="1"/>
  <c r="H58" i="21" s="1"/>
  <c r="I58" i="21" s="1"/>
  <c r="J58" i="21" s="1"/>
  <c r="K58" i="21" s="1"/>
  <c r="C4" i="12"/>
  <c r="H62" i="43"/>
  <c r="H61" i="43"/>
  <c r="H60" i="43"/>
  <c r="H59" i="43"/>
  <c r="H67" i="43"/>
  <c r="H51" i="43"/>
  <c r="H76" i="43"/>
  <c r="H72" i="43"/>
  <c r="H77" i="43"/>
  <c r="L20" i="6"/>
  <c r="B6" i="1"/>
  <c r="E6" i="1" s="1"/>
  <c r="S8" i="1"/>
  <c r="AQ8" i="1" s="1"/>
  <c r="K11" i="1"/>
  <c r="M11" i="1" s="1"/>
  <c r="O11" i="1" s="1"/>
  <c r="P11" i="1" s="1"/>
  <c r="AP6" i="1"/>
  <c r="B9" i="1"/>
  <c r="E9" i="1" s="1"/>
  <c r="K7"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AB41" i="39"/>
  <c r="W25" i="39"/>
  <c r="AC25" i="39"/>
  <c r="AB13" i="39"/>
  <c r="AA13" i="39"/>
  <c r="S13"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AC25" i="35"/>
  <c r="U25" i="35"/>
  <c r="S24" i="35"/>
  <c r="W33" i="35"/>
  <c r="AA30" i="35"/>
  <c r="U24" i="35"/>
  <c r="S35" i="35"/>
  <c r="W35" i="35"/>
  <c r="AA16" i="35"/>
  <c r="AA35" i="37"/>
  <c r="S27" i="37"/>
  <c r="S28" i="37"/>
  <c r="W32" i="37"/>
  <c r="U36" i="37"/>
  <c r="S40" i="37"/>
  <c r="U38" i="37"/>
  <c r="AB37" i="37"/>
  <c r="S33" i="37"/>
  <c r="AC34" i="37"/>
  <c r="AB35" i="37"/>
  <c r="AA11" i="37"/>
  <c r="U19" i="37"/>
  <c r="AA29" i="37"/>
  <c r="AA8" i="37"/>
  <c r="U8" i="37"/>
  <c r="AA40" i="34"/>
  <c r="AB40" i="34"/>
  <c r="U19" i="34"/>
  <c r="W19" i="34"/>
  <c r="AB33"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39" i="33"/>
  <c r="U38" i="33"/>
  <c r="U44" i="33"/>
  <c r="S30" i="33"/>
  <c r="AC14" i="33"/>
  <c r="AC30" i="33"/>
  <c r="W30" i="33"/>
  <c r="S31" i="33"/>
  <c r="AA31" i="33"/>
  <c r="W13" i="33"/>
  <c r="AC13" i="33"/>
  <c r="U37"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W29" i="21"/>
  <c r="S19" i="21"/>
  <c r="S9" i="21"/>
  <c r="K141" i="21"/>
  <c r="K144" i="21"/>
  <c r="K143" i="21"/>
  <c r="U27" i="21"/>
  <c r="AB25" i="21"/>
  <c r="AB44" i="21"/>
  <c r="AA30" i="21"/>
  <c r="W13" i="21"/>
  <c r="W42" i="21"/>
  <c r="F10" i="21"/>
  <c r="AA10" i="21" s="1"/>
  <c r="K145" i="21"/>
  <c r="W17" i="21"/>
  <c r="W25" i="21"/>
  <c r="AA29" i="21"/>
  <c r="W31" i="21"/>
  <c r="S2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AZ13" i="3"/>
  <c r="E7" i="70"/>
  <c r="S39" i="40"/>
  <c r="AA12" i="33"/>
  <c r="C16" i="43"/>
  <c r="J32" i="39"/>
  <c r="H107" i="39"/>
  <c r="I107" i="39" s="1"/>
  <c r="J107" i="39" s="1"/>
  <c r="K107" i="39" s="1"/>
  <c r="L107" i="39" s="1"/>
  <c r="M107" i="39" s="1"/>
  <c r="H32" i="39"/>
  <c r="AA32" i="39"/>
  <c r="S32" i="39"/>
  <c r="AB21" i="39"/>
  <c r="U21" i="39"/>
  <c r="AA21" i="39"/>
  <c r="S21" i="39"/>
  <c r="W21" i="39"/>
  <c r="U9" i="35"/>
  <c r="AB9" i="35"/>
  <c r="AC26" i="35"/>
  <c r="AB26" i="35"/>
  <c r="AC17" i="37"/>
  <c r="J19" i="37"/>
  <c r="G75" i="37"/>
  <c r="S19" i="37"/>
  <c r="AA23" i="37"/>
  <c r="J23" i="37"/>
  <c r="G79" i="37"/>
  <c r="J10" i="37"/>
  <c r="I60" i="37"/>
  <c r="H11" i="37"/>
  <c r="AB10" i="37"/>
  <c r="U10" i="37"/>
  <c r="H11" i="34"/>
  <c r="U11" i="34" s="1"/>
  <c r="AB10" i="34"/>
  <c r="U10" i="34"/>
  <c r="J10" i="34"/>
  <c r="I67" i="34"/>
  <c r="U41" i="33"/>
  <c r="H36" i="33"/>
  <c r="AB23" i="33"/>
  <c r="F23" i="33"/>
  <c r="S23" i="33" s="1"/>
  <c r="H17" i="33"/>
  <c r="U17" i="33" s="1"/>
  <c r="F17" i="33"/>
  <c r="S17" i="33" s="1"/>
  <c r="W17" i="33"/>
  <c r="W10" i="33"/>
  <c r="AC37" i="21"/>
  <c r="U33" i="21"/>
  <c r="S37" i="21"/>
  <c r="AA23" i="21"/>
  <c r="AB15" i="21"/>
  <c r="J23" i="21"/>
  <c r="G85" i="21"/>
  <c r="H23" i="21"/>
  <c r="S13" i="21"/>
  <c r="J59" i="9"/>
  <c r="J61" i="9"/>
  <c r="O19" i="43"/>
  <c r="C5" i="43"/>
  <c r="AP7" i="1"/>
  <c r="AB45" i="21"/>
  <c r="W33" i="21"/>
  <c r="S33" i="21"/>
  <c r="AA33" i="21"/>
  <c r="W32" i="21"/>
  <c r="AC32" i="21"/>
  <c r="AB9" i="21"/>
  <c r="U9" i="21"/>
  <c r="AA32" i="21"/>
  <c r="S32" i="21"/>
  <c r="W9" i="21"/>
  <c r="AC9" i="21"/>
  <c r="AB32" i="21"/>
  <c r="U32" i="21"/>
  <c r="U32" i="39"/>
  <c r="AB32" i="39"/>
  <c r="AC32" i="39"/>
  <c r="W32" i="39"/>
  <c r="W19" i="37"/>
  <c r="AC19" i="37"/>
  <c r="W23" i="37"/>
  <c r="AC23" i="37"/>
  <c r="AB11" i="37"/>
  <c r="U11" i="37"/>
  <c r="H63" i="37"/>
  <c r="I63" i="37" s="1"/>
  <c r="J63" i="37" s="1"/>
  <c r="K63" i="37" s="1"/>
  <c r="L63" i="37" s="1"/>
  <c r="M63" i="37" s="1"/>
  <c r="J11" i="37"/>
  <c r="W11" i="37" s="1"/>
  <c r="W10" i="37"/>
  <c r="AC10" i="37"/>
  <c r="AB11" i="34"/>
  <c r="AC10" i="34"/>
  <c r="W10" i="34"/>
  <c r="H70" i="34"/>
  <c r="I70" i="34"/>
  <c r="J70" i="34" s="1"/>
  <c r="K70" i="34" s="1"/>
  <c r="L70" i="34" s="1"/>
  <c r="M70" i="34" s="1"/>
  <c r="J11" i="34"/>
  <c r="U36" i="33"/>
  <c r="AB36" i="33"/>
  <c r="AB17" i="33"/>
  <c r="U23" i="21"/>
  <c r="AB23" i="21"/>
  <c r="AC23" i="21"/>
  <c r="W23" i="21"/>
  <c r="F1" i="15"/>
  <c r="Q52" i="15"/>
  <c r="H59" i="34"/>
  <c r="I59" i="34" s="1"/>
  <c r="J59" i="34"/>
  <c r="K59" i="34" s="1"/>
  <c r="L59" i="34" s="1"/>
  <c r="G39" i="43"/>
  <c r="I39" i="43" s="1"/>
  <c r="AC11" i="37"/>
  <c r="W11" i="34"/>
  <c r="AC11" i="34"/>
  <c r="F34" i="11"/>
  <c r="C36" i="11" s="1"/>
  <c r="F11" i="12"/>
  <c r="F34" i="68"/>
  <c r="C36" i="68" s="1"/>
  <c r="R8" i="1"/>
  <c r="AE7" i="1"/>
  <c r="AE8" i="1"/>
  <c r="AG6" i="1"/>
  <c r="H109" i="9"/>
  <c r="D124" i="9" s="1"/>
  <c r="H110" i="9"/>
  <c r="D18" i="53" s="1"/>
  <c r="B35" i="72" s="1"/>
  <c r="D16" i="53"/>
  <c r="B34" i="72" s="1"/>
  <c r="H112" i="9"/>
  <c r="D21" i="53" s="1"/>
  <c r="B39" i="72" s="1"/>
  <c r="H111" i="9"/>
  <c r="D126" i="9" s="1"/>
  <c r="D59" i="9"/>
  <c r="M55" i="9" s="1"/>
  <c r="AD3" i="71"/>
  <c r="P21" i="43" s="1"/>
  <c r="P22" i="43"/>
  <c r="P24" i="43"/>
  <c r="B66" i="40" s="1"/>
  <c r="F31" i="67"/>
  <c r="F31" i="15"/>
  <c r="B11" i="76"/>
  <c r="M29" i="15"/>
  <c r="M29" i="67"/>
  <c r="J15" i="67"/>
  <c r="M6" i="67"/>
  <c r="F36" i="15"/>
  <c r="B9" i="76"/>
  <c r="F16" i="15"/>
  <c r="E12" i="76"/>
  <c r="M8" i="67"/>
  <c r="AO9" i="1"/>
  <c r="F37" i="67"/>
  <c r="F5" i="73"/>
  <c r="F36" i="67"/>
  <c r="F20" i="31"/>
  <c r="L47" i="67"/>
  <c r="F37" i="15"/>
  <c r="J15" i="15"/>
  <c r="F38" i="15"/>
  <c r="E2" i="69"/>
  <c r="M8" i="15"/>
  <c r="E2" i="68"/>
  <c r="C76" i="15"/>
  <c r="F40" i="15"/>
  <c r="AO12" i="1"/>
  <c r="L48" i="67"/>
  <c r="B12" i="76"/>
  <c r="F9" i="67"/>
  <c r="AO10" i="1"/>
  <c r="F26" i="67"/>
  <c r="M21" i="15"/>
  <c r="B8" i="76"/>
  <c r="L48" i="15"/>
  <c r="F7" i="15"/>
  <c r="M24" i="67"/>
  <c r="M23" i="67"/>
  <c r="E13" i="76"/>
  <c r="D2" i="37"/>
  <c r="F6" i="73"/>
  <c r="D34" i="9"/>
  <c r="F13" i="15"/>
  <c r="F8" i="15"/>
  <c r="B13" i="76"/>
  <c r="AO8" i="1"/>
  <c r="D2" i="34"/>
  <c r="F43" i="67"/>
  <c r="D2" i="21"/>
  <c r="F7" i="73"/>
  <c r="M27" i="67"/>
  <c r="F38" i="67"/>
  <c r="M22" i="67"/>
  <c r="M24" i="15"/>
  <c r="F6" i="67"/>
  <c r="AO13" i="1"/>
  <c r="M6" i="15"/>
  <c r="AO7" i="1"/>
  <c r="D35" i="9"/>
  <c r="F9" i="15"/>
  <c r="D2" i="36"/>
  <c r="AO11" i="1"/>
  <c r="M27" i="15"/>
  <c r="B10" i="76"/>
  <c r="F43" i="15"/>
  <c r="F26" i="15"/>
  <c r="F40" i="67"/>
  <c r="E8" i="76"/>
  <c r="L47" i="15"/>
  <c r="M22" i="15"/>
  <c r="F6" i="15"/>
  <c r="M26" i="15"/>
  <c r="M26" i="67"/>
  <c r="M23" i="15"/>
  <c r="F41" i="15"/>
  <c r="F3" i="73"/>
  <c r="E7" i="76"/>
  <c r="M9" i="15"/>
  <c r="E10" i="76"/>
  <c r="F4" i="73"/>
  <c r="F42" i="15"/>
  <c r="D2" i="33"/>
  <c r="F35" i="15"/>
  <c r="C76" i="67"/>
  <c r="F42" i="67"/>
  <c r="F7" i="67"/>
  <c r="M9" i="67"/>
  <c r="F13" i="67"/>
  <c r="B7" i="76"/>
  <c r="M28" i="67"/>
  <c r="D2" i="35"/>
  <c r="E9" i="76"/>
  <c r="M28" i="15"/>
  <c r="F16" i="67"/>
  <c r="F8" i="67"/>
  <c r="E11" i="76"/>
  <c r="AC28" i="33" l="1"/>
  <c r="AB28" i="33"/>
  <c r="S28" i="33"/>
  <c r="S10" i="21"/>
  <c r="S11" i="34"/>
  <c r="AA11" i="34"/>
  <c r="AA26" i="35"/>
  <c r="S26" i="35"/>
  <c r="AQ11" i="1"/>
  <c r="AR11" i="1"/>
  <c r="AQ10" i="1"/>
  <c r="AR10" i="1"/>
  <c r="AA20" i="36"/>
  <c r="S20" i="36"/>
  <c r="AA43" i="34"/>
  <c r="S43" i="34"/>
  <c r="AA30" i="40"/>
  <c r="S30" i="40"/>
  <c r="U20" i="36"/>
  <c r="AB20" i="36"/>
  <c r="E10" i="6"/>
  <c r="E14" i="6"/>
  <c r="E64" i="39" s="1"/>
  <c r="AA11" i="39"/>
  <c r="S11" i="39"/>
  <c r="U15" i="39"/>
  <c r="AB15" i="39"/>
  <c r="AA25" i="39"/>
  <c r="S25" i="39"/>
  <c r="AB21" i="40"/>
  <c r="U21" i="40"/>
  <c r="S12" i="37"/>
  <c r="AA12" i="37"/>
  <c r="AB9" i="37"/>
  <c r="U9" i="37"/>
  <c r="AB42" i="33"/>
  <c r="U42" i="33"/>
  <c r="AB17" i="21"/>
  <c r="U17" i="21"/>
  <c r="AC36" i="37"/>
  <c r="W36" i="37"/>
  <c r="AC14" i="39"/>
  <c r="W14" i="39"/>
  <c r="U47" i="34"/>
  <c r="AB47" i="34"/>
  <c r="W45" i="34"/>
  <c r="AC45" i="34"/>
  <c r="AC31" i="34"/>
  <c r="W31" i="34"/>
  <c r="AC40" i="37"/>
  <c r="W40" i="37"/>
  <c r="W29" i="37"/>
  <c r="AC29" i="37"/>
  <c r="AC11" i="36"/>
  <c r="W11" i="36"/>
  <c r="W26" i="36"/>
  <c r="AC26" i="36"/>
  <c r="U46" i="34"/>
  <c r="AB46" i="34"/>
  <c r="S14" i="34"/>
  <c r="AA14" i="34"/>
  <c r="AB13" i="33"/>
  <c r="U13" i="33"/>
  <c r="W45" i="21"/>
  <c r="AC45" i="21"/>
  <c r="AC9" i="33"/>
  <c r="W9" i="33"/>
  <c r="AC9" i="34"/>
  <c r="W9" i="34"/>
  <c r="AC34" i="35"/>
  <c r="W34" i="35"/>
  <c r="AB36" i="35"/>
  <c r="U36" i="35"/>
  <c r="U25" i="37"/>
  <c r="AB25" i="37"/>
  <c r="H111" i="33"/>
  <c r="I111" i="33" s="1"/>
  <c r="J111" i="33" s="1"/>
  <c r="K111" i="33" s="1"/>
  <c r="L111" i="33" s="1"/>
  <c r="M111" i="33" s="1"/>
  <c r="J36" i="33"/>
  <c r="AZ551" i="3"/>
  <c r="I7" i="33"/>
  <c r="E7" i="33"/>
  <c r="G7" i="33"/>
  <c r="C58" i="33"/>
  <c r="D58" i="33" s="1"/>
  <c r="E58" i="33" s="1"/>
  <c r="F58" i="33" s="1"/>
  <c r="G58" i="33" s="1"/>
  <c r="H58" i="33" s="1"/>
  <c r="I58" i="33" s="1"/>
  <c r="J58" i="33" s="1"/>
  <c r="K58" i="33" s="1"/>
  <c r="L58" i="33" s="1"/>
  <c r="M58" i="33" s="1"/>
  <c r="N58" i="33" s="1"/>
  <c r="O58" i="33" s="1"/>
  <c r="AA17" i="37"/>
  <c r="S17" i="37"/>
  <c r="P25" i="43"/>
  <c r="P23" i="43"/>
  <c r="B71" i="39" s="1"/>
  <c r="D19" i="53"/>
  <c r="B38" i="72" s="1"/>
  <c r="AA9" i="35"/>
  <c r="W15" i="21"/>
  <c r="AC15" i="21"/>
  <c r="AA36" i="33"/>
  <c r="S36" i="33"/>
  <c r="AC39" i="34"/>
  <c r="AA27" i="40"/>
  <c r="S39" i="34"/>
  <c r="AA39" i="34"/>
  <c r="AC30" i="40"/>
  <c r="W30" i="40"/>
  <c r="AC27" i="40"/>
  <c r="W27" i="40"/>
  <c r="AA20" i="35"/>
  <c r="S20" i="35"/>
  <c r="S33" i="34"/>
  <c r="AA33" i="34"/>
  <c r="H52" i="43"/>
  <c r="H50" i="43"/>
  <c r="H48" i="43"/>
  <c r="H53" i="43"/>
  <c r="H55" i="43"/>
  <c r="H56" i="43"/>
  <c r="BQ5" i="3"/>
  <c r="AZ372" i="3"/>
  <c r="AZ337" i="3"/>
  <c r="AZ305" i="3"/>
  <c r="AZ362" i="3"/>
  <c r="H66" i="43"/>
  <c r="H65" i="43"/>
  <c r="H64" i="43"/>
  <c r="H63" i="43"/>
  <c r="W11" i="39"/>
  <c r="AC11" i="39"/>
  <c r="D8" i="53"/>
  <c r="D120" i="9"/>
  <c r="W15" i="39"/>
  <c r="AC15" i="39"/>
  <c r="AC12" i="37"/>
  <c r="AC42" i="39"/>
  <c r="W42" i="39"/>
  <c r="S31" i="37"/>
  <c r="AA31" i="37"/>
  <c r="AB12" i="37"/>
  <c r="U12" i="37"/>
  <c r="W47" i="34"/>
  <c r="AZ557" i="3"/>
  <c r="AZ495" i="3"/>
  <c r="AZ499" i="3"/>
  <c r="AZ513" i="3"/>
  <c r="AZ517" i="3"/>
  <c r="AZ567" i="3"/>
  <c r="AZ571" i="3"/>
  <c r="AZ575" i="3"/>
  <c r="AZ579" i="3"/>
  <c r="AZ546" i="3"/>
  <c r="AZ568" i="3"/>
  <c r="AZ576" i="3"/>
  <c r="AA17" i="21"/>
  <c r="S17" i="21"/>
  <c r="AC30" i="34"/>
  <c r="S11" i="36"/>
  <c r="W13" i="39"/>
  <c r="AC13" i="39"/>
  <c r="AZ17" i="3"/>
  <c r="AZ548" i="3"/>
  <c r="AZ585" i="3"/>
  <c r="W41" i="33"/>
  <c r="AC41" i="33"/>
  <c r="S12" i="34"/>
  <c r="AA12" i="34"/>
  <c r="AC31" i="40"/>
  <c r="W31" i="40"/>
  <c r="AZ409" i="3"/>
  <c r="AZ416" i="3"/>
  <c r="F26" i="33"/>
  <c r="AA26" i="33" s="1"/>
  <c r="F9" i="33"/>
  <c r="AA9" i="33" s="1"/>
  <c r="H9" i="34"/>
  <c r="F34" i="35"/>
  <c r="H34" i="35"/>
  <c r="J36" i="35"/>
  <c r="AZ422" i="3"/>
  <c r="AZ425" i="3"/>
  <c r="AZ432" i="3"/>
  <c r="AZ445" i="3"/>
  <c r="AZ447" i="3"/>
  <c r="AZ464" i="3"/>
  <c r="AZ467" i="3"/>
  <c r="AZ474" i="3"/>
  <c r="AZ480" i="3"/>
  <c r="AZ482" i="3"/>
  <c r="AZ486" i="3"/>
  <c r="AZ488" i="3"/>
  <c r="AZ216" i="3"/>
  <c r="AZ221" i="3"/>
  <c r="AZ226" i="3"/>
  <c r="AZ230" i="3"/>
  <c r="AZ242" i="3"/>
  <c r="AZ246" i="3"/>
  <c r="AZ258" i="3"/>
  <c r="AZ262" i="3"/>
  <c r="AZ267" i="3"/>
  <c r="AZ278" i="3"/>
  <c r="AZ284" i="3"/>
  <c r="AZ421" i="3"/>
  <c r="AZ285" i="3"/>
  <c r="AZ290" i="3"/>
  <c r="AZ293" i="3"/>
  <c r="AZ153" i="3"/>
  <c r="AZ169" i="3"/>
  <c r="AZ185" i="3"/>
  <c r="AZ201" i="3"/>
  <c r="AZ207" i="3"/>
  <c r="AZ22" i="3"/>
  <c r="AZ30" i="3"/>
  <c r="AZ40" i="3"/>
  <c r="AZ49" i="3"/>
  <c r="AZ54" i="3"/>
  <c r="AZ65" i="3"/>
  <c r="AZ76" i="3"/>
  <c r="AZ81" i="3"/>
  <c r="AZ90" i="3"/>
  <c r="AZ96" i="3"/>
  <c r="AZ99" i="3"/>
  <c r="AZ106" i="3"/>
  <c r="AZ112" i="3"/>
  <c r="D24" i="67"/>
  <c r="D22" i="67"/>
  <c r="S21" i="33"/>
  <c r="AA21" i="33"/>
  <c r="C18" i="71"/>
  <c r="D17" i="71"/>
  <c r="AB11" i="71"/>
  <c r="AA5" i="71"/>
  <c r="S50" i="71"/>
  <c r="B49" i="71"/>
  <c r="Y6" i="71"/>
  <c r="Z6" i="71" s="1"/>
  <c r="AB6" i="71"/>
  <c r="X6" i="71"/>
  <c r="AB5" i="71"/>
  <c r="J1" i="73"/>
  <c r="AA6" i="71"/>
  <c r="Y5" i="71"/>
  <c r="Z5" i="71" s="1"/>
  <c r="X5" i="71"/>
  <c r="F87" i="33"/>
  <c r="G87" i="33" s="1"/>
  <c r="H87" i="33" s="1"/>
  <c r="I87" i="33" s="1"/>
  <c r="J87" i="33" s="1"/>
  <c r="K87" i="33" s="1"/>
  <c r="L87" i="33" s="1"/>
  <c r="M87" i="33" s="1"/>
  <c r="J25" i="33"/>
  <c r="W25" i="33" s="1"/>
  <c r="H25" i="33"/>
  <c r="AB25" i="33" s="1"/>
  <c r="F25" i="33"/>
  <c r="S25" i="33" s="1"/>
  <c r="W40" i="33"/>
  <c r="W39" i="33"/>
  <c r="F27" i="33"/>
  <c r="F91" i="33"/>
  <c r="G91" i="33" s="1"/>
  <c r="H91" i="33" s="1"/>
  <c r="I91" i="33" s="1"/>
  <c r="J91" i="33" s="1"/>
  <c r="K91" i="33" s="1"/>
  <c r="L91" i="33" s="1"/>
  <c r="M91" i="33" s="1"/>
  <c r="H27" i="33"/>
  <c r="AB27" i="33" s="1"/>
  <c r="J27" i="33"/>
  <c r="AC27" i="33" s="1"/>
  <c r="F81" i="33"/>
  <c r="G81" i="33" s="1"/>
  <c r="H19" i="33"/>
  <c r="U19" i="33" s="1"/>
  <c r="F19" i="33"/>
  <c r="S19" i="33" s="1"/>
  <c r="J19" i="33"/>
  <c r="U43" i="33"/>
  <c r="F32" i="33"/>
  <c r="AA32" i="33" s="1"/>
  <c r="F101" i="33"/>
  <c r="G101" i="33" s="1"/>
  <c r="H101" i="33" s="1"/>
  <c r="I101" i="33" s="1"/>
  <c r="J101" i="33" s="1"/>
  <c r="K101" i="33" s="1"/>
  <c r="L101" i="33" s="1"/>
  <c r="M101" i="33" s="1"/>
  <c r="J32" i="33"/>
  <c r="AC32" i="33" s="1"/>
  <c r="H32" i="33"/>
  <c r="H69" i="33"/>
  <c r="I69" i="33" s="1"/>
  <c r="J69" i="33" s="1"/>
  <c r="K69" i="33" s="1"/>
  <c r="L69" i="33" s="1"/>
  <c r="M69" i="33" s="1"/>
  <c r="W35" i="33"/>
  <c r="W27" i="33"/>
  <c r="AB26" i="33"/>
  <c r="AA25" i="33"/>
  <c r="S42" i="33"/>
  <c r="S41" i="33"/>
  <c r="S38" i="33"/>
  <c r="AC37" i="33"/>
  <c r="U35" i="33"/>
  <c r="AB34" i="33"/>
  <c r="AA34" i="33"/>
  <c r="W32" i="33"/>
  <c r="S26" i="33"/>
  <c r="U25" i="33"/>
  <c r="U40" i="33"/>
  <c r="W26" i="33"/>
  <c r="AC26" i="33"/>
  <c r="AC23" i="33"/>
  <c r="AA23" i="33"/>
  <c r="AA17" i="33"/>
  <c r="F77" i="33"/>
  <c r="G77" i="33" s="1"/>
  <c r="F15" i="33"/>
  <c r="J15" i="33"/>
  <c r="H15" i="33"/>
  <c r="AB10" i="33"/>
  <c r="AA10" i="33"/>
  <c r="S9" i="33"/>
  <c r="J53" i="67"/>
  <c r="Q52" i="67" s="1"/>
  <c r="P74" i="67"/>
  <c r="F1" i="67"/>
  <c r="C94" i="9"/>
  <c r="C92" i="9"/>
  <c r="F32" i="67"/>
  <c r="F60" i="67" s="1"/>
  <c r="F28" i="15"/>
  <c r="F31" i="12"/>
  <c r="C31" i="12" s="1"/>
  <c r="D68" i="9"/>
  <c r="F30" i="69"/>
  <c r="C30" i="69" s="1"/>
  <c r="F30" i="68"/>
  <c r="C48" i="68" s="1"/>
  <c r="C13" i="12"/>
  <c r="F54" i="9"/>
  <c r="M18" i="15"/>
  <c r="F32" i="15"/>
  <c r="F60" i="15" s="1"/>
  <c r="M18" i="67"/>
  <c r="F52" i="9"/>
  <c r="F28" i="67"/>
  <c r="C28" i="67" s="1"/>
  <c r="F30" i="11"/>
  <c r="C40" i="68"/>
  <c r="C40" i="69"/>
  <c r="D23" i="67"/>
  <c r="BL15" i="3"/>
  <c r="AZ15" i="3" s="1"/>
  <c r="G14" i="3"/>
  <c r="BA18" i="3"/>
  <c r="AZ18" i="3" s="1"/>
  <c r="G30" i="6"/>
  <c r="G31" i="6" s="1"/>
  <c r="F28" i="6"/>
  <c r="E8" i="49"/>
  <c r="G18" i="3"/>
  <c r="T8" i="1"/>
  <c r="AC5" i="3"/>
  <c r="E28" i="6"/>
  <c r="K14" i="1" s="1"/>
  <c r="M14" i="1" s="1"/>
  <c r="O14" i="1" s="1"/>
  <c r="P14" i="1" s="1"/>
  <c r="F30" i="6"/>
  <c r="AQ12" i="1"/>
  <c r="L27" i="6"/>
  <c r="AZ14" i="3"/>
  <c r="D9" i="69"/>
  <c r="C9" i="69" s="1"/>
  <c r="C36" i="69"/>
  <c r="Q16" i="1"/>
  <c r="F27" i="68" s="1"/>
  <c r="E29" i="6"/>
  <c r="B8" i="49"/>
  <c r="E22" i="49"/>
  <c r="E8" i="6"/>
  <c r="E56" i="39" s="1"/>
  <c r="I4" i="6"/>
  <c r="BA19" i="3"/>
  <c r="T9" i="1"/>
  <c r="E13" i="6"/>
  <c r="E58" i="40" s="1"/>
  <c r="E15" i="6"/>
  <c r="E60" i="40" s="1"/>
  <c r="E59" i="40"/>
  <c r="E56" i="40"/>
  <c r="E12" i="6"/>
  <c r="E57" i="40" s="1"/>
  <c r="M7" i="1"/>
  <c r="O7" i="1" s="1"/>
  <c r="AR8" i="1"/>
  <c r="T13" i="1"/>
  <c r="AQ9" i="1"/>
  <c r="T11" i="1"/>
  <c r="AQ13" i="1"/>
  <c r="T10" i="1"/>
  <c r="T12" i="1"/>
  <c r="H16" i="1"/>
  <c r="BL5" i="3"/>
  <c r="D9" i="68"/>
  <c r="C9" i="68" s="1"/>
  <c r="O12" i="1"/>
  <c r="P12" i="1" s="1"/>
  <c r="D19" i="12"/>
  <c r="C19" i="12" s="1"/>
  <c r="K15" i="1"/>
  <c r="E30" i="6"/>
  <c r="O9" i="1"/>
  <c r="P9" i="1" s="1"/>
  <c r="O8" i="1"/>
  <c r="AZ19" i="3"/>
  <c r="BA5" i="3"/>
  <c r="E5" i="49"/>
  <c r="B9" i="49"/>
  <c r="B7" i="49"/>
  <c r="E11" i="49"/>
  <c r="B4" i="49"/>
  <c r="E10" i="49"/>
  <c r="E16" i="49"/>
  <c r="B5" i="49"/>
  <c r="B14" i="49"/>
  <c r="B22" i="49"/>
  <c r="A15" i="62"/>
  <c r="B61" i="72" s="1"/>
  <c r="E4" i="49"/>
  <c r="B6" i="49"/>
  <c r="E9" i="49"/>
  <c r="E21" i="49"/>
  <c r="B11" i="49"/>
  <c r="B13" i="49"/>
  <c r="C4" i="4" s="1"/>
  <c r="E6" i="49"/>
  <c r="E7" i="49"/>
  <c r="B16" i="49"/>
  <c r="B10" i="49"/>
  <c r="G10" i="1"/>
  <c r="G8" i="1"/>
  <c r="G12" i="1"/>
  <c r="G16" i="1" s="1"/>
  <c r="H10" i="40" s="1"/>
  <c r="D20" i="53"/>
  <c r="B40" i="72" s="1"/>
  <c r="I14" i="74"/>
  <c r="B8" i="74" s="1"/>
  <c r="D127" i="9"/>
  <c r="D13" i="52" s="1"/>
  <c r="D12" i="52"/>
  <c r="D10" i="52"/>
  <c r="D125" i="9"/>
  <c r="D11" i="52" s="1"/>
  <c r="H14" i="74"/>
  <c r="B7" i="74" s="1"/>
  <c r="D17" i="53"/>
  <c r="B36" i="72" s="1"/>
  <c r="C23" i="12"/>
  <c r="L58" i="21"/>
  <c r="M58" i="21" s="1"/>
  <c r="N58" i="21" s="1"/>
  <c r="O58" i="21" s="1"/>
  <c r="H7" i="21"/>
  <c r="F7" i="21"/>
  <c r="M59" i="34"/>
  <c r="N59" i="34" s="1"/>
  <c r="O59" i="34" s="1"/>
  <c r="F7" i="34"/>
  <c r="H7" i="34"/>
  <c r="E48" i="35"/>
  <c r="F48" i="35" s="1"/>
  <c r="G48" i="35" s="1"/>
  <c r="H48" i="35" s="1"/>
  <c r="I48" i="35" s="1"/>
  <c r="J48" i="35" s="1"/>
  <c r="K48" i="35" s="1"/>
  <c r="L48" i="35" s="1"/>
  <c r="M48" i="35" s="1"/>
  <c r="N48" i="35" s="1"/>
  <c r="O48" i="35" s="1"/>
  <c r="H7" i="35"/>
  <c r="F7" i="35"/>
  <c r="J7" i="35"/>
  <c r="D63" i="40"/>
  <c r="C65" i="40"/>
  <c r="J7" i="34"/>
  <c r="E52" i="37"/>
  <c r="F46" i="36"/>
  <c r="G46" i="36" s="1"/>
  <c r="H46" i="36" s="1"/>
  <c r="I46" i="36" s="1"/>
  <c r="J46" i="36" s="1"/>
  <c r="K46" i="36" s="1"/>
  <c r="L46" i="36" s="1"/>
  <c r="M46" i="36" s="1"/>
  <c r="N46" i="36" s="1"/>
  <c r="O46" i="36" s="1"/>
  <c r="H7" i="36"/>
  <c r="C24" i="12"/>
  <c r="C77" i="9"/>
  <c r="C74" i="9" s="1"/>
  <c r="C28" i="15"/>
  <c r="D68" i="39"/>
  <c r="C48" i="69"/>
  <c r="B7" i="70"/>
  <c r="F69" i="15"/>
  <c r="B8" i="70"/>
  <c r="J20" i="15"/>
  <c r="F63" i="15"/>
  <c r="C62" i="15" s="1"/>
  <c r="C34" i="15"/>
  <c r="F68" i="67"/>
  <c r="F66" i="67"/>
  <c r="C27" i="15"/>
  <c r="N59" i="67"/>
  <c r="M59" i="67"/>
  <c r="L58" i="67"/>
  <c r="L59" i="67"/>
  <c r="F51" i="15"/>
  <c r="F68" i="15"/>
  <c r="L58" i="15"/>
  <c r="M59" i="15"/>
  <c r="N59" i="15"/>
  <c r="L59" i="15"/>
  <c r="F64" i="15"/>
  <c r="F65" i="15"/>
  <c r="I54" i="67"/>
  <c r="L56" i="67"/>
  <c r="J57" i="67"/>
  <c r="J55" i="67" s="1"/>
  <c r="J58" i="67" s="1"/>
  <c r="Q50" i="67" s="1"/>
  <c r="C6" i="15"/>
  <c r="C27" i="67"/>
  <c r="Q71" i="67"/>
  <c r="B12" i="70"/>
  <c r="B13" i="70"/>
  <c r="B9" i="70"/>
  <c r="K1" i="73"/>
  <c r="F70" i="67"/>
  <c r="F71" i="15"/>
  <c r="F64" i="67"/>
  <c r="F65" i="67"/>
  <c r="I54" i="15"/>
  <c r="J57" i="15"/>
  <c r="J55" i="15" s="1"/>
  <c r="J58" i="15" s="1"/>
  <c r="Q50" i="15" s="1"/>
  <c r="L56" i="15"/>
  <c r="Q71" i="15"/>
  <c r="F71" i="67"/>
  <c r="F50" i="67"/>
  <c r="M7" i="67"/>
  <c r="F66" i="15"/>
  <c r="F51" i="67"/>
  <c r="C6" i="67"/>
  <c r="F50" i="15"/>
  <c r="M7" i="15"/>
  <c r="B10" i="70"/>
  <c r="B11" i="70"/>
  <c r="I1" i="73"/>
  <c r="B39" i="1" s="1"/>
  <c r="M17" i="67"/>
  <c r="F59" i="15"/>
  <c r="F59" i="67"/>
  <c r="M17" i="15"/>
  <c r="AE6" i="1"/>
  <c r="C16" i="67"/>
  <c r="C16" i="15"/>
  <c r="C14" i="15"/>
  <c r="C17" i="15"/>
  <c r="B48" i="71" l="1"/>
  <c r="N49" i="71"/>
  <c r="AB34" i="35"/>
  <c r="U34" i="35"/>
  <c r="AB9" i="34"/>
  <c r="U9" i="34"/>
  <c r="B24" i="72"/>
  <c r="D9" i="53"/>
  <c r="B25" i="72" s="1"/>
  <c r="F7" i="33"/>
  <c r="J7" i="21"/>
  <c r="C30" i="68"/>
  <c r="D18" i="71"/>
  <c r="M20" i="43" s="1"/>
  <c r="C19" i="43" s="1"/>
  <c r="T18" i="71"/>
  <c r="AC36" i="35"/>
  <c r="W36" i="35"/>
  <c r="AA34" i="35"/>
  <c r="S34" i="35"/>
  <c r="D6" i="52"/>
  <c r="D121" i="9"/>
  <c r="D7" i="52" s="1"/>
  <c r="K120" i="9"/>
  <c r="A18" i="62" s="1"/>
  <c r="B64" i="72" s="1"/>
  <c r="H7" i="33"/>
  <c r="J7" i="33"/>
  <c r="AC36" i="33"/>
  <c r="W36" i="33"/>
  <c r="AC25" i="33"/>
  <c r="E62" i="39"/>
  <c r="G3" i="43"/>
  <c r="B113" i="43" s="1"/>
  <c r="C11" i="33"/>
  <c r="AB19" i="33"/>
  <c r="AA19" i="33"/>
  <c r="U27" i="33"/>
  <c r="AA27" i="33"/>
  <c r="S27" i="33"/>
  <c r="AC19" i="33"/>
  <c r="W19" i="33"/>
  <c r="S32" i="33"/>
  <c r="AB32" i="33"/>
  <c r="U32" i="33"/>
  <c r="AB15" i="33"/>
  <c r="U15" i="33"/>
  <c r="AA15" i="33"/>
  <c r="S15" i="33"/>
  <c r="AC15" i="33"/>
  <c r="W15" i="33"/>
  <c r="C48" i="11"/>
  <c r="C30" i="11"/>
  <c r="E51" i="40"/>
  <c r="AZ5" i="3"/>
  <c r="E63" i="39"/>
  <c r="F27" i="6"/>
  <c r="F31" i="6" s="1"/>
  <c r="G5" i="3"/>
  <c r="B3" i="3" s="1"/>
  <c r="E305" i="3" s="1"/>
  <c r="E16" i="6"/>
  <c r="F28" i="12"/>
  <c r="C29" i="12" s="1"/>
  <c r="D28" i="12" s="1"/>
  <c r="F27" i="69"/>
  <c r="C29" i="69" s="1"/>
  <c r="D27" i="69" s="1"/>
  <c r="AE11" i="43"/>
  <c r="AE13" i="43" s="1"/>
  <c r="K16" i="1"/>
  <c r="E304" i="3"/>
  <c r="C29" i="68"/>
  <c r="D27" i="68" s="1"/>
  <c r="C47" i="68"/>
  <c r="D45" i="68" s="1"/>
  <c r="F27" i="11"/>
  <c r="C29" i="11" s="1"/>
  <c r="D27" i="11" s="1"/>
  <c r="F22" i="43"/>
  <c r="C34" i="69"/>
  <c r="E301" i="3"/>
  <c r="M101" i="43"/>
  <c r="M105" i="43" s="1"/>
  <c r="E159" i="3"/>
  <c r="E574" i="3"/>
  <c r="E530" i="3"/>
  <c r="M16" i="1"/>
  <c r="C101" i="43"/>
  <c r="F101" i="43"/>
  <c r="E382" i="3"/>
  <c r="E97" i="3"/>
  <c r="E565" i="3"/>
  <c r="E508" i="3"/>
  <c r="E320" i="3"/>
  <c r="J22" i="43"/>
  <c r="G22" i="43"/>
  <c r="N101" i="43"/>
  <c r="N102" i="43" s="1"/>
  <c r="AH11" i="43"/>
  <c r="AH13" i="43" s="1"/>
  <c r="E156" i="3"/>
  <c r="E196" i="3"/>
  <c r="E244" i="3"/>
  <c r="E368" i="3"/>
  <c r="E453" i="3"/>
  <c r="E549" i="3"/>
  <c r="I6" i="3"/>
  <c r="E397" i="3"/>
  <c r="E337" i="3"/>
  <c r="E555" i="3"/>
  <c r="E503" i="3"/>
  <c r="E183" i="3"/>
  <c r="E261" i="3"/>
  <c r="E246" i="3"/>
  <c r="X6" i="3"/>
  <c r="E583" i="3"/>
  <c r="E328" i="3"/>
  <c r="E426" i="3"/>
  <c r="E153" i="3"/>
  <c r="E501" i="3"/>
  <c r="E319" i="3"/>
  <c r="E53" i="3"/>
  <c r="E358" i="3"/>
  <c r="E551" i="3"/>
  <c r="E407" i="3"/>
  <c r="E294" i="3"/>
  <c r="E130" i="3"/>
  <c r="E290" i="3"/>
  <c r="E561" i="3"/>
  <c r="E228" i="3"/>
  <c r="P7" i="1"/>
  <c r="AI11" i="43"/>
  <c r="AI13" i="43" s="1"/>
  <c r="AJ11" i="43"/>
  <c r="AJ13" i="43" s="1"/>
  <c r="L101" i="43"/>
  <c r="L102" i="43" s="1"/>
  <c r="G101" i="43"/>
  <c r="G105" i="43" s="1"/>
  <c r="Y11" i="43"/>
  <c r="Y13" i="43" s="1"/>
  <c r="AD11" i="43"/>
  <c r="AD13" i="43" s="1"/>
  <c r="H101" i="43"/>
  <c r="H106" i="43" s="1"/>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E69" i="3"/>
  <c r="E165" i="3"/>
  <c r="E205" i="3"/>
  <c r="E227" i="3"/>
  <c r="E352" i="3"/>
  <c r="E461" i="3"/>
  <c r="E510" i="3"/>
  <c r="E567" i="3"/>
  <c r="E545" i="3"/>
  <c r="E539" i="3"/>
  <c r="E329" i="3"/>
  <c r="AJ6" i="3"/>
  <c r="N6" i="3"/>
  <c r="E322" i="3"/>
  <c r="E282" i="3"/>
  <c r="E268" i="3"/>
  <c r="E553" i="3"/>
  <c r="E526" i="3"/>
  <c r="E366" i="3"/>
  <c r="E217" i="3"/>
  <c r="E125" i="3"/>
  <c r="E514" i="3"/>
  <c r="E570" i="3"/>
  <c r="M6" i="3"/>
  <c r="AB6" i="3"/>
  <c r="E387" i="3"/>
  <c r="E335" i="3"/>
  <c r="E215" i="3"/>
  <c r="E189" i="3"/>
  <c r="E134" i="3"/>
  <c r="E135" i="3"/>
  <c r="E161" i="3"/>
  <c r="E533" i="3"/>
  <c r="E439" i="3"/>
  <c r="E185" i="3"/>
  <c r="E157" i="3"/>
  <c r="E91" i="3"/>
  <c r="E221" i="3"/>
  <c r="E180" i="3"/>
  <c r="E270" i="3"/>
  <c r="AR6" i="3"/>
  <c r="E538" i="3"/>
  <c r="E380" i="3"/>
  <c r="E216" i="3"/>
  <c r="E188" i="3"/>
  <c r="E181" i="3"/>
  <c r="E311" i="3"/>
  <c r="S6" i="3"/>
  <c r="E506" i="3"/>
  <c r="E338" i="3"/>
  <c r="E298" i="3"/>
  <c r="E61" i="3"/>
  <c r="E269" i="3"/>
  <c r="E89" i="3"/>
  <c r="E14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390" i="3"/>
  <c r="E418" i="3"/>
  <c r="E169" i="3"/>
  <c r="E122" i="3"/>
  <c r="E120"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523" i="3"/>
  <c r="E321" i="3"/>
  <c r="E148"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89" i="3"/>
  <c r="E251" i="3"/>
  <c r="E340" i="3"/>
  <c r="E370" i="3"/>
  <c r="E364" i="3"/>
  <c r="AF6" i="3"/>
  <c r="E50" i="3"/>
  <c r="E102" i="3"/>
  <c r="E20" i="3"/>
  <c r="E80" i="3"/>
  <c r="E62" i="3"/>
  <c r="E113" i="3"/>
  <c r="E176" i="3"/>
  <c r="E158" i="3"/>
  <c r="E218" i="3"/>
  <c r="E287" i="3"/>
  <c r="E265" i="3"/>
  <c r="E308" i="3"/>
  <c r="E365" i="3"/>
  <c r="E326" i="3"/>
  <c r="E524" i="3"/>
  <c r="E22" i="3"/>
  <c r="E101" i="3"/>
  <c r="E83" i="3"/>
  <c r="E65" i="39"/>
  <c r="E66" i="39" s="1"/>
  <c r="O16" i="1"/>
  <c r="M107" i="43"/>
  <c r="M104" i="43"/>
  <c r="L104" i="43"/>
  <c r="M109" i="43"/>
  <c r="M102" i="43"/>
  <c r="M103" i="43"/>
  <c r="M106" i="43"/>
  <c r="F104" i="43"/>
  <c r="F107" i="43"/>
  <c r="F106" i="43"/>
  <c r="F105" i="43"/>
  <c r="F109" i="43"/>
  <c r="F102" i="43"/>
  <c r="F103" i="43"/>
  <c r="C104" i="43"/>
  <c r="C106" i="43"/>
  <c r="C105" i="43"/>
  <c r="C107" i="43"/>
  <c r="C103" i="43"/>
  <c r="C102" i="43"/>
  <c r="C109" i="43"/>
  <c r="N103" i="43"/>
  <c r="N104" i="43"/>
  <c r="N109" i="43"/>
  <c r="N105" i="43"/>
  <c r="N107" i="43"/>
  <c r="B115" i="43"/>
  <c r="I115" i="43"/>
  <c r="J115" i="43" s="1"/>
  <c r="K115" i="43" s="1"/>
  <c r="L115" i="43" s="1"/>
  <c r="M115" i="43" s="1"/>
  <c r="I118" i="43"/>
  <c r="J118" i="43" s="1"/>
  <c r="K118" i="43" s="1"/>
  <c r="L118" i="43" s="1"/>
  <c r="M118" i="43" s="1"/>
  <c r="G118" i="43"/>
  <c r="H118" i="43" s="1"/>
  <c r="B118" i="43"/>
  <c r="C118" i="43" s="1"/>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C15" i="15"/>
  <c r="C18" i="15"/>
  <c r="L16" i="1"/>
  <c r="C34" i="11"/>
  <c r="C34" i="68"/>
  <c r="C35" i="68" s="1"/>
  <c r="P8" i="1"/>
  <c r="P16" i="1" s="1"/>
  <c r="C11" i="12" s="1"/>
  <c r="C47" i="11"/>
  <c r="D45" i="11" s="1"/>
  <c r="N16" i="1"/>
  <c r="AY6" i="3"/>
  <c r="E3" i="6"/>
  <c r="B4" i="62"/>
  <c r="B71" i="72" s="1"/>
  <c r="K4" i="4"/>
  <c r="B46" i="48" s="1"/>
  <c r="B4" i="72" s="1"/>
  <c r="F10" i="40"/>
  <c r="H10" i="39"/>
  <c r="J10" i="40"/>
  <c r="J10" i="39"/>
  <c r="F10" i="39"/>
  <c r="AA10" i="39" s="1"/>
  <c r="AC7" i="34"/>
  <c r="V49" i="34" s="1"/>
  <c r="I49" i="34" s="1"/>
  <c r="W7" i="34"/>
  <c r="E63" i="40"/>
  <c r="D65" i="40"/>
  <c r="AC7" i="35"/>
  <c r="V38" i="35" s="1"/>
  <c r="I38" i="35" s="1"/>
  <c r="W7" i="35"/>
  <c r="AB7" i="35"/>
  <c r="T38" i="35" s="1"/>
  <c r="G38" i="35" s="1"/>
  <c r="U7" i="35"/>
  <c r="S7" i="34"/>
  <c r="AA7" i="34"/>
  <c r="R49" i="34" s="1"/>
  <c r="S7" i="21"/>
  <c r="AA7" i="21"/>
  <c r="R48" i="21" s="1"/>
  <c r="AC7" i="21"/>
  <c r="V48" i="21" s="1"/>
  <c r="I48" i="21" s="1"/>
  <c r="W7" i="21"/>
  <c r="AB10" i="40"/>
  <c r="U10" i="40"/>
  <c r="U7" i="36"/>
  <c r="AB7" i="36"/>
  <c r="T36" i="36" s="1"/>
  <c r="G36" i="36" s="1"/>
  <c r="F52" i="37"/>
  <c r="G52" i="37" s="1"/>
  <c r="H52" i="37" s="1"/>
  <c r="I52" i="37" s="1"/>
  <c r="J52" i="37" s="1"/>
  <c r="K52" i="37" s="1"/>
  <c r="L52" i="37" s="1"/>
  <c r="M52" i="37" s="1"/>
  <c r="N52" i="37" s="1"/>
  <c r="O52" i="37" s="1"/>
  <c r="J7" i="37"/>
  <c r="D70" i="39"/>
  <c r="E68" i="39"/>
  <c r="J7" i="36"/>
  <c r="F7" i="36"/>
  <c r="F7" i="37"/>
  <c r="H7" i="37"/>
  <c r="AA7" i="35"/>
  <c r="R38" i="35" s="1"/>
  <c r="S7" i="35"/>
  <c r="U7" i="34"/>
  <c r="AB7" i="34"/>
  <c r="T49" i="34" s="1"/>
  <c r="G49" i="34" s="1"/>
  <c r="AB7" i="21"/>
  <c r="T48" i="21" s="1"/>
  <c r="G48" i="21" s="1"/>
  <c r="U7" i="21"/>
  <c r="Q73" i="15"/>
  <c r="Q60" i="15"/>
  <c r="C49" i="15"/>
  <c r="Q60" i="67"/>
  <c r="Q73" i="67"/>
  <c r="F11" i="67"/>
  <c r="M11" i="15"/>
  <c r="M11" i="67"/>
  <c r="J10" i="67" s="1"/>
  <c r="F11" i="15"/>
  <c r="C49" i="67"/>
  <c r="J6" i="67"/>
  <c r="J6" i="15"/>
  <c r="Q74" i="15"/>
  <c r="Q61" i="15"/>
  <c r="Q74" i="67"/>
  <c r="Q61" i="67"/>
  <c r="F41" i="67"/>
  <c r="D5" i="73"/>
  <c r="D7" i="73"/>
  <c r="D4" i="73"/>
  <c r="D3" i="73"/>
  <c r="D6" i="73"/>
  <c r="N106" i="43" l="1"/>
  <c r="G103" i="43"/>
  <c r="E22" i="43"/>
  <c r="E101" i="43"/>
  <c r="E104" i="43" s="1"/>
  <c r="AG11" i="43"/>
  <c r="AG13" i="43" s="1"/>
  <c r="K101" i="43"/>
  <c r="K107" i="43" s="1"/>
  <c r="J101" i="43"/>
  <c r="J103" i="43" s="1"/>
  <c r="I101" i="43"/>
  <c r="I102" i="43" s="1"/>
  <c r="AB11" i="43"/>
  <c r="AB13" i="43" s="1"/>
  <c r="AA11" i="43"/>
  <c r="AA13" i="43" s="1"/>
  <c r="H22" i="43"/>
  <c r="AC11" i="43"/>
  <c r="AC13" i="43" s="1"/>
  <c r="N104" i="46"/>
  <c r="Z7" i="43"/>
  <c r="Z11" i="43"/>
  <c r="Z13" i="43" s="1"/>
  <c r="AF11" i="43"/>
  <c r="AF13" i="43" s="1"/>
  <c r="D101" i="43"/>
  <c r="E20" i="43"/>
  <c r="C33" i="43"/>
  <c r="C36" i="43"/>
  <c r="C38" i="43"/>
  <c r="T16" i="43"/>
  <c r="V16" i="43" s="1"/>
  <c r="T12" i="43"/>
  <c r="V12" i="43" s="1"/>
  <c r="T8" i="43"/>
  <c r="V8" i="43" s="1"/>
  <c r="T13" i="43"/>
  <c r="V13" i="43" s="1"/>
  <c r="C39" i="43"/>
  <c r="E39" i="43" s="1"/>
  <c r="C35" i="43"/>
  <c r="C34" i="43"/>
  <c r="T11" i="43"/>
  <c r="V11" i="43" s="1"/>
  <c r="T14" i="43"/>
  <c r="V14" i="43" s="1"/>
  <c r="T9" i="43"/>
  <c r="V9" i="43" s="1"/>
  <c r="T15" i="43"/>
  <c r="V15" i="43" s="1"/>
  <c r="T10" i="43"/>
  <c r="V10" i="43" s="1"/>
  <c r="C37" i="43"/>
  <c r="E231" i="3"/>
  <c r="E175" i="3"/>
  <c r="E280" i="3"/>
  <c r="O6" i="3"/>
  <c r="AK6" i="3"/>
  <c r="E245" i="3"/>
  <c r="E117" i="3"/>
  <c r="E124" i="3"/>
  <c r="E402" i="3"/>
  <c r="E302" i="3"/>
  <c r="E285" i="3"/>
  <c r="E99" i="3"/>
  <c r="W7" i="33"/>
  <c r="AC7" i="33"/>
  <c r="S7" i="33"/>
  <c r="AA7" i="33"/>
  <c r="N48" i="71"/>
  <c r="N47" i="71"/>
  <c r="AB7" i="33"/>
  <c r="U7" i="33"/>
  <c r="F69" i="67"/>
  <c r="K109" i="43"/>
  <c r="I104" i="43"/>
  <c r="E149" i="3"/>
  <c r="C33" i="33"/>
  <c r="H11" i="33"/>
  <c r="F11" i="33"/>
  <c r="J11" i="33"/>
  <c r="E106" i="43"/>
  <c r="K103" i="43"/>
  <c r="J106" i="43"/>
  <c r="I109" i="43"/>
  <c r="C47" i="69"/>
  <c r="D45" i="69" s="1"/>
  <c r="E103" i="43"/>
  <c r="K106" i="43"/>
  <c r="K104" i="43"/>
  <c r="J107" i="43"/>
  <c r="I105" i="43"/>
  <c r="I106" i="43"/>
  <c r="E27" i="6"/>
  <c r="E109" i="43"/>
  <c r="E102" i="43"/>
  <c r="K102" i="43"/>
  <c r="K105" i="43"/>
  <c r="J105" i="43"/>
  <c r="I107" i="43"/>
  <c r="I103" i="43"/>
  <c r="AC6" i="3"/>
  <c r="E207" i="3"/>
  <c r="E336" i="3"/>
  <c r="E293" i="3"/>
  <c r="E528" i="3"/>
  <c r="E361" i="3"/>
  <c r="E388" i="3"/>
  <c r="E410" i="3"/>
  <c r="E143" i="3"/>
  <c r="E568" i="3"/>
  <c r="E536" i="3"/>
  <c r="E434" i="3"/>
  <c r="E306" i="3"/>
  <c r="E296" i="3"/>
  <c r="E262" i="3"/>
  <c r="E136" i="3"/>
  <c r="E236" i="3"/>
  <c r="E254" i="3"/>
  <c r="E559" i="3"/>
  <c r="E343" i="3"/>
  <c r="AA6" i="3"/>
  <c r="E237" i="3"/>
  <c r="E17" i="3"/>
  <c r="E359" i="3"/>
  <c r="E511" i="3"/>
  <c r="E423" i="3"/>
  <c r="E263" i="3"/>
  <c r="E191" i="3"/>
  <c r="E128" i="3"/>
  <c r="V6" i="3"/>
  <c r="E347" i="3"/>
  <c r="E213" i="3"/>
  <c r="E314" i="3"/>
  <c r="E303" i="3"/>
  <c r="E399" i="3"/>
  <c r="E16" i="3"/>
  <c r="E350" i="3"/>
  <c r="E230" i="3"/>
  <c r="H102" i="43"/>
  <c r="G104" i="43"/>
  <c r="H107" i="43"/>
  <c r="G102" i="43"/>
  <c r="L109" i="43"/>
  <c r="C38" i="69"/>
  <c r="C35" i="69"/>
  <c r="H104" i="43"/>
  <c r="H103" i="43"/>
  <c r="G109" i="43"/>
  <c r="G107" i="43"/>
  <c r="G106" i="43"/>
  <c r="L105" i="43"/>
  <c r="H6" i="3"/>
  <c r="E107" i="43"/>
  <c r="E105" i="43"/>
  <c r="H109" i="43"/>
  <c r="H105" i="43"/>
  <c r="L107" i="43"/>
  <c r="L103" i="43"/>
  <c r="S4" i="43" s="1"/>
  <c r="T4" i="43" s="1"/>
  <c r="V4" i="43" s="1"/>
  <c r="L106" i="43"/>
  <c r="E6" i="3"/>
  <c r="C19" i="15"/>
  <c r="C20" i="15" s="1"/>
  <c r="C115" i="43"/>
  <c r="D113" i="43" s="1"/>
  <c r="C23" i="43"/>
  <c r="C21" i="43" s="1"/>
  <c r="C29" i="43" s="1"/>
  <c r="S2" i="43"/>
  <c r="T2" i="43" s="1"/>
  <c r="V2" i="43" s="1"/>
  <c r="S5" i="43"/>
  <c r="T5" i="43" s="1"/>
  <c r="V5" i="43" s="1"/>
  <c r="S6" i="43"/>
  <c r="T6" i="43" s="1"/>
  <c r="V6" i="43" s="1"/>
  <c r="S7" i="43"/>
  <c r="T7" i="43" s="1"/>
  <c r="V7" i="43" s="1"/>
  <c r="S3" i="43"/>
  <c r="T3" i="43" s="1"/>
  <c r="V3" i="43" s="1"/>
  <c r="C38" i="68"/>
  <c r="S10" i="39"/>
  <c r="F50" i="69"/>
  <c r="F50" i="11"/>
  <c r="F50" i="68"/>
  <c r="C38" i="11"/>
  <c r="C35" i="11"/>
  <c r="C12" i="12"/>
  <c r="C15" i="12"/>
  <c r="AY87" i="3"/>
  <c r="AY83" i="3"/>
  <c r="AY51" i="3"/>
  <c r="AY66" i="3"/>
  <c r="AY34" i="3"/>
  <c r="AY23" i="3"/>
  <c r="AY207" i="3"/>
  <c r="AY103" i="3"/>
  <c r="AY67" i="3"/>
  <c r="AY50" i="3"/>
  <c r="AY196"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98" i="3"/>
  <c r="AY82" i="3"/>
  <c r="AY18"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D3" i="34"/>
  <c r="D3" i="33"/>
  <c r="E6" i="6"/>
  <c r="C17" i="4"/>
  <c r="B4" i="52" s="1"/>
  <c r="B43" i="72" s="1"/>
  <c r="D3" i="37"/>
  <c r="D14" i="12"/>
  <c r="D37" i="11"/>
  <c r="C37" i="11" s="1"/>
  <c r="M18" i="9"/>
  <c r="B118" i="9" s="1"/>
  <c r="B14" i="74" s="1"/>
  <c r="B1" i="74" s="1"/>
  <c r="W10" i="40"/>
  <c r="AC10" i="40"/>
  <c r="AA10" i="40"/>
  <c r="S10" i="40"/>
  <c r="W10" i="39"/>
  <c r="AC10" i="39"/>
  <c r="U10" i="39"/>
  <c r="AB10" i="39"/>
  <c r="G53" i="34"/>
  <c r="H53" i="34" s="1"/>
  <c r="G54" i="34"/>
  <c r="H54" i="34" s="1"/>
  <c r="S7" i="37"/>
  <c r="AA7" i="37"/>
  <c r="R42" i="37" s="1"/>
  <c r="W7" i="36"/>
  <c r="AC7" i="36"/>
  <c r="V36" i="36" s="1"/>
  <c r="I36" i="36" s="1"/>
  <c r="E48" i="21"/>
  <c r="R49" i="21"/>
  <c r="E49" i="34"/>
  <c r="R50" i="34"/>
  <c r="G52" i="21"/>
  <c r="H52" i="21" s="1"/>
  <c r="G53" i="21"/>
  <c r="H53" i="21" s="1"/>
  <c r="R39" i="35"/>
  <c r="E38" i="35"/>
  <c r="U7" i="37"/>
  <c r="AB7" i="37"/>
  <c r="T42" i="37" s="1"/>
  <c r="G42" i="37" s="1"/>
  <c r="S7" i="36"/>
  <c r="AA7" i="36"/>
  <c r="R36" i="36" s="1"/>
  <c r="F68" i="39"/>
  <c r="E70" i="39"/>
  <c r="AC7" i="37"/>
  <c r="V42" i="37" s="1"/>
  <c r="I42" i="37" s="1"/>
  <c r="W7" i="37"/>
  <c r="G40" i="36"/>
  <c r="H40" i="36" s="1"/>
  <c r="G41" i="36"/>
  <c r="H41" i="36" s="1"/>
  <c r="I52" i="21"/>
  <c r="J52" i="21" s="1"/>
  <c r="I53" i="21"/>
  <c r="J53" i="21" s="1"/>
  <c r="G43" i="35"/>
  <c r="H43" i="35" s="1"/>
  <c r="G42" i="35"/>
  <c r="H42" i="35" s="1"/>
  <c r="I42" i="35"/>
  <c r="J42" i="35" s="1"/>
  <c r="E65" i="40"/>
  <c r="F63" i="40"/>
  <c r="I53" i="34"/>
  <c r="J53" i="34" s="1"/>
  <c r="I54" i="34"/>
  <c r="J54" i="34" s="1"/>
  <c r="J5" i="67"/>
  <c r="C53" i="15"/>
  <c r="C48" i="15" s="1"/>
  <c r="C10" i="15"/>
  <c r="C5" i="15" s="1"/>
  <c r="J10" i="15"/>
  <c r="J5" i="15" s="1"/>
  <c r="C53" i="67"/>
  <c r="C48" i="67" s="1"/>
  <c r="C10" i="67"/>
  <c r="C5" i="67" s="1"/>
  <c r="G1" i="73"/>
  <c r="D22" i="43" l="1"/>
  <c r="B40" i="1"/>
  <c r="F22" i="11" s="1"/>
  <c r="C44" i="11" s="1"/>
  <c r="D41" i="11" s="1"/>
  <c r="J102" i="43"/>
  <c r="J104" i="43"/>
  <c r="J109" i="43"/>
  <c r="D103" i="43"/>
  <c r="D107" i="43"/>
  <c r="D106" i="43"/>
  <c r="D109" i="43"/>
  <c r="D104" i="43"/>
  <c r="D105" i="43"/>
  <c r="D102" i="43"/>
  <c r="G37" i="43"/>
  <c r="I37" i="43" s="1"/>
  <c r="E37" i="43"/>
  <c r="G34" i="43"/>
  <c r="I34" i="43" s="1"/>
  <c r="E34" i="43"/>
  <c r="E36" i="43"/>
  <c r="G36" i="43"/>
  <c r="I36" i="43" s="1"/>
  <c r="G35" i="43"/>
  <c r="I35" i="43" s="1"/>
  <c r="E35" i="43"/>
  <c r="G38" i="43"/>
  <c r="I38" i="43" s="1"/>
  <c r="E38" i="43"/>
  <c r="G33" i="43"/>
  <c r="I33" i="43" s="1"/>
  <c r="E33" i="43"/>
  <c r="N17" i="43"/>
  <c r="O17" i="43"/>
  <c r="P17" i="43"/>
  <c r="M17" i="43"/>
  <c r="S11" i="33"/>
  <c r="AA11" i="33"/>
  <c r="J33" i="33"/>
  <c r="F33" i="33"/>
  <c r="H33" i="33"/>
  <c r="AC11" i="33"/>
  <c r="W11" i="33"/>
  <c r="U11" i="33"/>
  <c r="AB11" i="33"/>
  <c r="K24" i="6"/>
  <c r="M24" i="6" s="1"/>
  <c r="I24" i="6" s="1"/>
  <c r="S24" i="6" s="1"/>
  <c r="K19" i="6"/>
  <c r="E31" i="6"/>
  <c r="K22" i="6"/>
  <c r="M22" i="6" s="1"/>
  <c r="I22" i="6" s="1"/>
  <c r="S22" i="6" s="1"/>
  <c r="K23" i="6"/>
  <c r="M23" i="6" s="1"/>
  <c r="I23" i="6" s="1"/>
  <c r="S23" i="6" s="1"/>
  <c r="K26" i="6"/>
  <c r="M26" i="6" s="1"/>
  <c r="I26" i="6" s="1"/>
  <c r="S26" i="6" s="1"/>
  <c r="K20" i="6"/>
  <c r="K21" i="6"/>
  <c r="M21" i="6" s="1"/>
  <c r="I21" i="6" s="1"/>
  <c r="S21" i="6" s="1"/>
  <c r="K25" i="6"/>
  <c r="M25" i="6" s="1"/>
  <c r="I25" i="6" s="1"/>
  <c r="S25" i="6" s="1"/>
  <c r="E29" i="43"/>
  <c r="C26" i="43" s="1"/>
  <c r="B2" i="43" s="1"/>
  <c r="C30" i="43"/>
  <c r="E30" i="43" s="1"/>
  <c r="C33" i="11"/>
  <c r="C39" i="11" s="1"/>
  <c r="C20" i="11"/>
  <c r="C28" i="11" s="1"/>
  <c r="C27" i="11" s="1"/>
  <c r="C7" i="74"/>
  <c r="C8" i="74"/>
  <c r="D17" i="12"/>
  <c r="C17" i="12" s="1"/>
  <c r="C14" i="12"/>
  <c r="C16" i="12" s="1"/>
  <c r="D10" i="68"/>
  <c r="D10" i="11"/>
  <c r="C10" i="11" s="1"/>
  <c r="D20" i="12"/>
  <c r="C20" i="12" s="1"/>
  <c r="C18" i="12" s="1"/>
  <c r="D10" i="69"/>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D29" i="6"/>
  <c r="H25" i="6"/>
  <c r="H22" i="6"/>
  <c r="H24" i="6"/>
  <c r="I46" i="37"/>
  <c r="J46" i="37" s="1"/>
  <c r="F70" i="39"/>
  <c r="G68" i="39"/>
  <c r="E43" i="35"/>
  <c r="F43" i="35" s="1"/>
  <c r="E42" i="35"/>
  <c r="F42" i="35" s="1"/>
  <c r="C50" i="34"/>
  <c r="B2" i="34" s="1"/>
  <c r="B3" i="34" s="1"/>
  <c r="C49" i="34"/>
  <c r="C48" i="21"/>
  <c r="C49" i="21"/>
  <c r="B2" i="21" s="1"/>
  <c r="B3" i="21" s="1"/>
  <c r="C26" i="15"/>
  <c r="G63" i="40"/>
  <c r="F65" i="40"/>
  <c r="I43" i="35"/>
  <c r="J43" i="35" s="1"/>
  <c r="E36" i="36"/>
  <c r="R37" i="36"/>
  <c r="G46" i="37"/>
  <c r="H46" i="37" s="1"/>
  <c r="G47" i="37"/>
  <c r="H47" i="37" s="1"/>
  <c r="C39" i="35"/>
  <c r="B2" i="35" s="1"/>
  <c r="B3" i="35" s="1"/>
  <c r="C38" i="35"/>
  <c r="E54" i="34"/>
  <c r="F54" i="34" s="1"/>
  <c r="E53" i="34"/>
  <c r="F53" i="34" s="1"/>
  <c r="E52" i="21"/>
  <c r="F52" i="21" s="1"/>
  <c r="E53" i="21"/>
  <c r="F53" i="21" s="1"/>
  <c r="I41" i="36"/>
  <c r="J41" i="36" s="1"/>
  <c r="I40" i="36"/>
  <c r="J40" i="36" s="1"/>
  <c r="R43" i="37"/>
  <c r="E42" i="37"/>
  <c r="I47" i="37" s="1"/>
  <c r="J47" i="37" s="1"/>
  <c r="J24" i="15"/>
  <c r="J18" i="15"/>
  <c r="J26" i="15"/>
  <c r="J29" i="15" s="1"/>
  <c r="C66" i="15"/>
  <c r="C60" i="15"/>
  <c r="C32" i="67"/>
  <c r="C38" i="67"/>
  <c r="C66" i="67"/>
  <c r="C60" i="67"/>
  <c r="C32" i="15"/>
  <c r="C38" i="15"/>
  <c r="J24" i="67"/>
  <c r="J18" i="67"/>
  <c r="J26" i="67"/>
  <c r="J29" i="67" s="1"/>
  <c r="B6" i="76"/>
  <c r="F25" i="12" l="1"/>
  <c r="C26" i="12" s="1"/>
  <c r="D25" i="12" s="1"/>
  <c r="F22" i="69"/>
  <c r="F24" i="15"/>
  <c r="C24" i="11"/>
  <c r="F22" i="68"/>
  <c r="F24" i="67"/>
  <c r="C24" i="67" s="1"/>
  <c r="C23" i="11"/>
  <c r="C26" i="11"/>
  <c r="D22" i="11" s="1"/>
  <c r="C27" i="43"/>
  <c r="AA33" i="33"/>
  <c r="S33" i="33"/>
  <c r="R48" i="33"/>
  <c r="AB33" i="33"/>
  <c r="T48" i="33" s="1"/>
  <c r="G48" i="33" s="1"/>
  <c r="U33" i="33"/>
  <c r="AC33" i="33"/>
  <c r="V48" i="33" s="1"/>
  <c r="I48" i="33" s="1"/>
  <c r="W33" i="33"/>
  <c r="M20" i="6"/>
  <c r="I20" i="6" s="1"/>
  <c r="S7" i="1"/>
  <c r="H21" i="6"/>
  <c r="R21" i="6" s="1"/>
  <c r="S6" i="1"/>
  <c r="K27" i="6"/>
  <c r="M19" i="6"/>
  <c r="D30" i="6"/>
  <c r="D16" i="6"/>
  <c r="C46" i="11"/>
  <c r="C45" i="11" s="1"/>
  <c r="C43" i="11"/>
  <c r="C42" i="11"/>
  <c r="C25" i="11"/>
  <c r="R24" i="6"/>
  <c r="R22" i="6"/>
  <c r="R25" i="6"/>
  <c r="R26" i="6"/>
  <c r="D7" i="74"/>
  <c r="D8" i="74"/>
  <c r="C10" i="68"/>
  <c r="D19" i="68"/>
  <c r="R23" i="6"/>
  <c r="C4" i="52"/>
  <c r="B45" i="72" s="1"/>
  <c r="A10" i="51"/>
  <c r="B9" i="72" s="1"/>
  <c r="A7" i="51"/>
  <c r="B7" i="72" s="1"/>
  <c r="D27" i="6"/>
  <c r="D31" i="6" s="1"/>
  <c r="D19" i="69"/>
  <c r="C10" i="69"/>
  <c r="C8" i="69" s="1"/>
  <c r="C5" i="69" s="1"/>
  <c r="C21" i="12"/>
  <c r="B2" i="76"/>
  <c r="E47" i="37"/>
  <c r="F47" i="37" s="1"/>
  <c r="E46" i="37"/>
  <c r="F46" i="37" s="1"/>
  <c r="C36" i="36"/>
  <c r="C37" i="36"/>
  <c r="B2" i="36" s="1"/>
  <c r="B3" i="36" s="1"/>
  <c r="G65" i="40"/>
  <c r="H63" i="40"/>
  <c r="B3" i="43"/>
  <c r="C43" i="37"/>
  <c r="B2" i="37" s="1"/>
  <c r="B3" i="37" s="1"/>
  <c r="C42" i="37"/>
  <c r="E40" i="36"/>
  <c r="F40" i="36" s="1"/>
  <c r="E41" i="36"/>
  <c r="F41" i="36" s="1"/>
  <c r="H68" i="39"/>
  <c r="G70" i="39"/>
  <c r="C17" i="67"/>
  <c r="C14" i="67"/>
  <c r="E6" i="76"/>
  <c r="C23" i="68" l="1"/>
  <c r="C26" i="68"/>
  <c r="D22" i="68" s="1"/>
  <c r="C44" i="68"/>
  <c r="D41" i="68" s="1"/>
  <c r="C24" i="15"/>
  <c r="C23" i="15"/>
  <c r="C44" i="69"/>
  <c r="D41" i="69" s="1"/>
  <c r="C26" i="69"/>
  <c r="D22" i="69" s="1"/>
  <c r="C22" i="11"/>
  <c r="C31" i="11" s="1"/>
  <c r="E2" i="76"/>
  <c r="B3" i="76" s="1"/>
  <c r="C18" i="67"/>
  <c r="C15" i="67"/>
  <c r="G52" i="33"/>
  <c r="H52" i="33" s="1"/>
  <c r="G53" i="33"/>
  <c r="H53" i="33" s="1"/>
  <c r="I52" i="33"/>
  <c r="J52" i="33" s="1"/>
  <c r="E48" i="33"/>
  <c r="R49" i="33"/>
  <c r="E6" i="70"/>
  <c r="E2" i="70" s="1"/>
  <c r="C41" i="11"/>
  <c r="C49" i="11" s="1"/>
  <c r="C51" i="11" s="1"/>
  <c r="C52" i="11" s="1"/>
  <c r="B2" i="11" s="1"/>
  <c r="B3" i="11" s="1"/>
  <c r="S20" i="6"/>
  <c r="H20" i="6"/>
  <c r="R20" i="6" s="1"/>
  <c r="R7" i="1" s="1"/>
  <c r="AQ7" i="1"/>
  <c r="T7" i="1"/>
  <c r="AR7" i="1"/>
  <c r="I19" i="6"/>
  <c r="L18" i="9" s="1"/>
  <c r="M27" i="6"/>
  <c r="AQ6" i="1"/>
  <c r="T6" i="1"/>
  <c r="AR6" i="1"/>
  <c r="S16" i="1"/>
  <c r="C23" i="69"/>
  <c r="I6" i="6"/>
  <c r="I5" i="6"/>
  <c r="C19" i="68"/>
  <c r="D37" i="68"/>
  <c r="C37" i="68" s="1"/>
  <c r="C33" i="68" s="1"/>
  <c r="C22" i="12"/>
  <c r="C27" i="12" s="1"/>
  <c r="C25" i="12" s="1"/>
  <c r="D37" i="69"/>
  <c r="C37" i="69" s="1"/>
  <c r="C33" i="69" s="1"/>
  <c r="C19" i="69"/>
  <c r="C24" i="69" s="1"/>
  <c r="I63" i="40"/>
  <c r="H65" i="40"/>
  <c r="I68" i="39"/>
  <c r="H70" i="39"/>
  <c r="C29" i="15" l="1"/>
  <c r="C36" i="15" s="1"/>
  <c r="C19" i="67"/>
  <c r="C20" i="67" s="1"/>
  <c r="E52" i="33"/>
  <c r="F52" i="33" s="1"/>
  <c r="E53" i="33"/>
  <c r="F53" i="33" s="1"/>
  <c r="I53" i="33"/>
  <c r="J53" i="33" s="1"/>
  <c r="C49" i="33"/>
  <c r="C48" i="33"/>
  <c r="T16" i="1"/>
  <c r="H19" i="6"/>
  <c r="L19" i="9" s="1"/>
  <c r="S19" i="6"/>
  <c r="S27" i="6" s="1"/>
  <c r="I27" i="6"/>
  <c r="C39" i="68"/>
  <c r="C42" i="68"/>
  <c r="C20" i="69"/>
  <c r="C25" i="69" s="1"/>
  <c r="C22" i="69" s="1"/>
  <c r="C39" i="69"/>
  <c r="C42" i="69"/>
  <c r="C30" i="12"/>
  <c r="C28" i="12" s="1"/>
  <c r="C32" i="12" s="1"/>
  <c r="B2" i="12" s="1"/>
  <c r="B3" i="12" s="1"/>
  <c r="C20" i="68"/>
  <c r="C24" i="68"/>
  <c r="C56" i="11"/>
  <c r="C57" i="11" s="1"/>
  <c r="J68" i="39"/>
  <c r="I70" i="39"/>
  <c r="J63" i="40"/>
  <c r="I65" i="40"/>
  <c r="Q49" i="15" l="1"/>
  <c r="J59" i="15"/>
  <c r="J60" i="15" s="1"/>
  <c r="J14" i="15"/>
  <c r="C57" i="15"/>
  <c r="J19" i="15"/>
  <c r="J17" i="15" s="1"/>
  <c r="C13" i="15"/>
  <c r="C33" i="15"/>
  <c r="C31" i="15" s="1"/>
  <c r="C23" i="67"/>
  <c r="C26" i="67"/>
  <c r="B2" i="33"/>
  <c r="B3" i="33"/>
  <c r="C28" i="69"/>
  <c r="C27" i="69" s="1"/>
  <c r="C31" i="69" s="1"/>
  <c r="H27" i="6"/>
  <c r="R19" i="6"/>
  <c r="C46" i="69"/>
  <c r="C45" i="69" s="1"/>
  <c r="C43" i="69"/>
  <c r="C41" i="69" s="1"/>
  <c r="C28" i="68"/>
  <c r="C27" i="68" s="1"/>
  <c r="C25" i="68"/>
  <c r="C22" i="68" s="1"/>
  <c r="C46" i="68"/>
  <c r="C45" i="68" s="1"/>
  <c r="C43" i="68"/>
  <c r="C41" i="68" s="1"/>
  <c r="J65" i="40"/>
  <c r="K63" i="40"/>
  <c r="K68" i="39"/>
  <c r="J70" i="39"/>
  <c r="C19" i="9"/>
  <c r="C20" i="9"/>
  <c r="L46" i="15" l="1"/>
  <c r="Q48" i="15"/>
  <c r="C75" i="15"/>
  <c r="C37" i="15"/>
  <c r="C30" i="15" s="1"/>
  <c r="C39" i="15" s="1"/>
  <c r="Q70" i="15"/>
  <c r="C56" i="15"/>
  <c r="C65" i="15" s="1"/>
  <c r="C61" i="15"/>
  <c r="C59" i="15" s="1"/>
  <c r="C64" i="15"/>
  <c r="J22" i="15"/>
  <c r="J13" i="15"/>
  <c r="J23" i="15" s="1"/>
  <c r="C29" i="67"/>
  <c r="C13" i="67" s="1"/>
  <c r="C103" i="9"/>
  <c r="C102" i="9"/>
  <c r="C21" i="9"/>
  <c r="C49" i="69"/>
  <c r="C51" i="69" s="1"/>
  <c r="C52" i="69" s="1"/>
  <c r="B2" i="69" s="1"/>
  <c r="B3" i="69" s="1"/>
  <c r="C49" i="68"/>
  <c r="C51" i="68" s="1"/>
  <c r="C31" i="68"/>
  <c r="R27" i="6"/>
  <c r="R6" i="1"/>
  <c r="L68" i="39"/>
  <c r="K70" i="39"/>
  <c r="L63" i="40"/>
  <c r="K65" i="40"/>
  <c r="M21" i="67"/>
  <c r="L51" i="15"/>
  <c r="F35" i="67"/>
  <c r="J16" i="15" l="1"/>
  <c r="J25" i="15" s="1"/>
  <c r="C58" i="15"/>
  <c r="C67" i="15" s="1"/>
  <c r="C68" i="15" s="1"/>
  <c r="C71" i="15" s="1"/>
  <c r="C80" i="15"/>
  <c r="C79" i="15" s="1"/>
  <c r="L57" i="15"/>
  <c r="L60" i="15" s="1"/>
  <c r="Q67" i="15"/>
  <c r="Q69" i="15"/>
  <c r="Q68" i="15" s="1"/>
  <c r="C40" i="15"/>
  <c r="J14" i="67"/>
  <c r="J22" i="67" s="1"/>
  <c r="C36" i="67"/>
  <c r="Q49" i="67"/>
  <c r="J59" i="67"/>
  <c r="J60" i="67" s="1"/>
  <c r="Q48" i="67" s="1"/>
  <c r="C56" i="67"/>
  <c r="C65" i="67" s="1"/>
  <c r="C75" i="67"/>
  <c r="C33" i="67"/>
  <c r="J19" i="67"/>
  <c r="C57" i="67"/>
  <c r="C64" i="67" s="1"/>
  <c r="Q70" i="67"/>
  <c r="C37" i="67"/>
  <c r="J20" i="67"/>
  <c r="C34" i="67"/>
  <c r="F63" i="67"/>
  <c r="C62" i="67" s="1"/>
  <c r="R16" i="1"/>
  <c r="C52" i="68"/>
  <c r="B2" i="68" s="1"/>
  <c r="B3" i="68" s="1"/>
  <c r="C57" i="69"/>
  <c r="C56" i="69" s="1"/>
  <c r="L65" i="40"/>
  <c r="M63" i="40"/>
  <c r="M68" i="39"/>
  <c r="L70" i="39"/>
  <c r="Q65" i="15" l="1"/>
  <c r="C83" i="15"/>
  <c r="C82" i="15" s="1"/>
  <c r="Q47" i="15"/>
  <c r="Q53" i="15" s="1"/>
  <c r="Q56" i="15"/>
  <c r="C43" i="15"/>
  <c r="B2" i="15"/>
  <c r="B3" i="15" s="1"/>
  <c r="C46" i="15"/>
  <c r="Q57" i="15"/>
  <c r="Q66" i="15"/>
  <c r="J13" i="67"/>
  <c r="J23" i="67" s="1"/>
  <c r="J17" i="67"/>
  <c r="C31" i="67"/>
  <c r="C30" i="67" s="1"/>
  <c r="C39" i="67" s="1"/>
  <c r="Q69" i="67" s="1"/>
  <c r="Q68" i="67" s="1"/>
  <c r="C61" i="67"/>
  <c r="C59" i="67" s="1"/>
  <c r="C58" i="67" s="1"/>
  <c r="C67" i="67" s="1"/>
  <c r="C68" i="67" s="1"/>
  <c r="C71" i="67" s="1"/>
  <c r="L57" i="67"/>
  <c r="L60" i="67" s="1"/>
  <c r="C57" i="68"/>
  <c r="C56" i="68" s="1"/>
  <c r="M65" i="40"/>
  <c r="N63" i="40"/>
  <c r="N68" i="39"/>
  <c r="M70" i="39"/>
  <c r="L51" i="67"/>
  <c r="Q62" i="15" l="1"/>
  <c r="Q75" i="15"/>
  <c r="J16" i="67"/>
  <c r="J25" i="67" s="1"/>
  <c r="C80" i="67"/>
  <c r="C79" i="67" s="1"/>
  <c r="C40" i="67"/>
  <c r="Q56" i="67" s="1"/>
  <c r="Q67" i="67"/>
  <c r="L46" i="67"/>
  <c r="Q57" i="67"/>
  <c r="Q66" i="67"/>
  <c r="O63" i="40"/>
  <c r="O65" i="40" s="1"/>
  <c r="N65" i="40"/>
  <c r="O68" i="39"/>
  <c r="O70" i="39" s="1"/>
  <c r="N70" i="39"/>
  <c r="C43" i="67" l="1"/>
  <c r="C45" i="67"/>
  <c r="C46" i="67" s="1"/>
  <c r="D2" i="67"/>
  <c r="B2" i="67" s="1"/>
  <c r="C83" i="67"/>
  <c r="C82" i="67" s="1"/>
  <c r="Q62" i="67"/>
  <c r="Q65" i="67"/>
  <c r="Q47" i="67"/>
  <c r="Q53" i="67" s="1"/>
  <c r="Q75" i="67"/>
  <c r="J7" i="39"/>
  <c r="F7" i="39"/>
  <c r="H7" i="39"/>
  <c r="J7" i="40"/>
  <c r="H7" i="40"/>
  <c r="F7" i="40"/>
  <c r="D19" i="9"/>
  <c r="AO6" i="1"/>
  <c r="B3" i="67" l="1"/>
  <c r="G19" i="9"/>
  <c r="D102" i="9"/>
  <c r="D22" i="9"/>
  <c r="D21" i="9"/>
  <c r="B6" i="70"/>
  <c r="B2" i="70" s="1"/>
  <c r="B3" i="70" s="1"/>
  <c r="AA7" i="40"/>
  <c r="R42" i="40" s="1"/>
  <c r="S7" i="40"/>
  <c r="AC7" i="40"/>
  <c r="V42" i="40" s="1"/>
  <c r="I42" i="40" s="1"/>
  <c r="W7" i="40"/>
  <c r="AA7" i="39"/>
  <c r="R47" i="39" s="1"/>
  <c r="S7" i="39"/>
  <c r="U7" i="40"/>
  <c r="AB7" i="40"/>
  <c r="T42" i="40" s="1"/>
  <c r="G42" i="40" s="1"/>
  <c r="AB7" i="39"/>
  <c r="T47" i="39" s="1"/>
  <c r="G47" i="39" s="1"/>
  <c r="U7" i="39"/>
  <c r="W7" i="39"/>
  <c r="AC7" i="39"/>
  <c r="V47" i="39" s="1"/>
  <c r="I47" i="39" s="1"/>
  <c r="D20" i="9"/>
  <c r="G20" i="9" l="1"/>
  <c r="R24" i="31" s="1"/>
  <c r="R33" i="31" s="1"/>
  <c r="S33" i="31" s="1"/>
  <c r="D103" i="9"/>
  <c r="C32" i="9"/>
  <c r="G21" i="9"/>
  <c r="G52" i="39"/>
  <c r="H52" i="39" s="1"/>
  <c r="G51" i="39"/>
  <c r="H51" i="39" s="1"/>
  <c r="I51" i="39"/>
  <c r="J51" i="39" s="1"/>
  <c r="G47" i="40"/>
  <c r="H47" i="40" s="1"/>
  <c r="G46" i="40"/>
  <c r="H46" i="40" s="1"/>
  <c r="R48" i="39"/>
  <c r="E47" i="39"/>
  <c r="I46" i="40"/>
  <c r="J46" i="40" s="1"/>
  <c r="E42" i="40"/>
  <c r="R43" i="40"/>
  <c r="R29" i="31" l="1"/>
  <c r="S29" i="31" s="1"/>
  <c r="R32" i="31"/>
  <c r="S32" i="31" s="1"/>
  <c r="R40" i="31"/>
  <c r="S40" i="31" s="1"/>
  <c r="R48" i="31"/>
  <c r="S48" i="31" s="1"/>
  <c r="R26" i="31"/>
  <c r="S26" i="31" s="1"/>
  <c r="R34" i="31"/>
  <c r="S34" i="31" s="1"/>
  <c r="R42" i="31"/>
  <c r="S42" i="31" s="1"/>
  <c r="R50" i="31"/>
  <c r="S50" i="31" s="1"/>
  <c r="R25" i="31"/>
  <c r="S25" i="31" s="1"/>
  <c r="R28" i="31"/>
  <c r="S28" i="31" s="1"/>
  <c r="R36" i="31"/>
  <c r="S36" i="31" s="1"/>
  <c r="R44" i="31"/>
  <c r="S44" i="31" s="1"/>
  <c r="R52" i="31"/>
  <c r="S52" i="31" s="1"/>
  <c r="R30" i="31"/>
  <c r="S30" i="31" s="1"/>
  <c r="R38" i="31"/>
  <c r="S38" i="31" s="1"/>
  <c r="R46" i="31"/>
  <c r="S46" i="31" s="1"/>
  <c r="R54" i="31"/>
  <c r="S54" i="31" s="1"/>
  <c r="R51" i="31"/>
  <c r="S51" i="31" s="1"/>
  <c r="R47" i="31"/>
  <c r="S47" i="31" s="1"/>
  <c r="R43" i="31"/>
  <c r="S43" i="31" s="1"/>
  <c r="R39" i="31"/>
  <c r="S39" i="31" s="1"/>
  <c r="R35" i="31"/>
  <c r="S35" i="31" s="1"/>
  <c r="R31" i="31"/>
  <c r="S31" i="31" s="1"/>
  <c r="R27" i="31"/>
  <c r="S27" i="31" s="1"/>
  <c r="S24" i="31"/>
  <c r="R53" i="31"/>
  <c r="S53" i="31" s="1"/>
  <c r="R49" i="31"/>
  <c r="S49" i="31" s="1"/>
  <c r="R45" i="31"/>
  <c r="S45" i="31" s="1"/>
  <c r="R41" i="31"/>
  <c r="S41" i="31" s="1"/>
  <c r="R37" i="31"/>
  <c r="S37" i="31" s="1"/>
  <c r="H118" i="9"/>
  <c r="C35" i="9"/>
  <c r="F118" i="9" s="1"/>
  <c r="C43" i="40"/>
  <c r="C42" i="40"/>
  <c r="E51" i="39"/>
  <c r="F51" i="39" s="1"/>
  <c r="E52" i="39"/>
  <c r="F52" i="39" s="1"/>
  <c r="I52" i="39"/>
  <c r="J52" i="39" s="1"/>
  <c r="E46" i="40"/>
  <c r="F46" i="40" s="1"/>
  <c r="E47" i="40"/>
  <c r="F47" i="40" s="1"/>
  <c r="I47" i="40"/>
  <c r="J47" i="40" s="1"/>
  <c r="C48" i="39"/>
  <c r="C47" i="39"/>
  <c r="S22" i="31" l="1"/>
  <c r="R22" i="31" s="1"/>
  <c r="B21" i="31" s="1"/>
  <c r="C34" i="9"/>
  <c r="D118" i="9" s="1"/>
  <c r="D119" i="9" s="1"/>
  <c r="D5" i="52" s="1"/>
  <c r="B49" i="72" s="1"/>
  <c r="F4" i="52"/>
  <c r="B51" i="72" s="1"/>
  <c r="F119" i="9"/>
  <c r="F5" i="52" s="1"/>
  <c r="B53" i="72" s="1"/>
  <c r="G118" i="9"/>
  <c r="G4" i="52" s="1"/>
  <c r="B52" i="72" s="1"/>
  <c r="D14" i="74"/>
  <c r="I118" i="9"/>
  <c r="H4" i="52"/>
  <c r="C104" i="9"/>
  <c r="H101" i="9"/>
  <c r="H119" i="9"/>
  <c r="H5" i="5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B55" i="40"/>
  <c r="F55" i="40" s="1"/>
  <c r="B60" i="40"/>
  <c r="F60" i="40" s="1"/>
  <c r="B57" i="40"/>
  <c r="F57" i="40" s="1"/>
  <c r="B58" i="40"/>
  <c r="F58" i="40" s="1"/>
  <c r="B59" i="40"/>
  <c r="F59" i="40" s="1"/>
  <c r="B52" i="40"/>
  <c r="F52" i="40" s="1"/>
  <c r="B56" i="40"/>
  <c r="F56" i="40" s="1"/>
  <c r="B51" i="40"/>
  <c r="F51" i="40" s="1"/>
  <c r="B54" i="40"/>
  <c r="F54" i="40" s="1"/>
  <c r="B53" i="40"/>
  <c r="F53" i="40" s="1"/>
  <c r="F61" i="40"/>
  <c r="B2" i="40" s="1"/>
  <c r="B3" i="40" s="1"/>
  <c r="B20" i="31" l="1"/>
  <c r="D4" i="52"/>
  <c r="B47" i="72" s="1"/>
  <c r="H102" i="9"/>
  <c r="D7" i="53" s="1"/>
  <c r="B21" i="72" s="1"/>
  <c r="E118" i="9"/>
  <c r="E4" i="52" s="1"/>
  <c r="B48" i="72" s="1"/>
  <c r="C105" i="9"/>
  <c r="I4" i="52"/>
  <c r="M48" i="9"/>
  <c r="D5" i="53"/>
  <c r="D45" i="9"/>
  <c r="H107" i="9"/>
  <c r="E14" i="74"/>
  <c r="F14" i="74"/>
  <c r="B5" i="74"/>
  <c r="M49" i="9" l="1"/>
  <c r="D13" i="53"/>
  <c r="D122" i="9"/>
  <c r="H108" i="9"/>
  <c r="D15" i="53" s="1"/>
  <c r="B31" i="72" s="1"/>
  <c r="D6" i="53"/>
  <c r="B22" i="72" s="1"/>
  <c r="B20" i="72"/>
  <c r="C5" i="74"/>
  <c r="D5" i="74"/>
  <c r="C93" i="9"/>
  <c r="C86" i="9" s="1"/>
  <c r="C72" i="9"/>
  <c r="C85" i="9"/>
  <c r="C64" i="9"/>
  <c r="C63" i="9" s="1"/>
  <c r="C67" i="9" s="1"/>
  <c r="C68" i="9" s="1"/>
  <c r="D54" i="9" s="1"/>
  <c r="D53" i="9"/>
  <c r="D52" i="9"/>
  <c r="C78" i="9"/>
  <c r="C73" i="9" s="1"/>
  <c r="D55" i="9"/>
  <c r="M53" i="9" s="1"/>
  <c r="G14" i="74" l="1"/>
  <c r="B6" i="74" s="1"/>
  <c r="D123" i="9"/>
  <c r="D9" i="52" s="1"/>
  <c r="D8" i="52"/>
  <c r="C79" i="9"/>
  <c r="B30" i="72"/>
  <c r="D14" i="53"/>
  <c r="B32" i="72" s="1"/>
  <c r="C95" i="9"/>
  <c r="L65" i="9"/>
  <c r="M65" i="9" s="1"/>
  <c r="L64" i="9"/>
  <c r="M64" i="9" s="1"/>
  <c r="L67" i="9"/>
  <c r="M67" i="9" s="1"/>
  <c r="L68" i="9"/>
  <c r="M68" i="9" s="1"/>
  <c r="L66" i="9"/>
  <c r="M66" i="9" s="1"/>
  <c r="L63" i="9"/>
  <c r="M63" i="9" s="1"/>
  <c r="M69" i="9" l="1"/>
  <c r="N69" i="9" s="1"/>
  <c r="C80" i="9"/>
  <c r="E80" i="9" s="1"/>
  <c r="E81" i="9" s="1"/>
  <c r="C96" i="9"/>
  <c r="E96" i="9" s="1"/>
  <c r="E97" i="9" s="1"/>
  <c r="C6" i="74"/>
  <c r="D6" i="74"/>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<sst xmlns="http://schemas.openxmlformats.org/spreadsheetml/2006/main" count="8011" uniqueCount="3329">
  <si>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</si>
  <si>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</si>
  <si>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</si>
  <si>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</si>
  <si>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</si>
  <si>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</si>
  <si>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</si>
  <si>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</si>
  <si>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</si>
  <si>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</si>
  <si>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</si>
  <si>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</si>
  <si>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</si>
  <si>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</si>
  <si>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</si>
  <si>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</si>
  <si>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</si>
  <si>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</si>
  <si>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</si>
  <si>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</si>
  <si>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</si>
  <si>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</si>
  <si>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</si>
  <si>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</si>
  <si>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</si>
  <si>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</si>
  <si>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</si>
  <si>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</si>
  <si>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</si>
  <si>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</si>
  <si>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</si>
  <si>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</si>
  <si>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</si>
  <si>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</si>
  <si>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</si>
  <si>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</si>
  <si>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</si>
  <si>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</si>
  <si>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</si>
  <si>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</si>
  <si>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</si>
  <si>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</si>
  <si>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</si>
  <si>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</si>
  <si>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</si>
  <si>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</si>
  <si>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</si>
  <si>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</si>
  <si>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</si>
  <si>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</si>
  <si>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</si>
  <si>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</si>
  <si>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</si>
  <si>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</si>
  <si>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</si>
  <si>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</si>
  <si>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</si>
  <si>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</si>
  <si>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</si>
  <si>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</si>
  <si>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</si>
  <si>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</si>
  <si>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</si>
  <si>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</si>
  <si>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</si>
  <si>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</si>
  <si>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</si>
  <si>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</si>
  <si>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</si>
  <si>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</si>
  <si>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</si>
  <si>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</si>
  <si>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</si>
  <si>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</si>
  <si>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</si>
  <si>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</si>
  <si>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</si>
  <si>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</si>
  <si>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</si>
  <si>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</si>
  <si>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</si>
  <si>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</si>
  <si>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</si>
  <si>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</si>
  <si>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</si>
  <si>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</si>
  <si>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</si>
  <si>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</si>
  <si>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</si>
  <si>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</si>
  <si>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</si>
  <si>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</si>
  <si>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</si>
  <si>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</si>
  <si>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</si>
  <si>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</si>
  <si>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</si>
  <si>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</si>
  <si>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</si>
  <si>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</si>
  <si>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</si>
  <si>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</si>
  <si>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</si>
  <si>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</si>
  <si>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</si>
  <si>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</si>
  <si>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</si>
  <si>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</si>
  <si>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</si>
  <si>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</si>
  <si>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</si>
  <si>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</si>
  <si>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</si>
  <si>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</si>
  <si>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</si>
  <si>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</si>
  <si>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</si>
  <si>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</si>
  <si>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</si>
  <si>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</si>
  <si>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</si>
  <si>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</si>
  <si>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</si>
  <si>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</si>
  <si>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</si>
  <si>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</si>
  <si>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</si>
  <si>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</si>
  <si>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</si>
  <si>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</si>
  <si>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</si>
  <si>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</si>
  <si>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</si>
  <si>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</si>
  <si>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</si>
  <si>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</si>
  <si>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</si>
  <si>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</si>
  <si>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</si>
  <si>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</si>
  <si>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</si>
  <si>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</si>
  <si>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</si>
  <si>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</si>
  <si>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</si>
  <si>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</si>
  <si>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</si>
  <si>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</si>
  <si>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</si>
  <si>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</si>
  <si>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</si>
  <si>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</si>
  <si>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</si>
  <si>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</si>
  <si>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</si>
  <si>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</si>
  <si>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</si>
  <si>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</si>
  <si>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</si>
  <si>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</si>
  <si>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</si>
  <si>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</si>
  <si>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</si>
  <si>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</si>
  <si>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</si>
  <si>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</si>
  <si>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</si>
  <si>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</si>
  <si>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</si>
  <si>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</si>
  <si>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</si>
  <si>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</si>
  <si>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</si>
  <si>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</si>
  <si>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</si>
  <si>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</si>
  <si>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</si>
  <si>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</si>
  <si>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</si>
  <si>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</si>
  <si>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</si>
  <si>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</si>
  <si>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</si>
  <si>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</si>
  <si>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</si>
  <si>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</si>
  <si>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</si>
  <si>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</si>
  <si>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</si>
  <si>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</si>
  <si>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</si>
  <si>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</si>
  <si>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</si>
  <si>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</si>
  <si>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</si>
  <si>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</si>
  <si>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</si>
  <si>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</si>
  <si>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</si>
  <si>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</si>
  <si>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</si>
  <si>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</si>
  <si>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</si>
  <si>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</si>
  <si>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</si>
  <si>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</si>
  <si>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</si>
  <si>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</si>
  <si>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</si>
  <si>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</si>
  <si>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</si>
  <si>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</si>
  <si>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</si>
  <si>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</si>
  <si>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</si>
  <si>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</si>
  <si>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</si>
  <si>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</si>
  <si>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</si>
  <si>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</si>
  <si>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</si>
  <si>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</si>
  <si>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</si>
  <si>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</si>
  <si>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</si>
  <si>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</si>
  <si>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</si>
  <si>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</si>
  <si>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</si>
  <si>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</si>
  <si>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</si>
  <si>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</si>
  <si>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</si>
  <si>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</si>
  <si>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</si>
  <si>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</si>
  <si>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</si>
  <si>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</si>
  <si>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</si>
  <si>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</si>
  <si>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</si>
  <si>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</si>
  <si>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</si>
  <si>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</si>
  <si>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</si>
  <si>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</si>
  <si>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</si>
  <si>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</si>
  <si>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</si>
  <si>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</si>
  <si>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</si>
  <si>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</si>
  <si>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</si>
  <si>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</si>
  <si>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</si>
  <si>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</si>
  <si>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</si>
  <si>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</si>
  <si>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</si>
  <si>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</si>
  <si>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</si>
  <si>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</si>
  <si>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</si>
  <si>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</si>
  <si>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</si>
  <si>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</si>
  <si>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</si>
  <si>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</si>
  <si>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</si>
  <si>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</si>
  <si>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</si>
  <si>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</si>
  <si>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</si>
  <si>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</si>
  <si>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</si>
  <si>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</si>
  <si>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</si>
  <si>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</si>
  <si>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</si>
  <si>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</si>
  <si>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</si>
  <si>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</si>
  <si>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</si>
  <si>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</si>
  <si>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</si>
  <si>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</si>
  <si>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</si>
  <si>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</si>
  <si>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</si>
  <si>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</si>
  <si>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</si>
  <si>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</si>
  <si>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</si>
  <si>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</si>
  <si>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</si>
  <si>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</si>
  <si>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</si>
  <si>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</si>
  <si>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</si>
  <si>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</si>
  <si>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</si>
  <si>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</si>
  <si>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</si>
  <si>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</si>
  <si>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</si>
  <si>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</si>
  <si>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</si>
  <si>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</si>
  <si>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</si>
  <si>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</si>
  <si>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</si>
  <si>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</si>
  <si>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</si>
  <si>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</si>
  <si>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</si>
  <si>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</si>
  <si>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</si>
  <si>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</si>
  <si>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</si>
  <si>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</si>
  <si>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</si>
  <si>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</si>
  <si>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</si>
  <si>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</si>
  <si>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</si>
  <si>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</si>
  <si>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</si>
  <si>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</si>
  <si>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</si>
  <si>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</si>
  <si>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</si>
  <si>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</si>
  <si>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</si>
  <si>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</si>
  <si>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</si>
  <si>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</si>
  <si>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</si>
  <si>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</si>
  <si>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</si>
  <si>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</si>
  <si>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</si>
  <si>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</si>
  <si>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</si>
  <si>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</si>
  <si>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</si>
  <si>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</si>
  <si>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</si>
  <si>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</si>
  <si>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</si>
  <si>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</si>
  <si>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</si>
  <si>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</si>
  <si>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</si>
  <si>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</si>
  <si>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</si>
  <si>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</si>
  <si>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</si>
  <si>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</si>
  <si>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</si>
  <si>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</si>
  <si>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</si>
  <si>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</si>
  <si>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</si>
  <si>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</si>
  <si>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</si>
  <si>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</si>
  <si>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</si>
  <si>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</si>
  <si>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</si>
  <si>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</si>
  <si>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</si>
  <si>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</si>
  <si>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</si>
  <si>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</si>
  <si>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</si>
  <si>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</si>
  <si>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</si>
  <si>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</si>
  <si>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</si>
  <si>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</si>
  <si>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</si>
  <si>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</si>
  <si>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</si>
  <si>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</si>
  <si>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</si>
  <si>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</si>
  <si>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</si>
  <si>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</si>
  <si>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</si>
  <si>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</si>
  <si>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</si>
  <si>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</si>
  <si>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</si>
  <si>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</si>
  <si>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</si>
  <si>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</si>
  <si>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</si>
  <si>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</si>
  <si>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</si>
  <si>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</si>
  <si>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</si>
  <si>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</si>
  <si>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</si>
  <si>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</si>
  <si>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</si>
  <si>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</si>
  <si>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</si>
  <si>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</si>
  <si>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</si>
  <si>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</si>
  <si>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</si>
  <si>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</si>
  <si>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</si>
  <si>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</si>
  <si>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</si>
  <si>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</si>
  <si>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</si>
  <si>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</si>
  <si>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</si>
  <si>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</si>
  <si>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</si>
  <si>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</si>
  <si>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</si>
  <si>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</si>
  <si>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</si>
  <si>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</si>
  <si>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</si>
  <si>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</si>
  <si>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</si>
  <si>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</si>
  <si>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</si>
  <si>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</si>
  <si>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</si>
  <si>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</si>
  <si>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</si>
  <si>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</si>
  <si>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</si>
  <si>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</si>
  <si>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</si>
  <si>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</si>
  <si>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</si>
  <si>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</si>
  <si>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</si>
  <si>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</si>
  <si>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</si>
  <si>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</si>
  <si>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</si>
  <si>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</si>
  <si>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</si>
  <si>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</si>
  <si>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</si>
  <si>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</si>
  <si>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</si>
  <si>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</si>
  <si>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</si>
  <si>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</si>
  <si>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</si>
  <si>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</si>
  <si>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</si>
  <si>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</si>
  <si>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</si>
  <si>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</si>
  <si>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</si>
  <si>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</si>
  <si>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</si>
  <si>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</si>
  <si>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</si>
  <si>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</si>
  <si>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</si>
  <si>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</si>
  <si>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</si>
  <si>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</si>
  <si>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</si>
  <si>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</si>
  <si>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</si>
  <si>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</si>
  <si>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</si>
  <si>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</si>
  <si>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</si>
  <si>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</si>
  <si>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</si>
  <si>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</si>
  <si>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</si>
  <si>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</si>
  <si>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</si>
  <si>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</si>
  <si>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</si>
  <si>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</si>
  <si>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</si>
  <si>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</si>
  <si>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</si>
  <si>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</si>
  <si>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</si>
  <si>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</si>
  <si>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</si>
  <si>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</si>
  <si>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</si>
  <si>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</si>
  <si>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</si>
  <si>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</si>
  <si>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</si>
  <si>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</si>
  <si>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</si>
  <si>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</si>
  <si>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</si>
  <si>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</si>
  <si>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</si>
  <si>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</si>
  <si>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</si>
  <si>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</si>
  <si>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</si>
  <si>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</si>
  <si>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</si>
  <si>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</si>
  <si>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</si>
  <si>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</si>
  <si>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</si>
  <si>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</si>
  <si>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</si>
  <si>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</si>
  <si>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</si>
  <si>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</si>
  <si>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</si>
  <si>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</si>
  <si>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</si>
  <si>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</si>
  <si>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</si>
  <si>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</si>
  <si>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</si>
  <si>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</si>
  <si>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</si>
  <si>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</si>
  <si>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</si>
  <si>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</si>
  <si>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</si>
  <si>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</si>
  <si>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</si>
  <si>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</si>
  <si>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</si>
  <si>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</si>
  <si>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</si>
  <si>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</si>
  <si>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</si>
  <si>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</si>
  <si>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</si>
  <si>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</si>
  <si>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</si>
  <si>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</si>
  <si>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</si>
  <si>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</si>
  <si>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</si>
  <si>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</si>
  <si>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</si>
  <si>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</si>
  <si>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</si>
  <si>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</si>
  <si>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</si>
  <si>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</si>
  <si>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</si>
  <si>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</si>
  <si>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</si>
  <si>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</si>
  <si>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</si>
  <si>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</si>
  <si>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</si>
  <si>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</si>
  <si>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</si>
  <si>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</si>
  <si>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</si>
  <si>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</si>
  <si>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</si>
  <si>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</si>
  <si>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</si>
  <si>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</si>
  <si>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</si>
  <si>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</si>
  <si>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</si>
  <si>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</si>
  <si>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</si>
  <si>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</si>
  <si>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</si>
  <si>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</si>
  <si>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</si>
  <si>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</si>
  <si>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</si>
  <si>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</si>
  <si>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</si>
  <si>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</si>
  <si>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</si>
  <si>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</si>
  <si>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</si>
  <si>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</si>
  <si>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</si>
  <si>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</si>
  <si>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</si>
  <si>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</si>
  <si>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</si>
  <si>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</si>
  <si>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</si>
  <si>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</si>
  <si>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</si>
  <si>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</si>
  <si>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</si>
  <si>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</si>
  <si>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</si>
  <si>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</si>
  <si>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</si>
  <si>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</si>
  <si>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</si>
  <si>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</si>
  <si>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</si>
  <si>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</si>
  <si>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</si>
  <si>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</si>
  <si>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</si>
  <si>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</si>
  <si>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</si>
  <si>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</si>
  <si>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</si>
  <si>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</si>
  <si>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</si>
  <si>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</si>
  <si>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</si>
  <si>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</si>
  <si>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</si>
  <si>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</si>
  <si>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</si>
  <si>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</si>
  <si>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</si>
  <si>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</si>
  <si>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</si>
  <si>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</si>
  <si>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</si>
  <si>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</si>
  <si>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</si>
  <si>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</si>
  <si>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</si>
  <si>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</si>
  <si>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</si>
  <si>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</si>
  <si>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</si>
  <si>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</si>
  <si>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</si>
  <si>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</si>
  <si>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</si>
  <si>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</si>
  <si>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</si>
  <si>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</si>
  <si>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</si>
  <si>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</si>
  <si>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</si>
  <si>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</si>
  <si>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</si>
  <si>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</si>
  <si>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</si>
  <si>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</si>
  <si>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</si>
  <si>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</si>
  <si>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</si>
  <si>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</si>
  <si>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</si>
  <si>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</si>
  <si>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</si>
  <si>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</si>
  <si>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</si>
  <si>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</si>
  <si>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</si>
  <si>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</si>
  <si>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</si>
  <si>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</si>
  <si>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</si>
  <si>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</si>
  <si>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</si>
  <si>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</si>
  <si>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</si>
  <si>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</si>
  <si>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</si>
  <si>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</si>
  <si>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</si>
  <si>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</si>
  <si>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</si>
  <si>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</si>
  <si>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</si>
  <si>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</si>
  <si>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</si>
  <si>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</si>
  <si>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</si>
  <si>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</si>
  <si>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</si>
  <si>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</si>
  <si>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</si>
  <si>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</si>
  <si>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</si>
  <si>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</si>
  <si>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</si>
  <si>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</si>
  <si>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</si>
  <si>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</si>
  <si>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</si>
  <si>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</si>
  <si>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</si>
  <si>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</si>
  <si>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</si>
  <si>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</si>
  <si>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</si>
  <si>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</si>
  <si>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</si>
  <si>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</si>
  <si>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</si>
  <si>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</si>
  <si>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</si>
  <si>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</si>
  <si>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</si>
  <si>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</si>
  <si>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</si>
  <si>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</si>
  <si>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</si>
  <si>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</si>
  <si>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</si>
  <si>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</si>
  <si>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</si>
  <si>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</si>
  <si>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</si>
  <si>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</si>
  <si>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</si>
  <si>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</si>
  <si>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</si>
  <si>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</si>
  <si>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</si>
  <si>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</si>
  <si>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</si>
  <si>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</si>
  <si>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</si>
  <si>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</si>
  <si>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</si>
  <si>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</si>
  <si>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</si>
  <si>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</si>
  <si>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</si>
  <si>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</si>
  <si>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</si>
  <si>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</si>
  <si>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</si>
  <si>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</si>
  <si>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</si>
  <si>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</si>
  <si>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</si>
  <si>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</si>
  <si>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</si>
  <si>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</si>
  <si>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</si>
  <si>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</si>
  <si>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</si>
  <si>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</si>
  <si>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</si>
  <si>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</si>
  <si>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</si>
  <si>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</si>
  <si>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</si>
  <si>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</si>
  <si>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</si>
  <si>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</si>
  <si>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</si>
  <si>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</si>
  <si>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</si>
  <si>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</si>
  <si>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</si>
  <si>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</si>
  <si>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</si>
  <si>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</si>
  <si>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</si>
  <si>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</si>
  <si>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</si>
  <si>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</si>
  <si>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</si>
  <si>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</si>
  <si>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</si>
  <si>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</si>
  <si>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</si>
  <si>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</si>
  <si>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</si>
  <si>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</si>
  <si>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</si>
  <si>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</si>
  <si>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</si>
  <si>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</si>
  <si>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</si>
  <si>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</si>
  <si>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</si>
  <si>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</si>
  <si>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</si>
  <si>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</si>
  <si>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</si>
  <si>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</si>
  <si>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</si>
  <si>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</si>
  <si>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</si>
  <si>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</si>
  <si>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</si>
  <si>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</si>
  <si>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</si>
  <si>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</si>
  <si>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</si>
  <si>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</si>
  <si>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</si>
  <si>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</si>
  <si>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</si>
  <si>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</si>
  <si>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</si>
  <si>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</si>
  <si>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</si>
  <si>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</si>
  <si>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</si>
  <si>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</si>
  <si>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</si>
  <si>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</si>
  <si>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</si>
  <si>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</si>
  <si>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</si>
  <si>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</si>
  <si>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</si>
  <si>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</si>
  <si>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</si>
  <si>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</si>
  <si>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</si>
  <si>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</si>
  <si>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</si>
  <si>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</si>
  <si>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</si>
  <si>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</si>
  <si>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</si>
  <si>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</si>
  <si>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</si>
  <si>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</si>
  <si>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</si>
  <si>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</si>
  <si>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</si>
  <si>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</si>
  <si>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</si>
  <si>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</si>
  <si>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</si>
  <si>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</si>
  <si>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</si>
  <si>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</si>
  <si>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</si>
  <si>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</si>
  <si>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</si>
  <si>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</si>
  <si>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</si>
  <si>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</si>
  <si>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</si>
  <si>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</si>
  <si>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</si>
  <si>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</si>
  <si>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</si>
  <si>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</si>
  <si>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</si>
  <si>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</si>
  <si>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</si>
  <si>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</si>
  <si>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</si>
  <si>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</si>
  <si>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</si>
  <si>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</si>
  <si>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</si>
  <si>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</si>
  <si>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</si>
  <si>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</si>
  <si>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</si>
  <si>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</si>
  <si>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</si>
  <si>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</si>
  <si>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</si>
  <si>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</si>
  <si>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</si>
  <si>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</si>
  <si>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</si>
  <si>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</si>
  <si>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</si>
  <si>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</si>
  <si>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</si>
  <si>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</si>
  <si>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</si>
  <si>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</si>
  <si>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</si>
  <si>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</si>
  <si>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</si>
  <si>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</si>
  <si>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</si>
  <si>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</si>
  <si>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</si>
  <si>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</si>
  <si>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</si>
  <si>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</si>
  <si>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</si>
  <si>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</si>
  <si>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</si>
  <si>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</si>
  <si>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</si>
  <si>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</si>
  <si>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</si>
  <si>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</si>
  <si>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</si>
  <si>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</si>
  <si>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</si>
  <si>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</si>
  <si>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</si>
  <si>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</si>
  <si>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</si>
  <si>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</si>
  <si>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</si>
  <si>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</si>
  <si>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</si>
  <si>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</si>
  <si>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</si>
  <si>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</si>
  <si>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</si>
  <si>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</si>
  <si>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</si>
  <si>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</si>
  <si>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</si>
  <si>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</si>
  <si>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</si>
  <si>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</si>
  <si>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</si>
  <si>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</si>
  <si>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</si>
  <si>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</si>
  <si>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</si>
  <si>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</si>
  <si>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</si>
  <si>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</si>
  <si>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</si>
  <si>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</si>
  <si>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</si>
  <si>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</si>
  <si>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</si>
  <si>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</si>
  <si>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</si>
  <si>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</si>
  <si>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</si>
  <si>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</si>
  <si>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</si>
  <si>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</si>
  <si>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</si>
  <si>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</si>
  <si>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</si>
  <si>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</si>
  <si>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</si>
  <si>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</si>
  <si>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</si>
  <si>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</si>
  <si>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</si>
  <si>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</si>
  <si>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</si>
  <si>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</si>
  <si>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</si>
  <si>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</si>
  <si>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</si>
  <si>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</si>
  <si>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</si>
  <si>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</si>
  <si>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</si>
  <si>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</si>
  <si>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</si>
  <si>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</si>
  <si>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</si>
  <si>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</si>
  <si>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</si>
  <si>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</si>
  <si>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</si>
  <si>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</si>
  <si>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</si>
  <si>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</si>
  <si>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</si>
  <si>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</si>
  <si>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</si>
  <si>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</si>
  <si>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</si>
  <si>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</si>
  <si>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</si>
  <si>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</si>
  <si>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</si>
  <si>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</si>
  <si>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</si>
  <si>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</si>
  <si>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</si>
  <si>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</si>
  <si>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</si>
  <si>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</si>
  <si>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</si>
  <si>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</si>
  <si>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</si>
  <si>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</si>
  <si>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</si>
  <si>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</si>
  <si>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</si>
  <si>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</si>
  <si>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</si>
  <si>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</si>
  <si>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</si>
  <si>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</si>
  <si>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</si>
  <si>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</si>
  <si>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</si>
  <si>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</si>
  <si>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</si>
  <si>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</si>
  <si>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</si>
  <si>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</si>
  <si>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</si>
  <si>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</si>
  <si>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</si>
  <si>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</si>
  <si>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</si>
  <si>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</si>
  <si>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</si>
  <si>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</si>
  <si>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</si>
  <si>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</si>
  <si>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</si>
  <si>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</si>
  <si>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</si>
  <si>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</si>
  <si>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</si>
  <si>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</si>
  <si>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</si>
  <si>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</si>
  <si>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</si>
  <si>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</si>
  <si>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</si>
  <si>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</si>
  <si>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</si>
  <si>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</si>
  <si>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</si>
  <si>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</si>
  <si>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</si>
  <si>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</si>
  <si>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</si>
  <si>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</si>
  <si>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</si>
  <si>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</si>
  <si>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</si>
  <si>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</si>
  <si>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</si>
  <si>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</si>
  <si>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</si>
  <si>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</si>
  <si>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</si>
  <si>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</si>
  <si>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</si>
  <si>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</si>
  <si>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</si>
  <si>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</si>
  <si>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</si>
  <si>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</si>
  <si>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</si>
  <si>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</si>
  <si>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</si>
  <si>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</si>
  <si>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</si>
  <si>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</si>
  <si>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</si>
  <si>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</si>
  <si>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</si>
  <si>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</si>
  <si>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</si>
  <si>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</si>
  <si>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</si>
  <si>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</si>
  <si>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</si>
  <si>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</si>
  <si>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</si>
  <si>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</si>
  <si>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</si>
  <si>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</si>
  <si>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</si>
  <si>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</si>
  <si>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</si>
  <si>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</si>
  <si>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</si>
  <si>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</si>
  <si>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</si>
  <si>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</si>
  <si>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</si>
  <si>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</si>
  <si>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</si>
  <si>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</si>
  <si>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</si>
  <si>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</si>
  <si>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</si>
  <si>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</si>
  <si>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</si>
  <si>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</si>
  <si>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</si>
  <si>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</si>
  <si>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</si>
  <si>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</si>
  <si>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</si>
  <si>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</si>
  <si>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</si>
  <si>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</si>
  <si>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</si>
  <si>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</si>
  <si>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</si>
  <si>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</si>
  <si>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</si>
  <si>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</si>
  <si>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</si>
  <si>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</si>
  <si>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</si>
  <si>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</si>
  <si>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</si>
  <si>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</si>
  <si>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</si>
  <si>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</si>
  <si>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</si>
  <si>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</si>
  <si>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</si>
  <si>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</si>
  <si>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</si>
  <si>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</si>
  <si>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</si>
  <si>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</si>
  <si>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</si>
  <si>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</si>
  <si>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</si>
  <si>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</si>
  <si>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</si>
  <si>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</si>
  <si>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</si>
  <si>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</si>
  <si>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</si>
  <si>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</si>
  <si>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</si>
  <si>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</si>
  <si>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</si>
  <si>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</si>
  <si>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</si>
  <si>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</si>
  <si>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</si>
  <si>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</si>
  <si>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</si>
  <si>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</si>
  <si>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</si>
  <si>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</si>
  <si>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</si>
  <si>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</si>
  <si>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</si>
  <si>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</si>
  <si>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</si>
  <si>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</si>
  <si>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</si>
  <si>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</si>
  <si>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</si>
  <si>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</si>
  <si>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</si>
  <si>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</si>
  <si>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</si>
  <si>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</si>
  <si>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</si>
  <si>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</si>
  <si>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</si>
  <si>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</si>
  <si>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</si>
  <si>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</si>
  <si>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</si>
  <si>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</si>
  <si>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</si>
  <si>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</si>
  <si>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</si>
  <si>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</si>
  <si>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</si>
  <si>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</si>
  <si>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</si>
  <si>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</si>
  <si>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</si>
  <si>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</si>
  <si>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</si>
  <si>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</si>
  <si>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</si>
  <si>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</si>
  <si>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</si>
  <si>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</si>
  <si>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</si>
  <si>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</si>
  <si>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</si>
  <si>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</si>
  <si>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</si>
  <si>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</si>
  <si>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</si>
  <si>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</si>
  <si>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</si>
  <si>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</si>
  <si>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</si>
  <si>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</si>
  <si>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</si>
  <si>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</si>
  <si>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</si>
  <si>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</si>
  <si>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</si>
  <si>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</si>
  <si>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</si>
  <si>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</si>
  <si>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</si>
  <si>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</si>
  <si>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</si>
  <si>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</si>
  <si>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</si>
  <si>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</si>
  <si>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</si>
  <si>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</si>
  <si>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</si>
  <si>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</si>
  <si>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</si>
  <si>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</si>
  <si>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</si>
  <si>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</si>
  <si>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</si>
  <si>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</si>
  <si>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</si>
  <si>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</si>
  <si>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</si>
  <si>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</si>
  <si>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</si>
  <si>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</si>
  <si>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</si>
  <si>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</si>
  <si>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</si>
  <si>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</si>
  <si>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</si>
  <si>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</si>
  <si>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</si>
  <si>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</si>
  <si>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</si>
  <si>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</si>
  <si>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</si>
  <si>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</si>
  <si>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</si>
  <si>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</si>
  <si>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</si>
  <si>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</si>
  <si>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</si>
  <si>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</si>
  <si>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</si>
  <si>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</si>
  <si>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</si>
  <si>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</si>
  <si>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</si>
  <si>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</si>
  <si>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</si>
  <si>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</si>
  <si>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</si>
  <si>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</si>
  <si>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</si>
  <si>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</si>
  <si>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</si>
  <si>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</si>
  <si>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</si>
  <si>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</si>
  <si>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</si>
  <si>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</si>
  <si>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</si>
  <si>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</si>
  <si>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</si>
  <si>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</si>
  <si>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</si>
  <si>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</si>
  <si>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</si>
  <si>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</si>
  <si>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</si>
  <si>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</si>
  <si>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</si>
  <si>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</si>
  <si>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</si>
  <si>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</si>
  <si>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</si>
  <si>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</si>
  <si>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</si>
  <si>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</si>
  <si>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</si>
  <si>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</si>
  <si>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</si>
  <si>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</si>
  <si>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</si>
  <si>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</si>
  <si>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</si>
  <si>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</si>
  <si>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</si>
  <si>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</si>
  <si>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</si>
  <si>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</si>
  <si>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</si>
  <si>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</si>
  <si>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</si>
  <si>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</si>
  <si>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</si>
  <si>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</si>
  <si>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</si>
  <si>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</si>
  <si>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</si>
  <si>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</si>
  <si>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</si>
  <si>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</si>
  <si>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</si>
  <si>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</si>
  <si>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</si>
  <si>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</si>
  <si>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</si>
  <si>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</si>
  <si>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</si>
  <si>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</si>
  <si>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</si>
  <si>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</si>
  <si>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</si>
  <si>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</si>
  <si>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</si>
  <si>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</si>
  <si>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</si>
  <si>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</si>
  <si>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</si>
  <si>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</si>
  <si>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</si>
  <si>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</si>
  <si>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</si>
  <si>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</si>
  <si>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</si>
  <si>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</si>
  <si>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</si>
  <si>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</si>
  <si>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</si>
  <si>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</si>
  <si>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</si>
  <si>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</si>
  <si>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</si>
  <si>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</si>
  <si>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</si>
  <si>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</si>
  <si>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</si>
  <si>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</si>
  <si>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</si>
  <si>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</si>
  <si>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</si>
  <si>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</si>
  <si>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</si>
  <si>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</si>
  <si>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</si>
  <si>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</si>
  <si>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</si>
  <si>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</si>
  <si>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</si>
  <si>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</si>
  <si>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</si>
  <si>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</si>
  <si>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</si>
  <si>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</si>
  <si>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</si>
  <si>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</si>
  <si>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</si>
  <si>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</si>
  <si>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</si>
  <si>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</si>
  <si>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</si>
  <si>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</si>
  <si>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</si>
  <si>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</si>
  <si>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</si>
  <si>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</si>
  <si>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</si>
  <si>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</si>
  <si>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</si>
  <si>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</si>
  <si>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</si>
  <si>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</si>
  <si>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</si>
  <si>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</si>
  <si>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</si>
  <si>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</si>
  <si>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</si>
  <si>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</si>
  <si>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</si>
  <si>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</si>
  <si>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</si>
  <si>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</si>
  <si>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</si>
  <si>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</si>
  <si>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</si>
  <si>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</si>
  <si>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</si>
  <si>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</si>
  <si>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</si>
  <si>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</si>
  <si>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</si>
  <si>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</si>
  <si>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</si>
  <si>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</si>
  <si>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</si>
  <si>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</si>
  <si>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</si>
  <si>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</si>
  <si>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</si>
  <si>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</si>
  <si>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</si>
  <si>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</si>
  <si>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</si>
  <si>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</si>
  <si>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</si>
  <si>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</si>
  <si>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</si>
  <si>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</si>
  <si>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</si>
  <si>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</si>
  <si>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</si>
  <si>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</si>
  <si>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</si>
  <si>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</si>
  <si>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</si>
  <si>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</si>
  <si>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</si>
  <si>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</si>
  <si>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</si>
  <si>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</si>
  <si>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</si>
  <si>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</si>
  <si>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</si>
  <si>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</si>
  <si>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</si>
  <si>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</si>
  <si>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</si>
  <si>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</si>
  <si>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</si>
  <si>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</si>
  <si>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</si>
  <si>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</si>
  <si>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</si>
  <si>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</si>
  <si>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</si>
  <si>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</si>
  <si>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</si>
  <si>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</si>
  <si>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</si>
  <si>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</si>
  <si>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</si>
  <si>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</si>
  <si>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</si>
  <si>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</si>
  <si>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</si>
  <si>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</si>
  <si>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</si>
  <si>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</si>
  <si>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</si>
  <si>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</si>
  <si>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</si>
  <si>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</si>
  <si>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</si>
  <si>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</si>
  <si>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</si>
  <si>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</si>
  <si>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</si>
  <si>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</si>
  <si>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</si>
  <si>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</si>
  <si>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</si>
  <si>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</si>
  <si>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</si>
  <si>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</si>
  <si>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</si>
  <si>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</si>
  <si>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</si>
  <si>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</si>
  <si>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</si>
  <si>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</si>
  <si>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</si>
  <si>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</si>
  <si>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</si>
  <si>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</si>
  <si>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</si>
  <si>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</si>
  <si>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</si>
  <si>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</si>
  <si>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</si>
  <si>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</si>
  <si>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</si>
  <si>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</si>
  <si>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</si>
  <si>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</si>
  <si>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</si>
  <si>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</si>
  <si>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</si>
  <si>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</si>
  <si>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</si>
  <si>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</si>
  <si>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</si>
  <si>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</si>
  <si>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</si>
  <si>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</si>
  <si>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</si>
  <si>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</si>
  <si>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</si>
  <si>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</si>
  <si>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</si>
  <si>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</si>
  <si>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</si>
  <si>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</si>
  <si>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</si>
  <si>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</si>
  <si>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</si>
  <si>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</si>
  <si>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</si>
  <si>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</si>
  <si>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</si>
  <si>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</si>
  <si>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</si>
  <si>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</si>
  <si>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</si>
  <si>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</si>
  <si>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</si>
  <si>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</si>
  <si>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</si>
  <si>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</si>
  <si>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</si>
  <si>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</si>
  <si>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</si>
  <si>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</si>
  <si>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</si>
  <si>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</si>
  <si>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</si>
  <si>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</si>
  <si>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</si>
  <si>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</si>
  <si>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</si>
  <si>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</si>
  <si>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</si>
  <si>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</si>
  <si>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</si>
  <si>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</si>
  <si>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</si>
  <si>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</si>
  <si>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</si>
  <si>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</si>
  <si>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</si>
  <si>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</si>
  <si>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</si>
  <si>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</si>
  <si>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</si>
  <si>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</si>
  <si>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</si>
  <si>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</si>
  <si>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</si>
  <si>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</si>
  <si>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</si>
  <si>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</si>
  <si>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</si>
  <si>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</si>
  <si>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</si>
  <si>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</si>
  <si>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</si>
  <si>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</si>
  <si>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</si>
  <si>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</si>
  <si>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</si>
  <si>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</si>
  <si>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</si>
  <si>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</si>
  <si>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</si>
  <si>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</si>
  <si>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</si>
  <si>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</si>
  <si>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</si>
  <si>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</si>
  <si>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</si>
  <si>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</si>
  <si>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</si>
  <si>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</si>
  <si>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</si>
  <si>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</si>
  <si>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</si>
  <si>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</si>
  <si>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</si>
  <si>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</si>
  <si>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</si>
  <si>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</si>
  <si>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</si>
  <si>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</si>
  <si>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</si>
  <si>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</si>
  <si>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</si>
  <si>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</si>
  <si>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</si>
  <si>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</si>
  <si>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</si>
  <si>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</si>
  <si>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</si>
  <si>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</si>
  <si>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</si>
  <si>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</si>
  <si>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</si>
  <si>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</si>
  <si>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</si>
  <si>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</si>
  <si>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</si>
  <si>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</si>
  <si>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</si>
  <si>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</si>
  <si>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</si>
  <si>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</si>
  <si>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</si>
  <si>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</si>
  <si>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</si>
  <si>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</si>
  <si>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</si>
  <si>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</si>
  <si>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</si>
  <si>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</si>
  <si>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</si>
  <si>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</si>
  <si>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</si>
  <si>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</si>
  <si>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</si>
  <si>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</si>
  <si>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</si>
  <si>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</si>
  <si>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</si>
  <si>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</si>
  <si>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</si>
  <si>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</si>
  <si>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</si>
  <si>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</si>
  <si>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</si>
  <si>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</si>
  <si>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</si>
  <si>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</si>
  <si>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</si>
  <si>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</si>
  <si>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</si>
  <si>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</si>
  <si>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</si>
  <si>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</si>
  <si>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</si>
  <si>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</si>
  <si>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</si>
  <si>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</si>
  <si>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</si>
  <si>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</si>
  <si>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</si>
  <si>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</si>
  <si>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</si>
  <si>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</si>
  <si>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</si>
  <si>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</si>
  <si>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</si>
  <si>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</si>
  <si>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</si>
  <si>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</si>
  <si>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</si>
  <si>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</si>
  <si>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</si>
  <si>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</si>
  <si>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</si>
  <si>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</si>
  <si>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</si>
  <si>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</si>
  <si>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</si>
  <si>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</si>
  <si>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</si>
  <si>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</si>
  <si>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</si>
  <si>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</si>
  <si>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</si>
  <si>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</si>
  <si>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</si>
  <si>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</si>
  <si>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</si>
  <si>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</si>
  <si>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</si>
  <si>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</si>
  <si>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</si>
  <si>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</si>
  <si>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</si>
  <si>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</si>
  <si>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</si>
  <si>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</si>
  <si>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</si>
  <si>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</si>
  <si>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</si>
  <si>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</si>
  <si>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</si>
  <si>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</si>
  <si>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</si>
  <si>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</si>
  <si>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</si>
  <si>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</si>
  <si>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</si>
  <si>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</si>
  <si>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</si>
  <si>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</si>
  <si>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</si>
  <si>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</si>
  <si>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</si>
  <si>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</si>
  <si>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</si>
  <si>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</si>
  <si>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</si>
  <si>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</si>
  <si>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</si>
  <si>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</si>
  <si>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</si>
  <si>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</si>
  <si>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</si>
  <si>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</si>
  <si>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</si>
  <si>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</si>
  <si>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</si>
  <si>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</si>
  <si>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</si>
  <si>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</si>
  <si>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</si>
  <si>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</si>
  <si>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</si>
  <si>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</si>
  <si>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</si>
  <si>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</si>
  <si>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</si>
  <si>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</si>
  <si>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</si>
  <si>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</si>
  <si>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</si>
  <si>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</si>
  <si>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</si>
  <si>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</si>
  <si>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</si>
  <si>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</si>
  <si>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</si>
  <si>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</si>
  <si>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</si>
  <si>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</si>
  <si>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</si>
  <si>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</si>
  <si>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</si>
  <si>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</si>
  <si>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</si>
  <si>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</si>
  <si>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</si>
  <si>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</si>
  <si>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</si>
  <si>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</si>
  <si>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</si>
  <si>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</si>
  <si>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</si>
  <si>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</si>
  <si>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</si>
  <si>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</si>
  <si>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</si>
  <si>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</si>
  <si>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</si>
  <si>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</si>
  <si>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</si>
  <si>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</si>
  <si>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</si>
  <si>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</si>
  <si>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</si>
  <si>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</si>
  <si>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</si>
  <si>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</si>
  <si>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</si>
  <si>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</si>
  <si>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</si>
  <si>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</si>
  <si>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</si>
  <si>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</si>
  <si>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</si>
  <si>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</si>
  <si>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</si>
  <si>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</si>
  <si>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</si>
  <si>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</si>
  <si>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</si>
  <si>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</si>
  <si>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</si>
  <si>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</si>
  <si>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</si>
  <si>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</si>
  <si>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</si>
  <si>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</si>
  <si>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</si>
  <si>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</si>
  <si>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</si>
  <si>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</si>
  <si>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</si>
  <si>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</si>
  <si>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</si>
  <si>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</si>
  <si>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</si>
  <si>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</si>
  <si>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</si>
  <si>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</si>
  <si>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</si>
  <si>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</si>
  <si>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</si>
  <si>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</si>
  <si>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</si>
  <si>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</si>
  <si>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</si>
  <si>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</si>
  <si>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</si>
  <si>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</si>
  <si>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</si>
  <si>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</si>
  <si>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</si>
  <si>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</si>
  <si>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</si>
  <si>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</si>
  <si>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</si>
  <si>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</si>
  <si>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</si>
  <si>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</si>
  <si>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</si>
  <si>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</si>
  <si>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</si>
  <si>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</si>
  <si>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</si>
  <si>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</si>
  <si>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</si>
  <si>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</si>
  <si>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</si>
  <si>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</si>
  <si>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</si>
  <si>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</si>
  <si>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</si>
  <si>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</si>
  <si>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</si>
  <si>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</si>
  <si>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</si>
  <si>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</si>
  <si>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</si>
  <si>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</si>
  <si>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</si>
  <si>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</si>
  <si>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</si>
  <si>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</si>
  <si>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</si>
  <si>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</si>
  <si>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</si>
  <si>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</si>
  <si>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</si>
  <si>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</si>
  <si>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</si>
  <si>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</si>
  <si>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</si>
  <si>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</si>
  <si>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</si>
  <si>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</si>
  <si>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</si>
  <si>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</si>
  <si>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</si>
  <si>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</si>
  <si>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</si>
  <si>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</si>
  <si>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</si>
  <si>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</si>
  <si>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</si>
  <si>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</si>
  <si>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</si>
  <si>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</si>
  <si>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</si>
  <si>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</si>
  <si>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</si>
  <si>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</si>
  <si>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</si>
  <si>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</si>
  <si>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</si>
  <si>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</si>
  <si>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</si>
  <si>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</si>
  <si>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</si>
  <si>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</si>
  <si>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</si>
  <si>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</si>
  <si>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</si>
  <si>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</si>
  <si>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</si>
  <si>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</si>
  <si>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</si>
  <si>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</si>
  <si>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</si>
  <si>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</si>
  <si>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</si>
  <si>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</si>
  <si>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</si>
  <si>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</si>
  <si>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</si>
  <si>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</si>
  <si>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</si>
  <si>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</si>
  <si>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</si>
  <si>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</si>
  <si>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</si>
  <si>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</si>
  <si>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</si>
  <si>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</si>
  <si>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</si>
  <si>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</si>
  <si>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</si>
  <si>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</si>
  <si>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</si>
  <si>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</si>
  <si>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</si>
  <si>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</si>
  <si>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</si>
  <si>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</si>
  <si>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</si>
  <si>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</si>
  <si>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</si>
  <si>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</si>
  <si>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</si>
  <si>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</si>
  <si>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</si>
  <si>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</si>
  <si>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</si>
  <si>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</si>
  <si>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</si>
  <si>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</si>
  <si>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</si>
  <si>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</si>
  <si>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</si>
  <si>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</si>
  <si>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</si>
  <si>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</si>
  <si>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</si>
  <si>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</si>
  <si>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</si>
  <si>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</si>
  <si>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</si>
  <si>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</si>
  <si>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</si>
  <si>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</si>
  <si>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</si>
  <si>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</si>
  <si>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</si>
  <si>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</si>
  <si>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</si>
  <si>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</si>
  <si>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</si>
  <si>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</si>
  <si>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</si>
  <si>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</si>
  <si>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</si>
  <si>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</si>
  <si>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</si>
  <si>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</si>
  <si>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</si>
  <si>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</si>
  <si>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</si>
  <si>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</si>
  <si>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</si>
  <si>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</si>
  <si>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</si>
  <si>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</si>
  <si>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</si>
  <si>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</si>
  <si>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</si>
  <si>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</si>
  <si>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</si>
  <si>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</si>
  <si>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</si>
  <si>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</si>
  <si>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</si>
  <si>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</si>
  <si>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</si>
  <si>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</si>
  <si>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</si>
  <si>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</si>
  <si>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</si>
  <si>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</si>
  <si>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</si>
  <si>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</si>
  <si>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</si>
  <si>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</si>
  <si>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</si>
  <si>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</si>
  <si>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</si>
  <si>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</si>
  <si>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</si>
  <si>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</si>
  <si>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</si>
  <si>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</si>
  <si>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</si>
  <si>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</si>
  <si>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</si>
  <si>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</si>
  <si>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</si>
  <si>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</si>
  <si>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</si>
  <si>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</si>
  <si>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</si>
  <si>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</si>
  <si>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</si>
  <si>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</si>
  <si>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</si>
  <si>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</si>
  <si>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</si>
  <si>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</si>
  <si>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</si>
  <si>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</si>
  <si>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</si>
  <si>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</si>
  <si>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</si>
  <si>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</si>
  <si>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</si>
  <si>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</si>
  <si>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</si>
  <si>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</si>
  <si>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</si>
  <si>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</si>
  <si>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</si>
  <si>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</si>
  <si>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</si>
  <si>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</si>
  <si>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</si>
  <si>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</si>
  <si>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</si>
  <si>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</si>
  <si>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</si>
  <si>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</si>
  <si>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</si>
  <si>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</si>
  <si>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</si>
  <si>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</si>
  <si>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</si>
  <si>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</si>
  <si>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</si>
  <si>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</si>
  <si>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</si>
  <si>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</si>
  <si>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</si>
  <si>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</si>
  <si>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</si>
  <si>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</si>
  <si>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</si>
  <si>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</si>
  <si>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</si>
  <si>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</si>
  <si>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</si>
  <si>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</si>
  <si>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</si>
  <si>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</si>
  <si>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</si>
  <si>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</si>
  <si>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</si>
  <si>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</si>
  <si>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</si>
  <si>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</si>
  <si>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</si>
  <si>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</si>
  <si>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</si>
  <si>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</si>
  <si>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</si>
  <si>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</si>
  <si>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</si>
  <si>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</si>
  <si>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</si>
  <si>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</si>
  <si>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</si>
  <si>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</si>
  <si>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</si>
  <si>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</si>
  <si>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</si>
  <si>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</si>
  <si>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</si>
  <si>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</si>
  <si>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</si>
  <si>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</si>
  <si>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</si>
  <si>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</si>
  <si>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</si>
  <si>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</si>
  <si>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</si>
  <si>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</si>
  <si>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</si>
  <si>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</si>
  <si>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</si>
  <si>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</si>
  <si>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</si>
  <si>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</si>
  <si>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</si>
  <si>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</si>
  <si>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</si>
  <si>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</si>
  <si>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</si>
  <si>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</si>
  <si>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</si>
  <si>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</si>
  <si>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</si>
  <si>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</si>
  <si>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</si>
  <si>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</si>
  <si>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</si>
  <si>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</si>
  <si>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</si>
  <si>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</si>
  <si>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</si>
  <si>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</si>
  <si>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</si>
  <si>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</si>
  <si>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</si>
  <si>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</si>
  <si>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</si>
  <si>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</si>
  <si>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</si>
  <si>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</si>
  <si>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</si>
  <si>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</si>
  <si>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</si>
  <si>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</si>
  <si>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</si>
  <si>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</si>
  <si>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</si>
  <si>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</si>
  <si>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</si>
  <si>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</si>
  <si>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</si>
  <si>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</si>
  <si>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</si>
  <si>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</si>
  <si>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</si>
  <si>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</si>
  <si>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</si>
  <si>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</si>
  <si>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</si>
  <si>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</si>
  <si>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</si>
  <si>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</si>
  <si>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</si>
  <si>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</si>
  <si>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</si>
  <si>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</si>
  <si>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</si>
  <si>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</si>
  <si>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</si>
  <si>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</si>
  <si>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</si>
  <si>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</si>
  <si>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</si>
  <si>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</si>
  <si>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</si>
  <si>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</si>
  <si>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</si>
  <si>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</si>
  <si>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</si>
  <si>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</si>
  <si>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</si>
  <si>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</si>
  <si>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</si>
  <si>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</si>
  <si>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</si>
  <si>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</si>
  <si>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</si>
  <si>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</si>
  <si>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</si>
  <si>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</si>
  <si>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</si>
  <si>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</si>
  <si>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</si>
  <si>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</si>
  <si>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</si>
  <si>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</si>
  <si>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</si>
  <si>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</si>
  <si>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</si>
  <si>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</si>
  <si>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</si>
  <si>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</si>
  <si>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</si>
  <si>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</si>
  <si>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</si>
  <si>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</si>
  <si>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</si>
  <si>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</si>
  <si>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</si>
  <si>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</si>
  <si>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</si>
  <si>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</si>
  <si>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</si>
  <si>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</si>
  <si>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</si>
  <si>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</si>
  <si>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</si>
  <si>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</si>
  <si>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</si>
  <si>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</si>
  <si>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</si>
  <si>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</si>
  <si>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</si>
  <si>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</si>
  <si>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</si>
  <si>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</si>
  <si>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</si>
  <si>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</si>
  <si>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</si>
  <si>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</si>
  <si>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</si>
  <si>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</si>
  <si>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</si>
  <si>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</si>
  <si>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</si>
  <si>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</si>
  <si>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</si>
  <si>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</si>
  <si>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</si>
  <si>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</si>
  <si>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</si>
  <si>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</si>
  <si>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</si>
  <si>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</si>
  <si>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</si>
  <si>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</si>
  <si>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</si>
  <si>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</si>
  <si>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</si>
  <si>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</si>
  <si>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</si>
  <si>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</si>
  <si>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</si>
  <si>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</si>
  <si>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</si>
  <si>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</si>
  <si>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</si>
  <si>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</si>
  <si>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</si>
  <si>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</si>
  <si>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</si>
  <si>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</si>
  <si>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</si>
  <si>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</si>
  <si>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</si>
  <si>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</si>
  <si>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</si>
  <si>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</si>
  <si>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</si>
  <si>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</si>
  <si>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</si>
  <si>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</si>
  <si>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</si>
  <si>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</si>
  <si>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</si>
  <si>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</si>
  <si>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</si>
  <si>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</si>
  <si>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</si>
  <si>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</si>
  <si>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</si>
  <si>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</si>
  <si>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</si>
  <si>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</si>
  <si>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</si>
  <si>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</si>
  <si>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</si>
  <si>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</si>
  <si>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</si>
  <si>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</si>
  <si>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</si>
  <si>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</si>
  <si>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</si>
  <si>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</si>
  <si>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</si>
  <si>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</si>
  <si>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</si>
  <si>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</si>
  <si>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</si>
  <si>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</si>
  <si>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</si>
  <si>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</si>
  <si>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</si>
  <si>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</si>
  <si>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</si>
  <si>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</si>
  <si>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</si>
  <si>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</si>
  <si>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</si>
  <si>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</si>
  <si>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</si>
  <si>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</si>
  <si>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</si>
  <si>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</si>
  <si>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</si>
  <si>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</si>
  <si>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</si>
  <si>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</si>
  <si>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</si>
  <si>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</si>
  <si>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</si>
  <si>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</si>
  <si>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</si>
  <si>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</si>
  <si>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</si>
  <si>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</si>
  <si>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</si>
  <si>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</si>
  <si>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</si>
  <si>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</si>
  <si>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</si>
  <si>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</si>
  <si>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</si>
  <si>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</si>
  <si>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</si>
  <si>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</si>
  <si>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</si>
  <si>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</si>
  <si>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</si>
  <si>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</si>
  <si>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</si>
  <si>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</si>
  <si>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</si>
  <si>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</si>
  <si>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</si>
  <si>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</si>
  <si>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</si>
  <si>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</si>
  <si>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</si>
  <si>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</si>
  <si>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</si>
  <si>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</si>
  <si>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</si>
  <si>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</si>
  <si>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</si>
  <si>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</si>
  <si>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</si>
  <si>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</si>
  <si>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</si>
  <si>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</si>
  <si>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</si>
  <si>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</si>
  <si>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</si>
  <si>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</si>
  <si>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</si>
  <si>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</si>
  <si>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</si>
  <si>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</si>
  <si>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</si>
  <si>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</si>
  <si>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</si>
  <si>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</si>
  <si>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</si>
  <si>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</si>
  <si>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</si>
  <si>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</si>
  <si>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</si>
  <si>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</si>
  <si>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</si>
  <si>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</si>
  <si>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</si>
  <si>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</si>
  <si>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</si>
  <si>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</si>
  <si>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</si>
  <si>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</si>
  <si>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</si>
  <si>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</si>
  <si>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</si>
  <si>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</si>
  <si>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</si>
  <si>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</si>
  <si>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</si>
  <si>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</si>
  <si>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</si>
  <si>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</si>
  <si>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</si>
  <si>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</si>
  <si>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</si>
  <si>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</si>
  <si>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</si>
  <si>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</si>
  <si>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</si>
  <si>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</si>
  <si>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</si>
  <si>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</si>
  <si>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</si>
  <si>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</si>
  <si>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</si>
  <si>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</si>
  <si>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</si>
  <si>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</si>
  <si>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</si>
  <si>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</si>
  <si>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</si>
  <si>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</si>
  <si>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</si>
  <si>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</si>
  <si>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</si>
  <si>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</si>
  <si>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</si>
  <si>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</si>
  <si>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</si>
  <si>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</si>
  <si>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</si>
  <si>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</si>
  <si>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</si>
  <si>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</si>
  <si>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</si>
  <si>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</si>
  <si>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</si>
  <si>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</si>
  <si>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</si>
  <si>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</si>
  <si>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</si>
  <si>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</si>
  <si>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</si>
  <si>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</si>
  <si>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</si>
  <si>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</si>
  <si>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</si>
  <si>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</si>
  <si>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</si>
  <si>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</si>
  <si>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</si>
  <si>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</si>
  <si>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</si>
  <si>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</si>
  <si>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</si>
  <si>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</si>
  <si>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</si>
  <si>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</si>
  <si>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</si>
  <si>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</si>
  <si>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</si>
  <si>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</si>
  <si>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</si>
  <si>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</si>
  <si>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</si>
  <si>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</si>
  <si>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</si>
  <si>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</si>
  <si>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</si>
  <si>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</si>
  <si>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</si>
  <si>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</si>
  <si>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</si>
  <si>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</si>
  <si>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</si>
  <si>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</si>
  <si>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</si>
  <si>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</si>
  <si>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</si>
  <si>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</si>
  <si>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</si>
  <si>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</si>
  <si>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</si>
  <si>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</si>
  <si>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</si>
  <si>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</si>
  <si>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</si>
  <si>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</si>
  <si>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</si>
  <si>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</si>
  <si>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</si>
  <si>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</si>
  <si>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</si>
  <si>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</si>
  <si>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</si>
  <si>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</si>
  <si>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</si>
  <si>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</si>
  <si>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</si>
  <si>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</si>
  <si>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</si>
  <si>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</si>
  <si>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</si>
  <si>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</si>
  <si>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</si>
  <si>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</si>
  <si>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</si>
  <si>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</si>
  <si>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</si>
  <si>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</si>
  <si>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</si>
  <si>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</si>
  <si>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</si>
  <si>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</si>
  <si>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</si>
  <si>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</si>
  <si>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</si>
  <si>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</si>
  <si>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</si>
  <si>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</si>
  <si>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</si>
  <si>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</si>
  <si>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</si>
  <si>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</si>
  <si>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</si>
  <si>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</si>
  <si>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</si>
  <si>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</si>
  <si>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</si>
  <si>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</si>
  <si>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</si>
  <si>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</si>
  <si>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</si>
  <si>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</si>
  <si>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</si>
  <si>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</si>
  <si>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</si>
  <si>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</si>
  <si>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</si>
  <si>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</si>
  <si>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</si>
  <si>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</si>
  <si>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</si>
  <si>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</si>
  <si>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</si>
  <si>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</si>
  <si>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</si>
  <si>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</si>
  <si>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</si>
  <si>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</si>
  <si>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</si>
  <si>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</si>
  <si>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</si>
  <si>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</si>
  <si>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</si>
  <si>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</si>
  <si>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</si>
  <si>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</si>
  <si>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</si>
  <si>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</si>
  <si>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</si>
  <si>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</si>
  <si>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</si>
  <si>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</si>
  <si>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</si>
  <si>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</si>
  <si>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</si>
  <si>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</si>
  <si>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</si>
  <si>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</si>
  <si>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</si>
  <si>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</si>
  <si>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</si>
  <si>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</si>
  <si>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</si>
  <si>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</si>
  <si>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</si>
  <si>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</si>
  <si>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</si>
  <si>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</si>
  <si>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</si>
  <si>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</si>
  <si>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</si>
  <si>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</si>
  <si>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</si>
  <si>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</si>
  <si>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</si>
  <si>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</si>
  <si>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</si>
  <si>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</si>
  <si>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</si>
  <si>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</si>
  <si>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</si>
  <si>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</si>
  <si>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</si>
  <si>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</si>
  <si>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</si>
  <si>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</si>
  <si>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</si>
  <si>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</si>
  <si>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</si>
  <si>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</si>
  <si>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</si>
  <si>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</si>
  <si>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</si>
  <si>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</si>
  <si>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</si>
  <si>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</si>
  <si>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</si>
  <si>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</si>
  <si>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</si>
  <si>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</si>
  <si>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</si>
  <si>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</si>
  <si>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</si>
  <si>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</si>
  <si>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</si>
  <si>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</si>
  <si>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</si>
  <si>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</si>
  <si>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</si>
  <si>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</si>
  <si>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</si>
  <si>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</si>
  <si>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</si>
  <si>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</si>
  <si>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</si>
  <si>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</si>
  <si>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</si>
  <si>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</si>
  <si>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</si>
  <si>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</si>
  <si>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</si>
  <si>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</si>
  <si>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</si>
  <si>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</si>
  <si>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</si>
  <si>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</si>
  <si>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</si>
  <si>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</si>
  <si>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</si>
  <si>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</si>
  <si>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</si>
  <si>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</si>
  <si>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</si>
  <si>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</si>
  <si>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</si>
  <si>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</si>
  <si>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</si>
  <si>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</si>
  <si>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</si>
  <si>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</si>
  <si>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</si>
  <si>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</si>
  <si>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</si>
  <si>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</si>
  <si>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</si>
  <si>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</si>
  <si>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</si>
  <si>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</si>
  <si>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</si>
  <si>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</si>
  <si>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</si>
  <si>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</si>
  <si>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</si>
  <si>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</si>
  <si>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</si>
  <si>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</si>
  <si>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</si>
  <si>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</si>
  <si>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</si>
  <si>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</si>
  <si>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</si>
  <si>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</si>
  <si>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</si>
  <si>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</si>
  <si>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</si>
  <si>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</si>
  <si>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</si>
  <si>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</si>
  <si>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</si>
  <si>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</si>
  <si>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</si>
  <si>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</si>
  <si>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</si>
  <si>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</si>
  <si>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</si>
  <si>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</si>
  <si>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</si>
  <si>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</si>
  <si>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</si>
  <si>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</si>
  <si>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</si>
  <si>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</si>
  <si>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</si>
  <si>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</si>
  <si>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</si>
  <si>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</si>
  <si>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</si>
  <si>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</si>
  <si>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</si>
  <si>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</si>
  <si>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</si>
  <si>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</si>
  <si>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</si>
  <si>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</si>
  <si>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</si>
  <si>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</si>
  <si>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</si>
  <si>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</si>
  <si>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</si>
  <si>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</si>
  <si>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</si>
  <si>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</si>
  <si>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</si>
  <si>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</si>
  <si>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</si>
  <si>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</si>
  <si>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</si>
  <si>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</si>
  <si>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</si>
  <si>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</si>
  <si>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</si>
  <si>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</si>
  <si>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</si>
  <si>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</si>
  <si>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</si>
  <si>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</si>
  <si>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</si>
  <si>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</si>
  <si>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</si>
  <si>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</si>
  <si>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</si>
  <si>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</si>
  <si>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</si>
  <si>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</si>
  <si>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</si>
  <si>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</si>
  <si>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</si>
  <si>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</si>
  <si>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</si>
  <si>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</si>
  <si>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</si>
  <si>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</si>
  <si>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</si>
  <si>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</si>
  <si>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</si>
  <si>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</si>
  <si>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</si>
  <si>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</si>
  <si>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</si>
  <si>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</si>
  <si>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</si>
  <si>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</si>
  <si>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</si>
  <si>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</si>
  <si>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</si>
  <si>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</si>
  <si>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</si>
  <si>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</si>
  <si>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</si>
  <si>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</si>
  <si>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</si>
  <si>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</si>
  <si>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</si>
  <si>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</si>
  <si>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</si>
  <si>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</si>
  <si>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</si>
  <si>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</si>
  <si>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</si>
  <si>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</si>
  <si>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</si>
  <si>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</si>
  <si>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</si>
  <si>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</si>
  <si>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</si>
  <si>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</si>
  <si>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</si>
  <si>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</si>
  <si>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</si>
  <si>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</si>
  <si>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</si>
  <si>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</si>
  <si>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</si>
  <si>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</si>
  <si>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</si>
  <si>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</si>
  <si>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</si>
  <si>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</si>
  <si>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</si>
  <si>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</si>
  <si>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</si>
  <si>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</si>
  <si>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</si>
  <si>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</si>
  <si>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</si>
  <si>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</si>
  <si>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</si>
  <si>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</si>
  <si>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</si>
  <si>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</si>
  <si>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</si>
  <si>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</si>
  <si>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</si>
  <si>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</si>
  <si>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</si>
  <si>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</si>
  <si>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</si>
  <si>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</si>
  <si>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</si>
  <si>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</si>
  <si>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</si>
  <si>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</si>
  <si>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</si>
  <si>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</si>
  <si>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</si>
  <si>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</si>
  <si>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</si>
  <si>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</si>
  <si>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</si>
  <si>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</si>
  <si>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</si>
  <si>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</si>
  <si>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</si>
  <si>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</si>
  <si>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</si>
  <si>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</si>
  <si>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</si>
  <si>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</si>
  <si>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</si>
  <si>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</si>
  <si>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</si>
  <si>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</si>
  <si>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</si>
  <si>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</si>
  <si>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</si>
  <si>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</si>
  <si>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</si>
  <si>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</si>
  <si>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</si>
  <si>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</si>
  <si>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</si>
  <si>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</si>
  <si>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</si>
  <si>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</si>
  <si>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</si>
  <si>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</si>
  <si>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</si>
  <si>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</si>
  <si>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</si>
  <si>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</si>
  <si>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</si>
  <si>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</si>
  <si>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</si>
  <si>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</si>
  <si>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</si>
  <si>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</si>
  <si>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</si>
  <si>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</si>
  <si>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</si>
  <si>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</si>
  <si>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</si>
  <si>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</si>
  <si>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</si>
  <si>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</si>
  <si>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</si>
  <si>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</si>
  <si>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</si>
  <si>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</si>
  <si>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</si>
  <si>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</si>
  <si>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</si>
  <si>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</si>
  <si>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</si>
  <si>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</si>
  <si>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</si>
  <si>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</si>
  <si>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</si>
  <si>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</si>
  <si>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</si>
  <si>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</si>
  <si>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</si>
  <si>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</si>
  <si>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</si>
  <si>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</si>
  <si>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</si>
  <si>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</si>
  <si>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</si>
  <si>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</si>
  <si>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</si>
  <si>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</si>
  <si>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</si>
  <si>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</si>
  <si>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</si>
  <si>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</si>
  <si>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</si>
  <si>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</si>
  <si>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</si>
  <si>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</si>
  <si>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</si>
  <si>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</si>
  <si>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</si>
  <si>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</si>
  <si>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</si>
  <si>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</si>
  <si>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</si>
  <si>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</si>
  <si>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</si>
  <si>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</si>
  <si>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</si>
  <si>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</si>
  <si>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</si>
  <si>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</si>
  <si>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</si>
  <si>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</si>
  <si>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</si>
  <si>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</si>
  <si>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</si>
  <si>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</si>
  <si>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</si>
  <si>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</si>
  <si>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</si>
  <si>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</si>
  <si>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</si>
  <si>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</si>
  <si>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</si>
  <si>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</si>
  <si>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</si>
  <si>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</si>
  <si>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</si>
  <si>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</si>
  <si>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</si>
  <si>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</si>
  <si>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</si>
  <si>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</si>
  <si>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</si>
  <si>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</si>
  <si>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</si>
  <si>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</si>
  <si>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</si>
  <si>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</si>
  <si>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</si>
  <si>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</si>
  <si>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</si>
  <si>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</si>
  <si>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</si>
  <si>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</si>
  <si>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</si>
  <si>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</si>
  <si>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</si>
  <si>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</si>
  <si>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</si>
  <si>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</si>
  <si>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</si>
  <si>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</si>
  <si>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</si>
  <si>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</si>
  <si>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</si>
  <si>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</si>
  <si>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</si>
  <si>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</si>
  <si>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</si>
  <si>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</si>
  <si>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</si>
  <si>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</si>
  <si>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</si>
  <si>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</si>
  <si>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</si>
  <si>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</si>
  <si>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</si>
  <si>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</si>
  <si>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</si>
  <si>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</si>
  <si>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</si>
  <si>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</si>
  <si>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</si>
  <si>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</si>
  <si>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</si>
  <si>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</si>
  <si>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</si>
  <si>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</si>
  <si>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</si>
  <si>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</si>
  <si>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</si>
  <si>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</si>
  <si>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</si>
  <si>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</si>
  <si>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</si>
  <si>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</si>
  <si>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</si>
  <si>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</si>
  <si>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</si>
  <si>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</si>
  <si>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</si>
  <si>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</si>
  <si>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</si>
  <si>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</si>
  <si>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</si>
  <si>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</si>
  <si>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</si>
  <si>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</si>
  <si>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</si>
  <si>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</si>
  <si>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</si>
  <si>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</si>
  <si>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</si>
  <si>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</si>
  <si>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</si>
  <si>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</si>
  <si>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</si>
  <si>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</si>
  <si>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</si>
  <si>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</si>
  <si>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</si>
  <si>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</si>
  <si>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</si>
  <si>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</si>
  <si>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</si>
  <si>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</si>
  <si>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</si>
  <si>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</si>
  <si>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</si>
  <si>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</si>
  <si>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</si>
  <si>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</si>
  <si>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</si>
  <si>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</si>
  <si>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</si>
  <si>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</si>
  <si>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</si>
  <si>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</si>
  <si>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</si>
  <si>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</si>
  <si>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</si>
  <si>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</si>
  <si>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</si>
  <si>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</si>
  <si>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</si>
  <si>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</si>
  <si>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</si>
  <si>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</si>
  <si>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</si>
  <si>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</si>
  <si>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</si>
  <si>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</si>
  <si>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</si>
  <si>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</si>
  <si>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</si>
  <si>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</si>
  <si>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</si>
  <si>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</si>
  <si>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</si>
  <si>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</si>
  <si>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</si>
  <si>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</si>
  <si>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</si>
  <si>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</si>
  <si>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</si>
  <si>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</si>
  <si>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</si>
  <si>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</si>
  <si>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</si>
  <si>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</si>
  <si>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</si>
  <si>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</si>
  <si>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</si>
  <si>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</si>
  <si>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</si>
  <si>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</si>
  <si>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</si>
  <si>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</si>
  <si>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</si>
  <si>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</si>
  <si>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</si>
  <si>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</si>
  <si>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</si>
  <si>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</si>
  <si>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郑燚</t>
  </si>
  <si>
    <t>王萌</t>
  </si>
  <si>
    <t>武汉伟鹏房地产开发建筑有限公司</t>
    <phoneticPr fontId="3" type="noConversion"/>
  </si>
  <si>
    <t>中诚信托有限责任公司</t>
    <phoneticPr fontId="3" type="noConversion"/>
  </si>
  <si>
    <t>抵押</t>
  </si>
  <si>
    <t>房地产抵押价值</t>
  </si>
  <si>
    <t>其他：</t>
  </si>
  <si>
    <t>企业</t>
  </si>
  <si>
    <t>出让</t>
  </si>
  <si>
    <t>住宅</t>
  </si>
  <si>
    <t>是</t>
  </si>
  <si>
    <t>否</t>
  </si>
  <si>
    <t>《国有土地使用证》</t>
  </si>
  <si>
    <t>无</t>
  </si>
  <si>
    <t>在建</t>
  </si>
  <si>
    <t>正常</t>
    <phoneticPr fontId="6" type="noConversion"/>
  </si>
  <si>
    <t>地上</t>
  </si>
  <si>
    <t>普通住宅</t>
  </si>
  <si>
    <t>底商</t>
  </si>
  <si>
    <t>办公楼</t>
  </si>
  <si>
    <t>序号</t>
  </si>
  <si>
    <t>栋号</t>
  </si>
  <si>
    <t>所在层数</t>
  </si>
  <si>
    <t>房号</t>
  </si>
  <si>
    <t>房屋类型</t>
  </si>
  <si>
    <t>房屋用途</t>
  </si>
  <si>
    <t>分摊土地面积</t>
  </si>
  <si>
    <t>1</t>
  </si>
  <si>
    <t>2</t>
  </si>
  <si>
    <t>商品房</t>
  </si>
  <si>
    <t>商业服务</t>
  </si>
  <si>
    <t>鄂（2018）武汉市江夏不动产权第0016997号</t>
  </si>
  <si>
    <t>1-2</t>
  </si>
  <si>
    <t>鄂（2018）武汉市江夏不动产权第0016996号</t>
  </si>
  <si>
    <t>3</t>
  </si>
  <si>
    <t>鄂（2018）武汉市江夏不动产权第0016998号</t>
  </si>
  <si>
    <t>4</t>
  </si>
  <si>
    <t>鄂（2018）武汉市江夏不动产权第0016388号</t>
  </si>
  <si>
    <t>鄂（2018）武汉市江夏不动产权第0016387号</t>
  </si>
  <si>
    <t>9</t>
  </si>
  <si>
    <t>鄂（2018）武汉市江夏不动产权第0016367号</t>
  </si>
  <si>
    <t>11</t>
  </si>
  <si>
    <t>鄂（2018）武汉市江夏不动产权第0016386号</t>
  </si>
  <si>
    <t>22</t>
  </si>
  <si>
    <t>鄂（2018）武汉市江夏不动产权第0016385号</t>
  </si>
  <si>
    <t>23</t>
  </si>
  <si>
    <t>鄂（2018）武汉市江夏不动产权第0016384号</t>
  </si>
  <si>
    <t>25</t>
  </si>
  <si>
    <t>鄂（2018）武汉市江夏不动产权第0016382号</t>
  </si>
  <si>
    <t>6</t>
  </si>
  <si>
    <t>鄂（2018）武汉市江夏不动产权第0016381号</t>
  </si>
  <si>
    <t>7</t>
  </si>
  <si>
    <t>鄂（2018）武汉市江夏不动产权第0016366号</t>
  </si>
  <si>
    <t>鄂（2018）武汉市江夏不动产权第0016380号</t>
  </si>
  <si>
    <t>鄂（2018）武汉市江夏不动产权第0016365号</t>
  </si>
  <si>
    <t>5</t>
  </si>
  <si>
    <t>鄂（2018）武汉市江夏不动产权第0016379号</t>
  </si>
  <si>
    <t>8</t>
  </si>
  <si>
    <t>鄂（2018）武汉市江夏不动产权第0016378号</t>
  </si>
  <si>
    <t>10</t>
  </si>
  <si>
    <t>鄂（2018）武汉市江夏不动产权第0016364号</t>
  </si>
  <si>
    <t>鄂（2018）武汉市江夏不动产权第0016377号</t>
  </si>
  <si>
    <t>12</t>
  </si>
  <si>
    <t>鄂（2018）武汉市江夏不动产权第0016376号</t>
  </si>
  <si>
    <t>17</t>
  </si>
  <si>
    <t>鄂（2018）武汉市江夏不动产权第0016375号</t>
  </si>
  <si>
    <t>18</t>
  </si>
  <si>
    <t>鄂（2018）武汉市江夏不动产权第0016363号</t>
  </si>
  <si>
    <t>19</t>
  </si>
  <si>
    <t>鄂（2018）武汉市江夏不动产权第0016374号</t>
  </si>
  <si>
    <t>20</t>
  </si>
  <si>
    <t>鄂（2018）武汉市江夏不动产权第0016373号</t>
  </si>
  <si>
    <t>21</t>
  </si>
  <si>
    <t>鄂（2018）武汉市江夏不动产权第0016372号</t>
  </si>
  <si>
    <t>24</t>
  </si>
  <si>
    <t>鄂（2018）武汉市江夏不动产权第0016371号</t>
  </si>
  <si>
    <t>26</t>
  </si>
  <si>
    <t>鄂（2018）武汉市江夏不动产权第0016362号</t>
  </si>
  <si>
    <t>27</t>
  </si>
  <si>
    <t>鄂（2018）武汉市江夏不动产权第0016370号</t>
  </si>
  <si>
    <t>13</t>
  </si>
  <si>
    <t>鄂（2018）武汉市江夏不动产权第0016369号</t>
  </si>
  <si>
    <t>14</t>
  </si>
  <si>
    <t>鄂（2018）武汉市江夏不动产权第0016361号</t>
  </si>
  <si>
    <t>15</t>
  </si>
  <si>
    <t>鄂（2018）武汉市江夏不动产权第0016368号</t>
  </si>
  <si>
    <t>16</t>
  </si>
  <si>
    <t>1</t>
    <phoneticPr fontId="143" type="noConversion"/>
  </si>
  <si>
    <t>2</t>
    <phoneticPr fontId="143" type="noConversion"/>
  </si>
  <si>
    <t>28</t>
  </si>
  <si>
    <t>29</t>
  </si>
  <si>
    <t>30</t>
  </si>
  <si>
    <t>31</t>
  </si>
  <si>
    <t>湖北省武汉市江夏区江夏经济开发区街文化大道36号鹏湖湾二期2-4栋/单元1-2层1号等31套商业用房</t>
    <phoneticPr fontId="6" type="noConversion"/>
  </si>
  <si>
    <t>商业28.87年</t>
    <phoneticPr fontId="6" type="noConversion"/>
  </si>
  <si>
    <t>鄂（2018）武汉市江夏不动产权第0016999号</t>
    <phoneticPr fontId="143" type="noConversion"/>
  </si>
  <si>
    <t>《不动产权证书》[鄂（2018）武汉市江夏不动产权第0016999号等31件]</t>
    <phoneticPr fontId="6" type="noConversion"/>
  </si>
  <si>
    <t>商业</t>
    <phoneticPr fontId="6" type="noConversion"/>
  </si>
  <si>
    <t>商业项目</t>
  </si>
  <si>
    <r>
      <t>2-4</t>
    </r>
    <r>
      <rPr>
        <sz val="10"/>
        <color indexed="8"/>
        <rFont val="宋体"/>
        <family val="3"/>
        <charset val="134"/>
      </rPr>
      <t>栋</t>
    </r>
    <r>
      <rPr>
        <sz val="10"/>
        <color indexed="8"/>
        <rFont val="Arial"/>
        <family val="2"/>
      </rPr>
      <t>/</t>
    </r>
    <r>
      <rPr>
        <sz val="10"/>
        <color indexed="8"/>
        <rFont val="宋体"/>
        <family val="3"/>
        <charset val="134"/>
      </rPr>
      <t>单元</t>
    </r>
    <r>
      <rPr>
        <sz val="10"/>
        <color indexed="8"/>
        <rFont val="Arial"/>
        <family val="2"/>
      </rPr>
      <t>1-2</t>
    </r>
    <r>
      <rPr>
        <sz val="10"/>
        <color indexed="8"/>
        <rFont val="宋体"/>
        <family val="3"/>
        <charset val="134"/>
      </rPr>
      <t>层</t>
    </r>
    <r>
      <rPr>
        <sz val="10"/>
        <color indexed="8"/>
        <rFont val="Arial"/>
        <family val="2"/>
      </rPr>
      <t>1</t>
    </r>
    <r>
      <rPr>
        <sz val="10"/>
        <color indexed="8"/>
        <rFont val="宋体"/>
        <family val="3"/>
        <charset val="134"/>
      </rPr>
      <t>号</t>
    </r>
    <phoneticPr fontId="7" type="noConversion"/>
  </si>
  <si>
    <t>剩余</t>
    <phoneticPr fontId="7" type="noConversion"/>
  </si>
  <si>
    <t>成新度</t>
  </si>
  <si>
    <t>收益法 (元)</t>
  </si>
  <si>
    <t>2-4栋/单元1-2层1号</t>
  </si>
  <si>
    <t>押一</t>
  </si>
  <si>
    <t>钢混</t>
  </si>
  <si>
    <t>非生产用房</t>
  </si>
  <si>
    <t>售价</t>
  </si>
  <si>
    <t>商业</t>
    <phoneticPr fontId="31" type="noConversion"/>
  </si>
  <si>
    <t>正常</t>
  </si>
  <si>
    <t>20-30（含）</t>
  </si>
  <si>
    <t>30-40（含）</t>
  </si>
  <si>
    <t>一般</t>
  </si>
  <si>
    <t>较好</t>
  </si>
  <si>
    <t>好</t>
  </si>
  <si>
    <t>六通</t>
  </si>
  <si>
    <t>可视性</t>
    <phoneticPr fontId="31" type="noConversion"/>
  </si>
  <si>
    <t>多面临街</t>
    <phoneticPr fontId="31" type="noConversion"/>
  </si>
  <si>
    <t>双面临街</t>
    <phoneticPr fontId="31" type="noConversion"/>
  </si>
  <si>
    <t>不临街</t>
  </si>
  <si>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</si>
  <si>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</si>
  <si>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</si>
  <si>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</si>
  <si>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</si>
  <si>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</si>
  <si>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</si>
  <si>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</si>
  <si>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t>2</t>
    </r>
    <r>
      <rPr>
        <sz val="11"/>
        <color indexed="8"/>
        <rFont val="宋体"/>
        <family val="3"/>
        <charset val="134"/>
      </rPr>
      <t>层</t>
    </r>
    <phoneticPr fontId="31" type="noConversion"/>
  </si>
  <si>
    <t>综合体商业</t>
    <phoneticPr fontId="31" type="noConversion"/>
  </si>
  <si>
    <t>商业街商业</t>
    <phoneticPr fontId="31" type="noConversion"/>
  </si>
  <si>
    <t>住宅底商</t>
  </si>
  <si>
    <t>住宅底商</t>
    <phoneticPr fontId="31" type="noConversion"/>
  </si>
  <si>
    <t>钢混</t>
    <phoneticPr fontId="31" type="noConversion"/>
  </si>
  <si>
    <t>混合</t>
    <phoneticPr fontId="31" type="noConversion"/>
  </si>
  <si>
    <t>精装修</t>
    <phoneticPr fontId="31" type="noConversion"/>
  </si>
  <si>
    <t>普通装修</t>
  </si>
  <si>
    <t>普通装修</t>
    <phoneticPr fontId="31" type="noConversion"/>
  </si>
  <si>
    <t>毛坯</t>
  </si>
  <si>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</si>
  <si>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</si>
  <si>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</si>
  <si>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</si>
  <si>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</si>
  <si>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</si>
  <si>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</si>
  <si>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</si>
  <si>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</si>
  <si>
    <t>不可餐饮</t>
    <phoneticPr fontId="31" type="noConversion"/>
  </si>
  <si>
    <t>挑高层高</t>
  </si>
  <si>
    <t>挑高层高</t>
    <phoneticPr fontId="31" type="noConversion"/>
  </si>
  <si>
    <t>标准层高</t>
  </si>
  <si>
    <t>标准层高</t>
    <phoneticPr fontId="31" type="noConversion"/>
  </si>
  <si>
    <t>普通装修</t>
    <phoneticPr fontId="31" type="noConversion"/>
  </si>
  <si>
    <t>单面临街</t>
  </si>
  <si>
    <t>单面临街</t>
    <phoneticPr fontId="31" type="noConversion"/>
  </si>
  <si>
    <t>1-2层</t>
  </si>
  <si>
    <t>1层</t>
  </si>
  <si>
    <t>较好</t>
    <phoneticPr fontId="31" type="noConversion"/>
  </si>
  <si>
    <t>现房</t>
  </si>
  <si>
    <t>项目全部</t>
  </si>
  <si>
    <t>比较法-商业</t>
  </si>
  <si>
    <r>
      <t>1</t>
    </r>
    <r>
      <rPr>
        <sz val="10"/>
        <color indexed="8"/>
        <rFont val="宋体"/>
        <family val="3"/>
        <charset val="134"/>
      </rPr>
      <t>层</t>
    </r>
    <phoneticPr fontId="25" type="noConversion"/>
  </si>
  <si>
    <r>
      <t>1-2</t>
    </r>
    <r>
      <rPr>
        <sz val="10"/>
        <color indexed="8"/>
        <rFont val="宋体"/>
        <family val="3"/>
        <charset val="134"/>
      </rPr>
      <t>层</t>
    </r>
    <phoneticPr fontId="25" type="noConversion"/>
  </si>
  <si>
    <r>
      <t>2</t>
    </r>
    <r>
      <rPr>
        <sz val="10"/>
        <color indexed="8"/>
        <rFont val="宋体"/>
        <family val="3"/>
        <charset val="134"/>
      </rPr>
      <t>层</t>
    </r>
    <phoneticPr fontId="25" type="noConversion"/>
  </si>
  <si>
    <t>临街状况</t>
    <phoneticPr fontId="3" type="noConversion"/>
  </si>
  <si>
    <t>多面临街</t>
    <phoneticPr fontId="25" type="noConversion"/>
  </si>
  <si>
    <t>双面临街</t>
    <phoneticPr fontId="25" type="noConversion"/>
  </si>
  <si>
    <t>单面临街</t>
    <phoneticPr fontId="25" type="noConversion"/>
  </si>
  <si>
    <t>不临街</t>
    <phoneticPr fontId="25" type="noConversion"/>
  </si>
  <si>
    <t>2-4栋1-2层1号</t>
    <phoneticPr fontId="143" type="noConversion"/>
  </si>
  <si>
    <t>2-4栋1层2号</t>
    <phoneticPr fontId="143" type="noConversion"/>
  </si>
  <si>
    <t>2-4栋1-2层3号</t>
    <phoneticPr fontId="143" type="noConversion"/>
  </si>
  <si>
    <t>2-4栋1-2层4号</t>
    <phoneticPr fontId="143" type="noConversion"/>
  </si>
  <si>
    <t>2-3栋1层3号</t>
    <phoneticPr fontId="143" type="noConversion"/>
  </si>
  <si>
    <t>2-3栋1层9号</t>
    <phoneticPr fontId="143" type="noConversion"/>
  </si>
  <si>
    <t>2-3栋1层11号</t>
    <phoneticPr fontId="143" type="noConversion"/>
  </si>
  <si>
    <t>2-3栋1层22号</t>
    <phoneticPr fontId="143" type="noConversion"/>
  </si>
  <si>
    <t>2-3栋1层23号</t>
    <phoneticPr fontId="143" type="noConversion"/>
  </si>
  <si>
    <t>2-3栋1层25号</t>
    <phoneticPr fontId="143" type="noConversion"/>
  </si>
  <si>
    <t>2-3栋1层6号</t>
    <phoneticPr fontId="143" type="noConversion"/>
  </si>
  <si>
    <t>2-3栋1层7号</t>
    <phoneticPr fontId="143" type="noConversion"/>
  </si>
  <si>
    <t>2-3栋1-2层1号</t>
    <phoneticPr fontId="143" type="noConversion"/>
  </si>
  <si>
    <t>2-3栋1-2层4号</t>
    <phoneticPr fontId="143" type="noConversion"/>
  </si>
  <si>
    <t>2-3栋1-2层5号</t>
    <phoneticPr fontId="143" type="noConversion"/>
  </si>
  <si>
    <t>2-3栋1-2层8号</t>
    <phoneticPr fontId="143" type="noConversion"/>
  </si>
  <si>
    <t>2-3栋1-2层10号</t>
    <phoneticPr fontId="143" type="noConversion"/>
  </si>
  <si>
    <t>2-3栋1层2号</t>
    <phoneticPr fontId="143" type="noConversion"/>
  </si>
  <si>
    <t>2-3栋1-2层12号</t>
    <phoneticPr fontId="143" type="noConversion"/>
  </si>
  <si>
    <t>2-3栋1-2层17号</t>
    <phoneticPr fontId="143" type="noConversion"/>
  </si>
  <si>
    <t>2-3栋1-2层18号</t>
    <phoneticPr fontId="143" type="noConversion"/>
  </si>
  <si>
    <t>2-3栋1-2层19号</t>
    <phoneticPr fontId="143" type="noConversion"/>
  </si>
  <si>
    <t>2-3栋1-2层20号</t>
    <phoneticPr fontId="143" type="noConversion"/>
  </si>
  <si>
    <t>2-3栋1-2层21号</t>
    <phoneticPr fontId="143" type="noConversion"/>
  </si>
  <si>
    <t>2-3栋1-2层24号</t>
    <phoneticPr fontId="143" type="noConversion"/>
  </si>
  <si>
    <t>2-3栋1-2层26号</t>
    <phoneticPr fontId="143" type="noConversion"/>
  </si>
  <si>
    <t>2-3栋1-2层27号</t>
    <phoneticPr fontId="143" type="noConversion"/>
  </si>
  <si>
    <t>2-3栋1-2层13号</t>
    <phoneticPr fontId="143" type="noConversion"/>
  </si>
  <si>
    <t>2-3栋1-2层14号</t>
    <phoneticPr fontId="143" type="noConversion"/>
  </si>
  <si>
    <t>2-3栋1-2层15号</t>
    <phoneticPr fontId="143" type="noConversion"/>
  </si>
  <si>
    <t>2-3栋1-2层16号</t>
    <phoneticPr fontId="143" type="noConversion"/>
  </si>
  <si>
    <t>0-100</t>
    <phoneticPr fontId="31" type="noConversion"/>
  </si>
  <si>
    <t>100-300</t>
    <phoneticPr fontId="31" type="noConversion"/>
  </si>
  <si>
    <t>300-500</t>
    <phoneticPr fontId="31" type="noConversion"/>
  </si>
  <si>
    <t>500-1000</t>
    <phoneticPr fontId="31" type="noConversion"/>
  </si>
  <si>
    <r>
      <t>1000</t>
    </r>
    <r>
      <rPr>
        <sz val="11"/>
        <color theme="1"/>
        <rFont val="宋体"/>
        <family val="3"/>
        <charset val="134"/>
      </rPr>
      <t>以上</t>
    </r>
    <phoneticPr fontId="31" type="noConversion"/>
  </si>
  <si>
    <t>层高</t>
    <phoneticPr fontId="3" type="noConversion"/>
  </si>
  <si>
    <t>挑高层高</t>
    <phoneticPr fontId="25" type="noConversion"/>
  </si>
  <si>
    <t>标准层高</t>
    <phoneticPr fontId="25" type="noConversion"/>
  </si>
  <si>
    <t>按租金收入计税</t>
  </si>
  <si>
    <t>不动产权证明编号</t>
    <phoneticPr fontId="143" type="noConversion"/>
  </si>
  <si>
    <t>合计</t>
    <phoneticPr fontId="143" type="noConversion"/>
  </si>
  <si>
    <t>建筑面积</t>
    <phoneticPr fontId="143" type="noConversion"/>
  </si>
  <si>
    <t>江夏区谭鑫培路17号</t>
    <phoneticPr fontId="3" type="noConversion"/>
  </si>
  <si>
    <t>江夏区大桥新区办事处文化大道</t>
    <phoneticPr fontId="3" type="noConversion"/>
  </si>
  <si>
    <t>万豪.世纪天街</t>
    <phoneticPr fontId="3" type="noConversion"/>
  </si>
  <si>
    <t>比较因素</t>
  </si>
  <si>
    <t>估价对象</t>
  </si>
  <si>
    <r>
      <t>案例：</t>
    </r>
    <r>
      <rPr>
        <sz val="9"/>
        <color rgb="FF000000"/>
        <rFont val="Arial"/>
        <family val="2"/>
      </rPr>
      <t>A</t>
    </r>
  </si>
  <si>
    <r>
      <t>案例：</t>
    </r>
    <r>
      <rPr>
        <sz val="9"/>
        <color rgb="FF000000"/>
        <rFont val="Arial"/>
        <family val="2"/>
      </rPr>
      <t>B</t>
    </r>
  </si>
  <si>
    <r>
      <t>案例：</t>
    </r>
    <r>
      <rPr>
        <sz val="9"/>
        <color rgb="FF000000"/>
        <rFont val="Arial"/>
        <family val="2"/>
      </rPr>
      <t>C</t>
    </r>
  </si>
  <si>
    <t>“江南新天地”（鹏湖湾）</t>
  </si>
  <si>
    <r>
      <t>湖北省武汉市洪山区”江南新天地”（鹏湖湾）项目</t>
    </r>
    <r>
      <rPr>
        <sz val="9"/>
        <color rgb="FF000000"/>
        <rFont val="Arial"/>
        <family val="2"/>
      </rPr>
      <t>1#</t>
    </r>
    <r>
      <rPr>
        <sz val="9"/>
        <color rgb="FF000000"/>
        <rFont val="华文细黑"/>
        <family val="3"/>
        <charset val="134"/>
      </rPr>
      <t>商</t>
    </r>
    <r>
      <rPr>
        <sz val="9"/>
        <color rgb="FF000000"/>
        <rFont val="Arial"/>
        <family val="2"/>
      </rPr>
      <t>1</t>
    </r>
    <r>
      <rPr>
        <sz val="9"/>
        <color rgb="FF000000"/>
        <rFont val="华文细黑"/>
        <family val="3"/>
        <charset val="134"/>
      </rPr>
      <t>号等</t>
    </r>
    <r>
      <rPr>
        <sz val="9"/>
        <color rgb="FF000000"/>
        <rFont val="Arial"/>
        <family val="2"/>
      </rPr>
      <t>31</t>
    </r>
    <r>
      <rPr>
        <sz val="9"/>
        <color rgb="FF000000"/>
        <rFont val="华文细黑"/>
        <family val="3"/>
        <charset val="134"/>
      </rPr>
      <t>套商业用房房地产</t>
    </r>
  </si>
  <si>
    <t>交易时间</t>
  </si>
  <si>
    <t>市场状况</t>
  </si>
  <si>
    <t>权益状况</t>
  </si>
  <si>
    <t>土地使用年限（年）</t>
  </si>
  <si>
    <r>
      <t>30-40</t>
    </r>
    <r>
      <rPr>
        <sz val="9"/>
        <color rgb="FF000000"/>
        <rFont val="华文细黑"/>
        <family val="3"/>
        <charset val="134"/>
      </rPr>
      <t>（含）</t>
    </r>
  </si>
  <si>
    <t>容积率</t>
  </si>
  <si>
    <t>区位状况</t>
  </si>
  <si>
    <t>商业繁华度</t>
  </si>
  <si>
    <t>交通便捷度</t>
  </si>
  <si>
    <t>公共配套设施</t>
  </si>
  <si>
    <t>区域基础设施水平</t>
  </si>
  <si>
    <t>自然及人文环境</t>
  </si>
  <si>
    <t>临街状况</t>
  </si>
  <si>
    <t>可视性</t>
  </si>
  <si>
    <t>人流量</t>
  </si>
  <si>
    <t>楼层</t>
  </si>
  <si>
    <r>
      <t>1</t>
    </r>
    <r>
      <rPr>
        <sz val="9"/>
        <color rgb="FF000000"/>
        <rFont val="华文细黑"/>
        <family val="3"/>
        <charset val="134"/>
      </rPr>
      <t>层</t>
    </r>
  </si>
  <si>
    <t>实物状况</t>
  </si>
  <si>
    <t>商业类型</t>
  </si>
  <si>
    <t>建筑结构</t>
  </si>
  <si>
    <t>公共部分装修</t>
  </si>
  <si>
    <t>成新率</t>
  </si>
  <si>
    <t>市政基础设施</t>
  </si>
  <si>
    <t>业态</t>
  </si>
  <si>
    <t>层高</t>
  </si>
  <si>
    <t>单套建筑面积（平方米）</t>
  </si>
  <si>
    <t>进深比</t>
  </si>
  <si>
    <t>内部装修</t>
  </si>
  <si>
    <t>内部装修维护状况</t>
  </si>
  <si>
    <t>万豪.世纪天街</t>
    <phoneticPr fontId="143" type="noConversion"/>
  </si>
  <si>
    <t>武汉市江夏区谭鑫培路17号</t>
    <phoneticPr fontId="143" type="noConversion"/>
  </si>
  <si>
    <t>中建.龙城</t>
    <phoneticPr fontId="31" type="noConversion"/>
  </si>
  <si>
    <t>中建.龙城</t>
    <phoneticPr fontId="143" type="noConversion"/>
  </si>
  <si>
    <t>江夏区文化大道107号</t>
    <phoneticPr fontId="3" type="noConversion"/>
  </si>
  <si>
    <t>武汉市江夏区文化大道107号</t>
    <phoneticPr fontId="143" type="noConversion"/>
  </si>
  <si>
    <t>通达广场</t>
    <phoneticPr fontId="3" type="noConversion"/>
  </si>
  <si>
    <t>通达广场</t>
    <phoneticPr fontId="143" type="noConversion"/>
  </si>
  <si>
    <t>武汉市江夏区大桥新区办事处文化大道</t>
    <phoneticPr fontId="143" type="noConversion"/>
  </si>
  <si>
    <r>
      <t>20-30</t>
    </r>
    <r>
      <rPr>
        <sz val="9"/>
        <color rgb="FF000000"/>
        <rFont val="华文细黑"/>
        <family val="3"/>
        <charset val="134"/>
      </rPr>
      <t>（含）</t>
    </r>
    <phoneticPr fontId="143" type="noConversion"/>
  </si>
  <si>
    <t>周边有万豪.世纪天街、中建.龙城、通达广场等项目，商业繁华度一般；</t>
    <phoneticPr fontId="143" type="noConversion"/>
  </si>
  <si>
    <t>周边1公里范围内道路密集，有城市快速路武昌大道、城市主干道文化大道、城市次干道环湖路及若干城市支路等各级市政道路，项目紧邻城市主干道文化大道；区域内公共交通便捷度一般，有905、908、921等不足五条公交线路设站，但正在建设中的地铁7号线二期预计2018年底通车投入使用，且大花岭街站距估价对象所属项目约100米。综合考虑估价对象所处区域交通条件好；</t>
    <phoneticPr fontId="143" type="noConversion"/>
  </si>
  <si>
    <t>周边1公里内的公共服务配套设施情况一般，有购物场所（中百超市）、医院（武汉大学城医院、汉口学院医院）、银行（武汉市农村商业银行、中国银行）、学校（江夏区大花岭小学、大桥中学）、餐饮等公共服务配套设施,公共服务配套设施状况一般；</t>
    <phoneticPr fontId="143" type="noConversion"/>
  </si>
  <si>
    <t>周边2公里范围内有汤逊湖壹号湿地公园、鹏湖公园等小型城市公园，绿化程度较好，自然环境好；2公里范围内有华中师范大学汉口学院、武汉东湖学院、长江工程职业技术学院等高等院校，缺乏文物古迹、体育场馆、公共文化活动场所等，人文环境一般，综合考虑该区域环境条件较好；</t>
    <phoneticPr fontId="143" type="noConversion"/>
  </si>
  <si>
    <t>可餐饮</t>
    <phoneticPr fontId="143" type="noConversion"/>
  </si>
  <si>
    <t>周边有联投广场、中百广场、齐乐城等项目，商业繁华度较好；</t>
    <phoneticPr fontId="143" type="noConversion"/>
  </si>
  <si>
    <t>周边路网密集度好、停车较便捷、周边有J1、J8、J10、919路等多条公共线路经过，交通状况好；</t>
    <phoneticPr fontId="143" type="noConversion"/>
  </si>
  <si>
    <t>周边1公里内的公共服务配套设施齐备，有超市（中百超市等）、银行（武汉农村商业银行、汉口银行等）、学校（东湖里幼儿园、江夏区文化路小学等）、餐饮（口味湘、川行天下等），公共配套设施情况一般；</t>
    <phoneticPr fontId="143" type="noConversion"/>
  </si>
  <si>
    <t>周边有2公里有谭鑫培公园、江夏区博物馆等设施，环境状况较好；</t>
    <phoneticPr fontId="143" type="noConversion"/>
  </si>
  <si>
    <r>
      <t>1-2</t>
    </r>
    <r>
      <rPr>
        <sz val="9"/>
        <color rgb="FF000000"/>
        <rFont val="华文细黑"/>
        <family val="3"/>
        <charset val="134"/>
      </rPr>
      <t>层</t>
    </r>
    <phoneticPr fontId="143" type="noConversion"/>
  </si>
  <si>
    <t>周边有江夏商业广场、江夏文化商城、中百仓储广场等项目，商业繁华度较好；</t>
    <phoneticPr fontId="143" type="noConversion"/>
  </si>
  <si>
    <t>周边路网密集度好、停车较便捷、周边有J6内、J6W、4202、4203、4207路等多条公共线路经过，交通状况好；</t>
    <phoneticPr fontId="143" type="noConversion"/>
  </si>
  <si>
    <t>周边1公里内的公共服务配套设施齐备，有超市（中百仓储超市、名扬超市、骏顺超市等）、银行（工商银行、建设银行、中国银行等）、学校（江夏区第一小学、江夏实验中学等）、餐饮（天池美食、小屋料理等），公共配套设施情况较好；</t>
    <phoneticPr fontId="143" type="noConversion"/>
  </si>
  <si>
    <t>周边有2公里熊廷弼公园、江夏区博物馆、音乐厅等设施，环境状况较好；</t>
    <phoneticPr fontId="143" type="noConversion"/>
  </si>
  <si>
    <t>较好</t>
    <phoneticPr fontId="143" type="noConversion"/>
  </si>
  <si>
    <t>不可餐饮</t>
    <phoneticPr fontId="143" type="noConversion"/>
  </si>
  <si>
    <t>周边有联投广场、万豪.世纪天街等项目，商业繁华度较好；</t>
    <phoneticPr fontId="143" type="noConversion"/>
  </si>
  <si>
    <t>周边路网密集度好、停车较便捷、周边有901、905、908、918、J10路等多条公共线路经过，交通状况好；</t>
    <phoneticPr fontId="143" type="noConversion"/>
  </si>
  <si>
    <t>周边1公里内的公共服务配套设施齐备，有超市（oneday超市、芙蓉兴盛超市等）、银行（武汉农村商业银行等）、学校（可得龙国际幼儿园、江夏区文化路小学、长江工程职业技术学院等）、餐饮（一品名中餐厅、味园家常菜等），公共配套设施情况较好；</t>
    <phoneticPr fontId="143" type="noConversion"/>
  </si>
  <si>
    <t>周边有2公里谭鑫培公园、无博物馆、音乐厅等设施，环境状况较好；</t>
    <phoneticPr fontId="143" type="noConversion"/>
  </si>
  <si>
    <t>交易情况</t>
  </si>
  <si>
    <t>土地使用年限</t>
  </si>
  <si>
    <t>100/</t>
  </si>
  <si>
    <r>
      <t>销售价格（元</t>
    </r>
    <r>
      <rPr>
        <sz val="9"/>
        <color rgb="FF000000"/>
        <rFont val="Arial"/>
        <family val="2"/>
      </rPr>
      <t>/</t>
    </r>
    <r>
      <rPr>
        <sz val="9"/>
        <color rgb="FF000000"/>
        <rFont val="华文细黑"/>
        <family val="3"/>
        <charset val="134"/>
      </rPr>
      <t>平方米）</t>
    </r>
  </si>
  <si>
    <r>
      <t>比较价值（元</t>
    </r>
    <r>
      <rPr>
        <sz val="9"/>
        <color rgb="FF000000"/>
        <rFont val="Arial"/>
        <family val="2"/>
      </rPr>
      <t>/</t>
    </r>
    <r>
      <rPr>
        <sz val="9"/>
        <color rgb="FF000000"/>
        <rFont val="华文细黑"/>
        <family val="3"/>
        <charset val="134"/>
      </rPr>
      <t>平方米）</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</si>
</sst>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b/>
      <sz val="10"/>
      <color theme="1"/>
      <name val="Arial Unicode MS"/>
      <family val="2"/>
      <charset val="134"/>
    </font>
    <font>
      <sz val="10"/>
      <color theme="1"/>
      <name val="Arial Unicode MS"/>
      <family val="2"/>
      <charset val="134"/>
    </font>
    <font>
      <sz val="9"/>
      <color rgb="FF000000"/>
      <name val="华文细黑"/>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alignment vertical="center"/>
    </xf>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254"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11" fillId="0" borderId="1" xfId="0" applyFont="1" applyBorder="1" applyAlignment="1" applyProtection="1">
      <alignment horizontal="center" vertical="center" wrapText="1"/>
      <protection locked="0"/>
    </xf>
    <xf numFmtId="0" fontId="255" fillId="0" borderId="1" xfId="13" applyFont="1" applyFill="1" applyBorder="1" applyAlignment="1">
      <alignment horizontal="center" vertical="center" wrapText="1"/>
    </xf>
    <xf numFmtId="49" fontId="256" fillId="0" borderId="1" xfId="13" applyNumberFormat="1" applyFont="1" applyFill="1" applyBorder="1" applyAlignment="1">
      <alignment horizontal="center" vertical="center" wrapText="1"/>
    </xf>
    <xf numFmtId="0" fontId="256" fillId="0" borderId="1" xfId="13" applyNumberFormat="1" applyFont="1" applyFill="1" applyBorder="1" applyAlignment="1">
      <alignment horizontal="center" vertical="center" wrapText="1"/>
    </xf>
    <xf numFmtId="0" fontId="190" fillId="7" borderId="60" xfId="0" applyFont="1" applyFill="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176" fontId="104"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08" fillId="17" borderId="1" xfId="0" applyFont="1" applyFill="1" applyBorder="1" applyAlignment="1" applyProtection="1">
      <alignment horizontal="left" vertical="center" wrapText="1"/>
      <protection locked="0"/>
    </xf>
    <xf numFmtId="0" fontId="108" fillId="17" borderId="24" xfId="0" applyFont="1" applyFill="1" applyBorder="1" applyAlignment="1" applyProtection="1">
      <alignment horizontal="center" vertical="center"/>
      <protection locked="0"/>
    </xf>
    <xf numFmtId="10" fontId="108" fillId="17" borderId="1" xfId="1" applyNumberFormat="1" applyFont="1" applyFill="1" applyBorder="1" applyAlignment="1" applyProtection="1">
      <alignment horizontal="center" vertical="center"/>
      <protection locked="0"/>
    </xf>
    <xf numFmtId="181" fontId="221" fillId="17" borderId="24" xfId="0" applyNumberFormat="1" applyFont="1" applyFill="1" applyBorder="1" applyAlignment="1" applyProtection="1">
      <alignment vertical="center"/>
      <protection locked="0"/>
    </xf>
    <xf numFmtId="0" fontId="0" fillId="0" borderId="1" xfId="0"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0" borderId="161" xfId="0" applyFont="1" applyBorder="1" applyAlignment="1">
      <alignment vertical="center" wrapText="1"/>
    </xf>
    <xf numFmtId="0" fontId="257" fillId="0" borderId="160" xfId="0" applyFont="1" applyBorder="1" applyAlignment="1">
      <alignment vertical="center" wrapText="1"/>
    </xf>
    <xf numFmtId="57" fontId="258" fillId="0" borderId="160" xfId="0" applyNumberFormat="1" applyFont="1" applyBorder="1" applyAlignment="1">
      <alignment vertical="center" wrapText="1"/>
    </xf>
    <xf numFmtId="0" fontId="258" fillId="0" borderId="160" xfId="0" applyFont="1" applyBorder="1" applyAlignment="1">
      <alignment vertical="center" wrapText="1"/>
    </xf>
    <xf numFmtId="9" fontId="258" fillId="0" borderId="160" xfId="0" applyNumberFormat="1" applyFont="1" applyBorder="1" applyAlignment="1">
      <alignment vertical="center" wrapText="1"/>
    </xf>
    <xf numFmtId="0" fontId="257" fillId="0" borderId="155" xfId="0" applyFont="1" applyBorder="1" applyAlignment="1">
      <alignment vertical="center" wrapText="1"/>
    </xf>
    <xf numFmtId="0" fontId="257" fillId="0" borderId="156" xfId="0" applyFont="1" applyBorder="1" applyAlignment="1">
      <alignment vertical="center" wrapText="1"/>
    </xf>
    <xf numFmtId="0" fontId="257" fillId="0" borderId="157" xfId="0" applyFont="1" applyBorder="1" applyAlignment="1">
      <alignment vertical="center" wrapText="1"/>
    </xf>
    <xf numFmtId="0" fontId="257" fillId="0" borderId="158" xfId="0" applyFont="1" applyBorder="1" applyAlignment="1">
      <alignment vertical="center" wrapText="1"/>
    </xf>
    <xf numFmtId="0" fontId="257" fillId="0" borderId="159" xfId="0" applyFont="1" applyBorder="1" applyAlignment="1">
      <alignment vertical="center" wrapText="1"/>
    </xf>
    <xf numFmtId="0" fontId="257" fillId="0" borderId="160" xfId="0" applyFont="1" applyBorder="1" applyAlignment="1">
      <alignment vertical="center" wrapText="1"/>
    </xf>
    <xf numFmtId="0" fontId="257" fillId="0" borderId="164" xfId="0" applyFont="1" applyBorder="1" applyAlignment="1">
      <alignment vertical="center" wrapText="1"/>
    </xf>
    <xf numFmtId="0" fontId="257" fillId="0" borderId="161" xfId="0" applyFont="1" applyBorder="1" applyAlignment="1">
      <alignment vertical="center" wrapText="1"/>
    </xf>
    <xf numFmtId="0" fontId="257" fillId="0" borderId="163" xfId="0" applyFont="1" applyBorder="1" applyAlignment="1">
      <alignment vertical="center" wrapText="1"/>
    </xf>
    <xf numFmtId="0" fontId="257" fillId="0" borderId="165" xfId="0" applyFont="1" applyBorder="1" applyAlignment="1">
      <alignment vertical="center" wrapText="1"/>
    </xf>
    <xf numFmtId="0" fontId="257" fillId="0" borderId="162" xfId="0" applyFont="1" applyBorder="1" applyAlignment="1">
      <alignment vertical="center" wrapText="1"/>
    </xf>
    <xf numFmtId="0" fontId="257" fillId="0" borderId="161" xfId="0" applyFont="1" applyBorder="1" applyAlignment="1">
      <alignment horizontal="justify" vertical="center" wrapText="1"/>
    </xf>
    <xf numFmtId="0" fontId="258" fillId="0" borderId="160" xfId="0" applyFont="1" applyBorder="1" applyAlignment="1">
      <alignment horizontal="justify" vertical="center" wrapText="1"/>
    </xf>
    <xf numFmtId="0" fontId="257" fillId="0" borderId="160" xfId="0" applyFont="1" applyBorder="1" applyAlignment="1">
      <alignment horizontal="justify" vertical="center"/>
    </xf>
    <xf numFmtId="0" fontId="257" fillId="0" borderId="164" xfId="0" applyFont="1" applyBorder="1" applyAlignment="1">
      <alignment horizontal="justify" vertical="center"/>
    </xf>
    <xf numFmtId="0" fontId="257" fillId="0" borderId="161" xfId="0" applyFont="1" applyBorder="1" applyAlignment="1">
      <alignment horizontal="justify" vertical="center"/>
    </xf>
    <xf numFmtId="0" fontId="257" fillId="0" borderId="163" xfId="0" applyFont="1" applyBorder="1" applyAlignment="1">
      <alignment horizontal="justify" vertical="center" wrapText="1"/>
    </xf>
    <xf numFmtId="0" fontId="257" fillId="0" borderId="165" xfId="0" applyFont="1" applyBorder="1" applyAlignment="1">
      <alignment horizontal="justify" vertical="center" wrapText="1"/>
    </xf>
    <xf numFmtId="0" fontId="257" fillId="0" borderId="162" xfId="0" applyFont="1" applyBorder="1" applyAlignment="1">
      <alignment horizontal="justify" vertical="center" wrapText="1"/>
    </xf>
    <xf numFmtId="0" fontId="258" fillId="0" borderId="166" xfId="0" applyFont="1" applyBorder="1" applyAlignment="1">
      <alignment horizontal="justify" vertical="center" wrapText="1"/>
    </xf>
    <xf numFmtId="0" fontId="257" fillId="0" borderId="164" xfId="0" applyFont="1" applyBorder="1" applyAlignment="1">
      <alignment horizontal="justify" vertical="center" wrapText="1"/>
    </xf>
    <xf numFmtId="0" fontId="257" fillId="0" borderId="161" xfId="0" applyFont="1" applyBorder="1" applyAlignment="1">
      <alignment horizontal="justify" vertical="center" wrapText="1"/>
    </xf>
    <xf numFmtId="0" fontId="258" fillId="0" borderId="164" xfId="0" applyFont="1" applyBorder="1" applyAlignment="1">
      <alignment horizontal="justify" vertical="center"/>
    </xf>
    <xf numFmtId="0" fontId="258" fillId="0" borderId="161" xfId="0" applyFont="1" applyBorder="1" applyAlignment="1">
      <alignment horizontal="justify" vertic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1219</v>
      </c>
      <c r="B1" s="1585" t="s">
        <v>1298</v>
      </c>
    </row>
    <row r="2" spans="1:2" s="1590" customFormat="1" ht="15" thickTop="1">
      <c r="A2" s="1588" t="s">
        <v>1220</v>
      </c>
      <c r="B2" s="1589" t="str">
        <f>'预评函-封皮'!B37:I37</f>
        <v>湖北省武汉市江夏区江夏经济开发区街文化大道36号鹏湖湾二期2-4栋/单元1-2层1号等31套商业用房房地产抵押价值预评估</v>
      </c>
    </row>
    <row r="3" spans="1:2" s="1593" customFormat="1">
      <c r="A3" s="1591" t="s">
        <v>1221</v>
      </c>
      <c r="B3" s="1592" t="str">
        <f>'预评函-封皮'!B40</f>
        <v>武汉伟鹏房地产开发建筑有限公司</v>
      </c>
    </row>
    <row r="4" spans="1:2" s="1593" customFormat="1">
      <c r="A4" s="1591" t="s">
        <v>1222</v>
      </c>
      <c r="B4" s="1592" t="str">
        <f ca="1">'预评函-封皮'!B46</f>
        <v>郑燚（注册号：1120070131)、王萌（注册号：1120130048)</v>
      </c>
    </row>
    <row r="5" spans="1:2" s="1587" customFormat="1" ht="15" thickBot="1">
      <c r="A5" s="1594" t="s">
        <v>1223</v>
      </c>
      <c r="B5" s="1595" t="str">
        <f>'预评函-封皮'!B49</f>
        <v>康正预评字号</v>
      </c>
    </row>
    <row r="6" spans="1:2" s="1590" customFormat="1" ht="15" thickTop="1">
      <c r="A6" s="1588" t="s">
        <v>1224</v>
      </c>
      <c r="B6" s="1589" t="str">
        <f>'预评函-1'!A4</f>
        <v>受贵公司委托，我公司对湖北省武汉市江夏区江夏经济开发区街文化大道36号鹏湖湾二期2-4栋/单元1-2层1号等31套商业用房房地产抵押价值进行了预评估。</v>
      </c>
    </row>
    <row r="7" spans="1:2" s="1593" customFormat="1">
      <c r="A7" s="1591" t="s">
        <v>1264</v>
      </c>
      <c r="B7" s="1592" t="str">
        <f>'预评函-1'!A7</f>
        <v>估价对象为湖北省武汉市江夏区江夏经济开发区街文化大道36号鹏湖湾二期2-4栋/单元1-2层1号等31套商业用房房地产，为武汉伟鹏房地产开发建筑有限公司所有。根据《不动产权证书》[鄂（2018）武汉市江夏不动产权第0016999号等31件]，估价对象（分摊）出让国有建设用地使用权面积为1023.05平方米，建筑面积为8582.62平方米。</v>
      </c>
    </row>
    <row r="8" spans="1:2" s="1593" customFormat="1">
      <c r="A8" s="1591" t="s">
        <v>1265</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1266</v>
      </c>
      <c r="B9" s="1592" t="str">
        <f>'预评函-1'!A10</f>
        <v>估价对象为湖北省武汉市江夏区江夏经济开发区街文化大道36号鹏湖湾二期2-4栋/单元1-2层1号等31套商业用房房地产,为武汉伟鹏房地产开发建筑有限公司开发建设的商业项目，该项目尚在开发建设中。根据《不动产权证书》[鄂（2018）武汉市江夏不动产权第0016999号等31件]，估价对象（分摊）出让国有建设用地使用权面积为1023.05平方米，规划建筑面积为8582.62平方米。</v>
      </c>
    </row>
    <row r="10" spans="1:2" s="1593" customFormat="1">
      <c r="A10" s="1591" t="s">
        <v>1267</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1225</v>
      </c>
      <c r="B11" s="1592" t="str">
        <f>'预评函-1'!A13</f>
        <v>为估价委托人在向中诚信托有限责任公司办理贷款手续过程中，确定房地产抵押贷款额度提供参考依据而评估房地产抵押价值。</v>
      </c>
    </row>
    <row r="12" spans="1:2" s="1593" customFormat="1">
      <c r="A12" s="1591" t="s">
        <v>1226</v>
      </c>
      <c r="B12" s="1592" t="str">
        <f>'预评函-1'!A15</f>
        <v>2018年6月11日（评估专业人员实地查勘之日）</v>
      </c>
    </row>
    <row r="13" spans="1:2" s="1593" customFormat="1">
      <c r="A13" s="1591" t="s">
        <v>1227</v>
      </c>
      <c r="B13" s="1592" t="str">
        <f>'预评函-1'!A18</f>
        <v>本次估价的“房地产价值”是指在正常市场情况下，在价值时点2018年6月11日，估价对象规划用途为商业，土地取得方式为出让，出让国有建设用地使用权剩余土地使用年限为商业28.87年，假定未设立法定优先受偿款下的房地产市场价值。</v>
      </c>
    </row>
    <row r="14" spans="1:2" s="1593" customFormat="1">
      <c r="A14" s="1591" t="s">
        <v>1228</v>
      </c>
      <c r="B14" s="1592" t="str">
        <f>'预评函-1'!A19</f>
        <v>其中，“出让国有建设用地使用权价值”是指估价对象用途为商业，实际开发程度为宗地红线外“七通”（即、、、、、、）、红线内场地平整条件下，剩余土地使用年限为商业28.87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1229</v>
      </c>
      <c r="B15" s="1592" t="str">
        <f>'预评函-1'!A20</f>
        <v>本次估价的“房地产抵押价值”是指估价对象在价值时点的“房地产价值”扣减估价师于价值时点所知悉的法定优先受偿款后的余额。</v>
      </c>
    </row>
    <row r="16" spans="1:2" s="1593" customFormat="1">
      <c r="A16" s="1591" t="s">
        <v>1230</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1231</v>
      </c>
      <c r="B17" s="1592" t="str">
        <f>'预评函-1'!A22</f>
        <v/>
      </c>
    </row>
    <row r="18" spans="1:2" s="1587" customFormat="1" ht="15" thickBot="1">
      <c r="A18" s="1594" t="s">
        <v>1232</v>
      </c>
      <c r="B18" s="1595" t="str">
        <f>'预评函-1'!A24</f>
        <v>本次评估采用的主估价方法为比较法和收益法。</v>
      </c>
    </row>
    <row r="19" spans="1:2" s="1590" customFormat="1" ht="15" thickTop="1">
      <c r="A19" s="1588" t="s">
        <v>1233</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1234</v>
      </c>
      <c r="B20" s="1592">
        <f ca="1">'预评函-2'!D5</f>
        <v>133</v>
      </c>
    </row>
    <row r="21" spans="1:2" s="1593" customFormat="1">
      <c r="A21" s="1591" t="s">
        <v>1235</v>
      </c>
      <c r="B21" s="1592">
        <f ca="1">'预评函-2'!D7</f>
        <v>24390</v>
      </c>
    </row>
    <row r="22" spans="1:2" s="1593" customFormat="1">
      <c r="A22" s="1591" t="s">
        <v>1236</v>
      </c>
      <c r="B22" s="1592" t="str">
        <f ca="1">'预评函-2'!D6</f>
        <v>壹佰叁拾叁万元整</v>
      </c>
    </row>
    <row r="23" spans="1:2" s="1593" customFormat="1">
      <c r="A23" s="1591" t="s">
        <v>1287</v>
      </c>
      <c r="B23" s="1592" t="str">
        <f>'预评函-2'!B8</f>
        <v>2.估价师知悉的法定优先受偿款</v>
      </c>
    </row>
    <row r="24" spans="1:2" s="1593" customFormat="1">
      <c r="A24" s="1591" t="s">
        <v>1293</v>
      </c>
      <c r="B24" s="1592">
        <f>'预评函-2'!D8</f>
        <v>0</v>
      </c>
    </row>
    <row r="25" spans="1:2" s="1593" customFormat="1">
      <c r="A25" s="1591" t="s">
        <v>1237</v>
      </c>
      <c r="B25" s="1592" t="str">
        <f>'预评函-2'!D9</f>
        <v>零元整</v>
      </c>
    </row>
    <row r="26" spans="1:2" s="1593" customFormat="1">
      <c r="A26" s="1591" t="s">
        <v>1238</v>
      </c>
      <c r="B26" s="1592">
        <f>'预评函-2'!D10</f>
        <v>0</v>
      </c>
    </row>
    <row r="27" spans="1:2" s="1593" customFormat="1">
      <c r="A27" s="1591" t="s">
        <v>1239</v>
      </c>
      <c r="B27" s="1592">
        <f>'预评函-2'!D11</f>
        <v>0</v>
      </c>
    </row>
    <row r="28" spans="1:2" s="1593" customFormat="1">
      <c r="A28" s="1591" t="s">
        <v>1240</v>
      </c>
      <c r="B28" s="1592">
        <f>'预评函-2'!D12</f>
        <v>0</v>
      </c>
    </row>
    <row r="29" spans="1:2" s="1593" customFormat="1">
      <c r="A29" s="1591" t="s">
        <v>1291</v>
      </c>
      <c r="B29" s="1592" t="str">
        <f>'预评函-2'!B13</f>
        <v>3.房地产抵押价值</v>
      </c>
    </row>
    <row r="30" spans="1:2" s="1593" customFormat="1">
      <c r="A30" s="1591" t="s">
        <v>1292</v>
      </c>
      <c r="B30" s="1592">
        <f ca="1">'预评函-2'!D13</f>
        <v>133</v>
      </c>
    </row>
    <row r="31" spans="1:2" s="1593" customFormat="1">
      <c r="A31" s="1591" t="s">
        <v>1274</v>
      </c>
      <c r="B31" s="1592">
        <f ca="1">'预评函-2'!D15</f>
        <v>155</v>
      </c>
    </row>
    <row r="32" spans="1:2" s="1593" customFormat="1">
      <c r="A32" s="1591" t="s">
        <v>1241</v>
      </c>
      <c r="B32" s="1592" t="str">
        <f ca="1">'预评函-2'!D14</f>
        <v>壹佰叁拾叁万元整</v>
      </c>
    </row>
    <row r="33" spans="1:2" s="1593" customFormat="1">
      <c r="A33" s="1591" t="s">
        <v>1276</v>
      </c>
      <c r="B33" s="1592" t="str">
        <f>'预评函-2'!B16</f>
        <v>——</v>
      </c>
    </row>
    <row r="34" spans="1:2" s="1593" customFormat="1">
      <c r="A34" s="1591" t="s">
        <v>1294</v>
      </c>
      <c r="B34" s="1592" t="str">
        <f>'预评函-2'!D16</f>
        <v>——</v>
      </c>
    </row>
    <row r="35" spans="1:2" s="1593" customFormat="1">
      <c r="A35" s="1591" t="s">
        <v>1275</v>
      </c>
      <c r="B35" s="1592" t="str">
        <f>'预评函-2'!D18</f>
        <v>——</v>
      </c>
    </row>
    <row r="36" spans="1:2" s="1593" customFormat="1">
      <c r="A36" s="1591" t="s">
        <v>1242</v>
      </c>
      <c r="B36" s="1592" t="e">
        <f>'预评函-2'!D17</f>
        <v>#VALUE!</v>
      </c>
    </row>
    <row r="37" spans="1:2" s="1593" customFormat="1">
      <c r="A37" s="1591" t="s">
        <v>1277</v>
      </c>
      <c r="B37" s="1592" t="str">
        <f>'预评函-2'!B19</f>
        <v>——</v>
      </c>
    </row>
    <row r="38" spans="1:2" s="1593" customFormat="1">
      <c r="A38" s="1591" t="s">
        <v>1295</v>
      </c>
      <c r="B38" s="1592" t="str">
        <f>'预评函-2'!D19</f>
        <v>——</v>
      </c>
    </row>
    <row r="39" spans="1:2" s="1593" customFormat="1">
      <c r="A39" s="1591" t="s">
        <v>1243</v>
      </c>
      <c r="B39" s="1592" t="str">
        <f>'预评函-2'!D21</f>
        <v>——</v>
      </c>
    </row>
    <row r="40" spans="1:2" s="1593" customFormat="1">
      <c r="A40" s="1591" t="s">
        <v>1244</v>
      </c>
      <c r="B40" s="1592" t="e">
        <f>'预评函-2'!D20</f>
        <v>#VALUE!</v>
      </c>
    </row>
    <row r="41" spans="1:2" s="1593" customFormat="1">
      <c r="A41" s="1591" t="s">
        <v>1290</v>
      </c>
      <c r="B41" s="1592" t="str">
        <f>'预评函-3'!A4</f>
        <v>湖北省武汉市江夏区江夏经济开发区街文化大道36号鹏湖湾二期2-4栋/单元1-2层1号等31套商业用房房地产</v>
      </c>
    </row>
    <row r="42" spans="1:2" s="1593" customFormat="1">
      <c r="A42" s="1591" t="s">
        <v>1288</v>
      </c>
      <c r="B42" s="1592" t="str">
        <f>'预评函-3'!B2</f>
        <v>建筑面积</v>
      </c>
    </row>
    <row r="43" spans="1:2" s="1593" customFormat="1">
      <c r="A43" s="1591" t="s">
        <v>1289</v>
      </c>
      <c r="B43" s="1592">
        <f>'预评函-3'!B4</f>
        <v>8582.619999999999</v>
      </c>
    </row>
    <row r="44" spans="1:2" s="1593" customFormat="1">
      <c r="A44" s="1591" t="s">
        <v>1273</v>
      </c>
      <c r="B44" s="1592" t="str">
        <f>'预评函-3'!C2</f>
        <v>(分摊)土地面积</v>
      </c>
    </row>
    <row r="45" spans="1:2" s="1593" customFormat="1">
      <c r="A45" s="1591" t="s">
        <v>1245</v>
      </c>
      <c r="B45" s="1592">
        <f>'预评函-3'!C4</f>
        <v>1023.05</v>
      </c>
    </row>
    <row r="46" spans="1:2" s="1593" customFormat="1">
      <c r="A46" s="1591" t="s">
        <v>1271</v>
      </c>
      <c r="B46" s="1592" t="str">
        <f>'预评函-3'!D2</f>
        <v>出让国有建设用地使用权价值</v>
      </c>
    </row>
    <row r="47" spans="1:2" s="1593" customFormat="1">
      <c r="A47" s="1591" t="s">
        <v>1246</v>
      </c>
      <c r="B47" s="1592" t="e">
        <f ca="1">'预评函-3'!D4</f>
        <v>#REF!</v>
      </c>
    </row>
    <row r="48" spans="1:2" s="1593" customFormat="1">
      <c r="A48" s="1591" t="s">
        <v>1247</v>
      </c>
      <c r="B48" s="1592" t="e">
        <f ca="1">'预评函-3'!E4</f>
        <v>#REF!</v>
      </c>
    </row>
    <row r="49" spans="1:2" s="1593" customFormat="1">
      <c r="A49" s="1591" t="s">
        <v>1248</v>
      </c>
      <c r="B49" s="1592" t="e">
        <f ca="1">'预评函-3'!D5</f>
        <v>#REF!</v>
      </c>
    </row>
    <row r="50" spans="1:2" s="1593" customFormat="1">
      <c r="A50" s="1591" t="s">
        <v>1272</v>
      </c>
      <c r="B50" s="1592" t="str">
        <f>'预评函-3'!F2</f>
        <v>在建建筑物价值</v>
      </c>
    </row>
    <row r="51" spans="1:2" s="1593" customFormat="1">
      <c r="A51" s="1591" t="s">
        <v>1249</v>
      </c>
      <c r="B51" s="1592" t="e">
        <f ca="1">'预评函-3'!F4</f>
        <v>#REF!</v>
      </c>
    </row>
    <row r="52" spans="1:2" s="1593" customFormat="1">
      <c r="A52" s="1591" t="s">
        <v>1250</v>
      </c>
      <c r="B52" s="1592" t="e">
        <f ca="1">'预评函-3'!G4</f>
        <v>#REF!</v>
      </c>
    </row>
    <row r="53" spans="1:2" s="1593" customFormat="1">
      <c r="A53" s="1591" t="s">
        <v>1278</v>
      </c>
      <c r="B53" s="1592" t="e">
        <f ca="1">'预评函-3'!F5</f>
        <v>#REF!</v>
      </c>
    </row>
    <row r="54" spans="1:2" s="1593" customFormat="1">
      <c r="A54" s="1591" t="s">
        <v>1296</v>
      </c>
      <c r="B54" s="1592" t="str">
        <f>'预评函-3'!A8</f>
        <v>房地产抵押价值</v>
      </c>
    </row>
    <row r="55" spans="1:2" s="1593" customFormat="1">
      <c r="A55" s="1591" t="s">
        <v>1279</v>
      </c>
      <c r="B55" s="1592" t="str">
        <f>'预评函-3'!A10</f>
        <v/>
      </c>
    </row>
    <row r="56" spans="1:2" s="1593" customFormat="1">
      <c r="A56" s="1591" t="s">
        <v>1280</v>
      </c>
      <c r="B56" s="1592" t="str">
        <f>'预评函-3'!A12</f>
        <v/>
      </c>
    </row>
    <row r="57" spans="1:2" s="1587" customFormat="1" ht="15" thickBot="1">
      <c r="A57" s="1594" t="s">
        <v>1297</v>
      </c>
      <c r="B57" s="1595" t="str">
        <f>'预评函-3'!A6</f>
        <v>估价师知悉的法定优先受偿款</v>
      </c>
    </row>
    <row r="58" spans="1:2" s="1590" customFormat="1" ht="15" thickTop="1">
      <c r="A58" s="1588" t="s">
        <v>1251</v>
      </c>
      <c r="B58" s="1589" t="str">
        <f>'预评函-4'!A12</f>
        <v>2.本《评估意见函》仅供金融机构进行内部审核使用，不做其他目的之用。</v>
      </c>
    </row>
    <row r="59" spans="1:2" s="1593" customFormat="1">
      <c r="A59" s="1591" t="s">
        <v>1252</v>
      </c>
      <c r="B59" s="1592" t="str">
        <f>'预评函-4'!A13</f>
        <v>3.抵押双方在办理抵押登记手续时，应使用本公司出具的正式《房地产评估报告》，特提醒报告使用者注意。</v>
      </c>
    </row>
    <row r="60" spans="1:2" s="1593" customFormat="1">
      <c r="A60" s="1591" t="s">
        <v>1253</v>
      </c>
      <c r="B60" s="1592" t="str">
        <f>'预评函-4'!A14</f>
        <v>4.本次评估估价师所知悉的法定优先受偿款情况说明如下：</v>
      </c>
    </row>
    <row r="61" spans="1:2" s="1593" customFormat="1">
      <c r="A61" s="1591" t="s">
        <v>1254</v>
      </c>
      <c r="B61" s="1592" t="str">
        <f>'预评函-4'!A15</f>
        <v>（1）根据估价对象《国有土地使用证》原件，截至价值时点，估价对象抵押权未见登记。</v>
      </c>
    </row>
    <row r="62" spans="1:2" s="1593" customFormat="1">
      <c r="A62" s="1591" t="s">
        <v>1255</v>
      </c>
      <c r="B62" s="1592" t="str">
        <f>'预评函-4'!A16</f>
        <v>（2）根据《工程款支付情况说明》，截至价值时点，估价对象不存在应付未付工程款项。（只要没有施工方盖章的，均“设定”进行表述）</v>
      </c>
    </row>
    <row r="63" spans="1:2" s="1593" customFormat="1">
      <c r="A63" s="1591" t="s">
        <v>1256</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1268</v>
      </c>
      <c r="B64" s="1592" t="str">
        <f>'预评函-4'!A18</f>
        <v>故，本次评估不存在估价师知悉的法定优先受偿款</v>
      </c>
    </row>
    <row r="65" spans="1:2" s="1593" customFormat="1">
      <c r="A65" s="1591" t="s">
        <v>1257</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1258</v>
      </c>
      <c r="B66" s="1592" t="str">
        <f>'预评函-4'!A20</f>
        <v>——</v>
      </c>
    </row>
    <row r="67" spans="1:2" s="1593" customFormat="1">
      <c r="A67" s="1591" t="s">
        <v>1269</v>
      </c>
      <c r="B67" s="1592" t="str">
        <f>'预评函-4'!A21</f>
        <v>——</v>
      </c>
    </row>
    <row r="68" spans="1:2" s="1593" customFormat="1">
      <c r="A68" s="1591" t="s">
        <v>1270</v>
      </c>
      <c r="B68" s="1592" t="str">
        <f>'预评函-4'!A22</f>
        <v>8.其他需特殊说明事项：无（注意调整序号）</v>
      </c>
    </row>
    <row r="69" spans="1:2" s="1587" customFormat="1" ht="15" thickBot="1">
      <c r="A69" s="1594" t="s">
        <v>1259</v>
      </c>
      <c r="B69" s="1596">
        <f>'预评函-4'!C31</f>
        <v>42551</v>
      </c>
    </row>
    <row r="70" spans="1:2" ht="15" thickTop="1">
      <c r="A70" s="1597" t="s">
        <v>1260</v>
      </c>
      <c r="B70" s="1598" t="str">
        <f>'预评函-4'!A4</f>
        <v>郑燚</v>
      </c>
    </row>
    <row r="71" spans="1:2">
      <c r="A71" s="1591" t="s">
        <v>1261</v>
      </c>
      <c r="B71" s="1592">
        <f ca="1">'预评函-4'!B4</f>
        <v>1120070131</v>
      </c>
    </row>
    <row r="72" spans="1:2">
      <c r="A72" s="1591" t="s">
        <v>1262</v>
      </c>
      <c r="B72" s="1600" t="str">
        <f>'预评函-4'!A5</f>
        <v>王萌</v>
      </c>
    </row>
    <row r="73" spans="1:2" s="1587" customFormat="1" ht="15" thickBot="1">
      <c r="A73" s="1594" t="s">
        <v>1263</v>
      </c>
      <c r="B73" s="1595">
        <f ca="1">'预评函-4'!B5</f>
        <v>1120130048</v>
      </c>
    </row>
    <row r="74" spans="1:2" ht="15" thickTop="1">
      <c r="A74" s="1584" t="s">
        <v>1299</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伟鹏房地产开发建筑有限公司拟使用湖北省武汉市江夏区江夏经济开发区街文化大道36号鹏湖湾二期2-4栋/单元1-2层1号等31套商业用房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14"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4"/>
      <c r="B54" s="2022" t="s">
        <v>864</v>
      </c>
      <c r="C54" s="2019" t="s">
        <v>1281</v>
      </c>
    </row>
    <row r="55" spans="1:4">
      <c r="A55" s="3014"/>
      <c r="B55" s="2022" t="s">
        <v>865</v>
      </c>
      <c r="C55" s="2019" t="s">
        <v>1282</v>
      </c>
    </row>
    <row r="56" spans="1:4">
      <c r="A56" s="3014"/>
      <c r="B56" s="2022" t="s">
        <v>866</v>
      </c>
      <c r="C56" s="2019" t="s">
        <v>1286</v>
      </c>
    </row>
    <row r="57" spans="1:4">
      <c r="A57" s="3014"/>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9" sqref="G29"/>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1776</v>
      </c>
      <c r="B1" s="3015" t="str">
        <f>IF(B10="北京市","北京市",C10)&amp;F10&amp;IF(结果表!G1="在建","出让国有建设用地使用权及在建建筑物",IF(结果表!G1="土地","出让国有建设用地使用权",))&amp;B9&amp;"预评估"</f>
        <v>湖北省武汉市江夏区江夏经济开发区街文化大道36号鹏湖湾二期2-4栋/单元1-2层1号等31套商业用房房地产抵押价值预评估</v>
      </c>
      <c r="C1" s="3016"/>
      <c r="D1" s="3016"/>
      <c r="E1" s="3016"/>
      <c r="F1" s="3016"/>
      <c r="G1" s="3016"/>
      <c r="H1" s="3016"/>
      <c r="I1" s="301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湖北省武汉市江夏区江夏经济开发区街文化大道36号鹏湖湾二期2-4栋/单元1-2层1号等31套商业用房房地产抵押价值</v>
      </c>
    </row>
    <row r="2" spans="1:19" ht="18" customHeight="1">
      <c r="A2" s="2026" t="s">
        <v>1777</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湖北省武汉市江夏区江夏经济开发区街文化大道36号鹏湖湾二期2-4栋/单元1-2层1号等31套商业用房房地产</v>
      </c>
    </row>
    <row r="3" spans="1:19" ht="18" customHeight="1">
      <c r="A3" s="2035" t="s">
        <v>1778</v>
      </c>
      <c r="B3" s="2036">
        <v>43262</v>
      </c>
      <c r="C3" s="2037" t="s">
        <v>1779</v>
      </c>
      <c r="D3" s="2036">
        <f>B3</f>
        <v>43262</v>
      </c>
      <c r="E3" s="2026"/>
      <c r="F3" s="2026"/>
      <c r="G3" s="2026"/>
      <c r="H3" s="2026"/>
      <c r="I3" s="2026"/>
      <c r="J3" s="2026"/>
      <c r="K3" s="2027"/>
      <c r="L3" s="2028"/>
      <c r="M3" s="2028"/>
      <c r="N3" s="2029"/>
      <c r="O3" s="2030"/>
      <c r="P3" s="2029"/>
      <c r="Q3" s="2029"/>
      <c r="R3" s="2029"/>
      <c r="S3" s="2031"/>
    </row>
    <row r="4" spans="1:19" ht="18" customHeight="1" thickBot="1">
      <c r="A4" s="2038" t="s">
        <v>1780</v>
      </c>
      <c r="B4" s="2039" t="s">
        <v>3042</v>
      </c>
      <c r="C4" s="1037">
        <f ca="1">SUMIF(注册房地产估价师,B4,估价师及机构信息!B3:B24)</f>
        <v>1120070131</v>
      </c>
      <c r="D4" s="2039" t="s">
        <v>3043</v>
      </c>
      <c r="E4" s="1038">
        <f ca="1">SUMIF(注册房地产估价师,D4,估价师及机构信息!B3:B24)</f>
        <v>1120130048</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郑燚（注册号：1120070131)、王萌（注册号：1120130048)</v>
      </c>
      <c r="L4" s="2028"/>
      <c r="M4" s="2028"/>
      <c r="N4" s="2029"/>
      <c r="O4" s="2030"/>
      <c r="P4" s="2029"/>
      <c r="Q4" s="2029"/>
      <c r="R4" s="2029"/>
      <c r="S4" s="2031"/>
    </row>
    <row r="5" spans="1:19" ht="18" customHeight="1" thickTop="1">
      <c r="A5" s="2044" t="s">
        <v>1781</v>
      </c>
      <c r="B5" s="2941" t="s">
        <v>3044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2941" t="s">
        <v>3045</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1783</v>
      </c>
      <c r="B7" s="2941" t="s">
        <v>3044</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018"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019"/>
      <c r="E9" s="2056" t="s">
        <v>70</v>
      </c>
      <c r="F9" s="2058"/>
      <c r="G9" s="2059"/>
      <c r="H9" s="2059"/>
      <c r="I9" s="2059"/>
      <c r="J9" s="2042"/>
      <c r="K9" s="2051"/>
      <c r="L9" s="2028"/>
      <c r="M9" s="2028"/>
      <c r="N9" s="2029"/>
      <c r="O9" s="2030"/>
      <c r="P9" s="2029"/>
      <c r="Q9" s="2029"/>
      <c r="R9" s="2029"/>
    </row>
    <row r="10" spans="1:19" ht="18" customHeight="1" thickTop="1">
      <c r="A10" s="2060" t="s">
        <v>1787</v>
      </c>
      <c r="B10" s="2061" t="s">
        <v>3048</v>
      </c>
      <c r="C10" s="2947" t="s">
        <v>3135</v>
      </c>
      <c r="D10" s="2046"/>
      <c r="E10" s="2062" t="s">
        <v>1788</v>
      </c>
      <c r="F10" s="2063"/>
      <c r="G10" s="2064"/>
      <c r="H10" s="2065"/>
      <c r="I10" s="2046"/>
      <c r="J10" s="2042"/>
      <c r="K10" s="2051"/>
      <c r="L10" s="2028"/>
      <c r="M10" s="2028"/>
      <c r="N10" s="2029"/>
      <c r="O10" s="2030"/>
      <c r="P10" s="2029"/>
      <c r="Q10" s="2029"/>
      <c r="R10" s="2029"/>
    </row>
    <row r="11" spans="1:19" ht="18" customHeight="1">
      <c r="A11" s="2066" t="s">
        <v>1789</v>
      </c>
      <c r="B11" s="2067" t="s">
        <v>3049</v>
      </c>
      <c r="C11" s="2941" t="s">
        <v>3044</v>
      </c>
      <c r="D11" s="2068"/>
      <c r="E11" s="2042"/>
      <c r="F11" s="2042"/>
      <c r="G11" s="2042"/>
      <c r="H11" s="2042"/>
      <c r="I11" s="2042"/>
      <c r="J11" s="2042"/>
      <c r="K11" s="2051"/>
      <c r="L11" s="2028"/>
      <c r="M11" s="2028"/>
      <c r="N11" s="2029"/>
      <c r="O11" s="2030"/>
      <c r="P11" s="2029"/>
      <c r="Q11" s="2029"/>
      <c r="R11" s="2029"/>
    </row>
    <row r="12" spans="1:19" ht="18" customHeight="1">
      <c r="A12" s="2069" t="s">
        <v>1790</v>
      </c>
      <c r="B12" s="2067" t="s">
        <v>3050</v>
      </c>
      <c r="C12" s="2070" t="s">
        <v>1791</v>
      </c>
      <c r="D12" s="2071" t="s">
        <v>1792</v>
      </c>
      <c r="E12" s="2071" t="s">
        <v>1793</v>
      </c>
      <c r="F12" s="2071" t="s">
        <v>1794</v>
      </c>
      <c r="G12" s="2071" t="s">
        <v>1795</v>
      </c>
      <c r="H12" s="2071" t="s">
        <v>1796</v>
      </c>
      <c r="I12" s="2071" t="s">
        <v>1797</v>
      </c>
      <c r="J12" s="2042"/>
      <c r="K12" s="2051"/>
      <c r="L12" s="2028"/>
      <c r="M12" s="2028"/>
      <c r="N12" s="2029"/>
      <c r="O12" s="2030"/>
      <c r="P12" s="2029"/>
      <c r="Q12" s="2029"/>
      <c r="R12" s="2029"/>
    </row>
    <row r="13" spans="1:19" ht="18" customHeight="1">
      <c r="A13" s="2072"/>
      <c r="B13" s="2073"/>
      <c r="C13" s="2074" t="s">
        <v>1798</v>
      </c>
      <c r="D13" s="2075">
        <v>64758</v>
      </c>
      <c r="E13" s="2075">
        <v>53800</v>
      </c>
      <c r="F13" s="2075"/>
      <c r="G13" s="2075"/>
      <c r="H13" s="2075"/>
      <c r="I13" s="1047"/>
      <c r="J13" s="2042"/>
      <c r="K13" s="2051"/>
      <c r="L13" s="2028"/>
      <c r="M13" s="2028"/>
      <c r="N13" s="2029"/>
      <c r="O13" s="2030"/>
      <c r="P13" s="2029"/>
      <c r="Q13" s="2029"/>
      <c r="R13" s="2029"/>
    </row>
    <row r="14" spans="1:19" ht="18" customHeight="1">
      <c r="A14" s="2072"/>
      <c r="B14" s="2073"/>
      <c r="C14" s="2074" t="s">
        <v>1799</v>
      </c>
      <c r="D14" s="1050">
        <v>70</v>
      </c>
      <c r="E14" s="1050">
        <v>40</v>
      </c>
      <c r="F14" s="1050"/>
      <c r="G14" s="1050"/>
      <c r="H14" s="1050"/>
      <c r="I14" s="1050"/>
      <c r="J14" s="2042"/>
      <c r="K14" s="2076"/>
      <c r="L14" s="2028"/>
      <c r="M14" s="2028"/>
      <c r="N14" s="2029"/>
      <c r="O14" s="2030"/>
      <c r="P14" s="2029"/>
      <c r="Q14" s="2029"/>
      <c r="R14" s="2029"/>
    </row>
    <row r="15" spans="1:19" ht="18" customHeight="1">
      <c r="A15" s="2060"/>
      <c r="B15" s="2077"/>
      <c r="C15" s="2074" t="s">
        <v>1800</v>
      </c>
      <c r="D15" s="1049">
        <f>IF(B12="出让",IF(D13="","",ROUNDDOWN(MIN((D13-$D$3)/365,D14),2)),D14)</f>
        <v>58.89</v>
      </c>
      <c r="E15" s="1049">
        <f>IF(B12="出让",IF(E13="","",ROUNDDOWN(MIN((E13-$D$3)/365,E14),2)),E14)</f>
        <v>28.87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78"/>
      <c r="L15" s="2079"/>
      <c r="M15" s="2079"/>
      <c r="N15" s="2080"/>
      <c r="O15" s="2079"/>
      <c r="P15" s="2080"/>
      <c r="Q15" s="2029"/>
      <c r="R15" s="2029"/>
    </row>
    <row r="16" spans="1:19" ht="30.75" customHeight="1">
      <c r="A16" s="2062" t="s">
        <v>1801</v>
      </c>
      <c r="B16" s="3025" t="s">
        <v>3139</v>
      </c>
      <c r="C16" s="3026"/>
      <c r="D16" s="3027"/>
      <c r="E16" s="2081" t="s">
        <v>1802</v>
      </c>
      <c r="F16" s="3028" t="s">
        <v>3136</v>
      </c>
      <c r="G16" s="3029"/>
      <c r="H16" s="3029"/>
      <c r="I16" s="3030"/>
      <c r="J16" s="2029"/>
      <c r="K16" s="2078"/>
      <c r="L16" s="2079"/>
      <c r="M16" s="2079"/>
      <c r="N16" s="2080"/>
      <c r="O16" s="2079"/>
      <c r="P16" s="2080"/>
      <c r="Q16" s="2029"/>
      <c r="R16" s="2029"/>
    </row>
    <row r="17" spans="1:22" ht="18" customHeight="1">
      <c r="A17" s="2082" t="s">
        <v>1803</v>
      </c>
      <c r="B17" s="2035" t="s">
        <v>1804</v>
      </c>
      <c r="C17" s="1054">
        <f>'数据-汇总表'!E3</f>
        <v>8582.619999999999</v>
      </c>
      <c r="D17" s="2083" t="s">
        <v>1805</v>
      </c>
      <c r="E17" s="3031" t="s">
        <v>3138</v>
      </c>
      <c r="F17" s="3032"/>
      <c r="G17" s="3032"/>
      <c r="H17" s="3032"/>
      <c r="I17" s="3033"/>
      <c r="J17" s="2029"/>
      <c r="K17" s="2084"/>
      <c r="L17" s="2079"/>
      <c r="M17" s="2079"/>
      <c r="N17" s="2080"/>
      <c r="O17" s="2079"/>
      <c r="P17" s="2080"/>
      <c r="Q17" s="2029"/>
      <c r="R17" s="2029"/>
      <c r="S17" s="2029"/>
      <c r="T17" s="2029"/>
      <c r="U17" s="2029"/>
      <c r="V17" s="2029"/>
    </row>
    <row r="18" spans="1:22" ht="36" customHeight="1" thickBot="1">
      <c r="A18" s="2085" t="s">
        <v>1806</v>
      </c>
      <c r="B18" s="2038" t="s">
        <v>1807</v>
      </c>
      <c r="C18" s="1444">
        <f>'数据-汇总表'!D3</f>
        <v>1023.05</v>
      </c>
      <c r="D18" s="2086" t="s">
        <v>1805</v>
      </c>
      <c r="E18" s="3031" t="s">
        <v>3138</v>
      </c>
      <c r="F18" s="3032"/>
      <c r="G18" s="3032"/>
      <c r="H18" s="3032"/>
      <c r="I18" s="3033"/>
      <c r="J18" s="2029"/>
      <c r="K18" s="2084"/>
      <c r="L18" s="2079"/>
      <c r="M18" s="2079"/>
      <c r="N18" s="2080"/>
      <c r="O18" s="2079"/>
      <c r="P18" s="2080"/>
      <c r="Q18" s="2029"/>
      <c r="R18" s="2029"/>
      <c r="S18" s="2029"/>
      <c r="T18" s="2029"/>
      <c r="U18" s="2029"/>
      <c r="V18" s="2029"/>
    </row>
    <row r="19" spans="1:22" ht="37.5" customHeight="1" thickTop="1" thickBot="1">
      <c r="A19" s="373" t="s">
        <v>1808</v>
      </c>
      <c r="B19" s="352" t="s">
        <v>1809</v>
      </c>
      <c r="C19" s="2087" t="s">
        <v>3053</v>
      </c>
      <c r="D19" s="2088" t="s">
        <v>1810</v>
      </c>
      <c r="E19" s="2089" t="s">
        <v>70</v>
      </c>
      <c r="F19" s="2090" t="str">
        <f>IF(AND(C19="是",E19="否"),"是否提供他项权证或相关说明","")</f>
        <v/>
      </c>
      <c r="G19" s="2091" t="s">
        <v>70</v>
      </c>
      <c r="H19" s="2042"/>
      <c r="I19" s="2042"/>
      <c r="J19" s="2042"/>
      <c r="K19" s="2051"/>
      <c r="L19" s="2028"/>
      <c r="M19" s="2028"/>
      <c r="N19" s="2080"/>
      <c r="O19" s="2079"/>
      <c r="P19" s="2080"/>
      <c r="Q19" s="2029"/>
      <c r="R19" s="2029"/>
      <c r="S19" s="2029"/>
      <c r="T19" s="2029"/>
      <c r="U19" s="2029"/>
      <c r="V19" s="2029"/>
    </row>
    <row r="20" spans="1:22" ht="18" customHeight="1">
      <c r="A20" s="2092" t="s">
        <v>1811</v>
      </c>
      <c r="B20" s="3021" t="s">
        <v>1812</v>
      </c>
      <c r="C20" s="3022"/>
      <c r="D20" s="3023" t="s">
        <v>1813</v>
      </c>
      <c r="E20" s="3024"/>
      <c r="F20" s="2093" t="s">
        <v>1814</v>
      </c>
      <c r="G20" s="2042"/>
      <c r="H20" s="2042"/>
      <c r="I20" s="2042"/>
      <c r="J20" s="2042"/>
      <c r="K20" s="3020" t="s">
        <v>1815</v>
      </c>
      <c r="L20" s="745"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28"/>
      <c r="N20" s="2080"/>
      <c r="O20" s="2079"/>
      <c r="P20" s="2080"/>
      <c r="Q20" s="2029"/>
      <c r="R20" s="2029"/>
      <c r="S20" s="2029"/>
      <c r="T20" s="2029"/>
      <c r="U20" s="2029"/>
      <c r="V20" s="2029"/>
    </row>
    <row r="21" spans="1:22" ht="24.75" customHeight="1">
      <c r="A21" s="2092"/>
      <c r="B21" s="2094" t="s">
        <v>3054</v>
      </c>
      <c r="C21" s="2095" t="s">
        <v>1816</v>
      </c>
      <c r="D21" s="2096"/>
      <c r="E21" s="2097" t="s">
        <v>70</v>
      </c>
      <c r="F21" s="2098"/>
      <c r="G21" s="2042"/>
      <c r="H21" s="2042"/>
      <c r="I21" s="2042"/>
      <c r="J21" s="2042"/>
      <c r="K21" s="302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0"/>
      <c r="O21" s="2079"/>
      <c r="P21" s="2080"/>
      <c r="Q21" s="2029"/>
      <c r="R21" s="2029"/>
      <c r="S21" s="2029"/>
      <c r="T21" s="2029"/>
      <c r="U21" s="2029"/>
      <c r="V21" s="2029"/>
    </row>
    <row r="22" spans="1:22" ht="24.75" customHeight="1" thickBot="1">
      <c r="A22" s="2092"/>
      <c r="B22" s="2099" t="s">
        <v>70</v>
      </c>
      <c r="C22" s="2095" t="s">
        <v>70</v>
      </c>
      <c r="D22" s="2026"/>
      <c r="E22" s="2026"/>
      <c r="F22" s="2100"/>
      <c r="G22" s="2042"/>
      <c r="H22" s="2042"/>
      <c r="I22" s="2042"/>
      <c r="J22" s="2042"/>
      <c r="K22" s="302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1817</v>
      </c>
      <c r="B23" s="183" t="s">
        <v>1818</v>
      </c>
      <c r="C23" s="2102"/>
      <c r="D23" s="2103" t="s">
        <v>1818</v>
      </c>
      <c r="E23" s="2104"/>
      <c r="F23" s="2100"/>
      <c r="G23" s="2042"/>
      <c r="H23" s="2042"/>
      <c r="I23" s="2042"/>
      <c r="J23" s="2042"/>
      <c r="K23" s="2105"/>
      <c r="L23" s="745"/>
      <c r="M23" s="2028"/>
      <c r="N23" s="2080"/>
      <c r="O23" s="2079"/>
      <c r="P23" s="2080"/>
      <c r="Q23" s="2029"/>
      <c r="R23" s="2029"/>
      <c r="S23" s="2029"/>
      <c r="T23" s="2029"/>
      <c r="U23" s="2029"/>
      <c r="V23" s="2029"/>
    </row>
    <row r="24" spans="1:22" ht="18" customHeight="1">
      <c r="A24" s="2106"/>
      <c r="B24" s="183" t="s">
        <v>1819</v>
      </c>
      <c r="C24" s="2107"/>
      <c r="D24" s="2101" t="s">
        <v>1819</v>
      </c>
      <c r="E24" s="2108"/>
      <c r="F24" s="2100"/>
      <c r="G24" s="2042"/>
      <c r="H24" s="2042"/>
      <c r="I24" s="2042"/>
      <c r="J24" s="2042"/>
      <c r="K24" s="2105"/>
      <c r="L24" s="745"/>
      <c r="M24" s="2028"/>
      <c r="N24" s="2080"/>
      <c r="O24" s="2079"/>
      <c r="P24" s="2080"/>
      <c r="Q24" s="2029"/>
      <c r="R24" s="2029"/>
      <c r="S24" s="2029"/>
      <c r="T24" s="2029"/>
      <c r="U24" s="2029"/>
      <c r="V24" s="2029"/>
    </row>
    <row r="25" spans="1:22" ht="18" customHeight="1">
      <c r="A25" s="2106"/>
      <c r="B25" s="183" t="s">
        <v>1820</v>
      </c>
      <c r="C25" s="2107"/>
      <c r="D25" s="2101" t="s">
        <v>1820</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1821</v>
      </c>
      <c r="C26" s="2111"/>
      <c r="D26" s="2112" t="s">
        <v>1822</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35" t="s">
        <v>1823</v>
      </c>
      <c r="B27" s="2060" t="s">
        <v>1824</v>
      </c>
      <c r="C27" s="2115" t="s">
        <v>3140</v>
      </c>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35"/>
      <c r="B28" s="2035" t="s">
        <v>1825</v>
      </c>
      <c r="C28" s="2117" t="s">
        <v>3055</v>
      </c>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35"/>
      <c r="B29" s="2035" t="s">
        <v>1826</v>
      </c>
      <c r="C29" s="2120" t="s">
        <v>3053</v>
      </c>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36"/>
      <c r="B30" s="2035" t="s">
        <v>1827</v>
      </c>
      <c r="C30" s="3037"/>
      <c r="D30" s="3038"/>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39" t="s">
        <v>1828</v>
      </c>
      <c r="B31" s="2122" t="s">
        <v>3056</v>
      </c>
      <c r="C31" s="2123" t="str">
        <f>IF(B31="现房","成新及维护状况正常否",IF(B31="在建","工程状态是否正常",IF(B31="土地","是否闲置","-")))</f>
        <v>工程状态是否正常</v>
      </c>
      <c r="D31" s="2124"/>
      <c r="E31" s="2942" t="s">
        <v>3057</v>
      </c>
      <c r="F31" s="2042"/>
      <c r="G31" s="2042"/>
      <c r="H31" s="2042"/>
      <c r="I31" s="2042"/>
      <c r="J31" s="2042"/>
      <c r="K31" s="2050"/>
      <c r="L31" s="2028"/>
      <c r="M31" s="2028"/>
      <c r="N31" s="2029"/>
      <c r="O31" s="2030"/>
      <c r="P31" s="2029"/>
      <c r="Q31" s="2029"/>
      <c r="R31" s="2029"/>
      <c r="S31" s="2029"/>
      <c r="T31" s="2029"/>
      <c r="U31" s="2029"/>
      <c r="V31" s="2029"/>
    </row>
    <row r="32" spans="1:22" ht="18" customHeight="1">
      <c r="A32" s="3040"/>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40"/>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29"/>
      <c r="C34" s="2129"/>
      <c r="D34" s="2129"/>
      <c r="E34" s="2129"/>
      <c r="F34" s="2129"/>
      <c r="G34" s="2129"/>
      <c r="H34" s="2129"/>
      <c r="I34" s="2042"/>
      <c r="J34" s="2042"/>
      <c r="K34" s="1795">
        <f>COUNTIF(B34:H34,"——")</f>
        <v>0</v>
      </c>
      <c r="L34" s="2070" t="s">
        <v>1830</v>
      </c>
      <c r="M34" s="2070" t="s">
        <v>1831</v>
      </c>
      <c r="N34" s="2070" t="s">
        <v>1832</v>
      </c>
      <c r="O34" s="2070" t="s">
        <v>1833</v>
      </c>
      <c r="P34" s="2070" t="s">
        <v>1834</v>
      </c>
      <c r="Q34" s="2070" t="s">
        <v>1835</v>
      </c>
      <c r="R34" s="2070" t="s">
        <v>1836</v>
      </c>
      <c r="S34" s="3034" t="s">
        <v>1837</v>
      </c>
      <c r="T34" s="2130" t="str">
        <f>NUMBERSTRING(7-K34,1)&amp;"通"</f>
        <v>七通</v>
      </c>
      <c r="U34" s="2029"/>
      <c r="V34" s="2029"/>
    </row>
    <row r="35" spans="1:22" ht="18" customHeight="1">
      <c r="A35" s="2131"/>
      <c r="B35" s="3041" t="s">
        <v>1838</v>
      </c>
      <c r="C35" s="3041"/>
      <c r="D35" s="3041"/>
      <c r="E35" s="3041"/>
      <c r="F35" s="2132" t="str">
        <f>C10</f>
        <v>湖北省武汉市江夏区江夏经济开发区街文化大道36号鹏湖湾二期2-4栋/单元1-2层1号等31套商业用房</v>
      </c>
      <c r="G35" s="2042"/>
      <c r="H35" s="2042"/>
      <c r="I35" s="2042"/>
      <c r="J35" s="2042"/>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4"/>
      <c r="T35" s="48" t="str">
        <f>IF(T34="一通",L35,IF(T34="二通",M35,IF(T34="三通",N35,IF(T34="四通",O35,IF(T34="五通",P35,IF(T34="六通",Q35,R35))))))</f>
        <v>、、、、、、</v>
      </c>
      <c r="U35" s="2029"/>
      <c r="V35" s="2029"/>
    </row>
    <row r="36" spans="1:22" ht="18" customHeight="1">
      <c r="A36" s="2133"/>
      <c r="B36" s="2132" t="s">
        <v>1839</v>
      </c>
      <c r="C36" s="2132" t="s">
        <v>1840</v>
      </c>
      <c r="D36" s="2132" t="s">
        <v>1841</v>
      </c>
      <c r="E36" s="2132" t="s">
        <v>1842</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1843</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1844</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5"/>
      <c r="L40" s="2079"/>
      <c r="M40" s="2079"/>
      <c r="N40" s="2080"/>
      <c r="O40" s="2079"/>
      <c r="P40" s="2029"/>
      <c r="Q40" s="2029"/>
      <c r="R40" s="2029"/>
      <c r="S40" s="2029"/>
      <c r="T40" s="2029"/>
      <c r="U40" s="2029"/>
      <c r="V40" s="2029"/>
    </row>
    <row r="41" spans="1:22" ht="18" customHeight="1">
      <c r="A41" s="8" t="s">
        <v>1846</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1847</v>
      </c>
      <c r="B42" s="1795" t="s">
        <v>1848</v>
      </c>
      <c r="C42" s="1795" t="s">
        <v>1849</v>
      </c>
      <c r="D42" s="1795" t="s">
        <v>1850</v>
      </c>
      <c r="E42" s="1795" t="s">
        <v>1851</v>
      </c>
      <c r="F42" s="1795" t="s">
        <v>1852</v>
      </c>
      <c r="G42" s="1795" t="s">
        <v>1853</v>
      </c>
      <c r="H42" s="1795" t="s">
        <v>1854</v>
      </c>
      <c r="I42" s="1795" t="s">
        <v>1855</v>
      </c>
      <c r="J42" s="2148" t="s">
        <v>1856</v>
      </c>
      <c r="K42" s="2071" t="s">
        <v>1857</v>
      </c>
      <c r="L42" s="2071" t="s">
        <v>1858</v>
      </c>
      <c r="M42" s="2071" t="s">
        <v>1859</v>
      </c>
      <c r="N42" s="1795" t="s">
        <v>1860</v>
      </c>
      <c r="O42" s="1795" t="s">
        <v>1861</v>
      </c>
      <c r="P42" s="1795" t="s">
        <v>1862</v>
      </c>
      <c r="Q42" s="2070" t="s">
        <v>1863</v>
      </c>
      <c r="R42" s="2070" t="s">
        <v>1864</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3" sqref="F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hidden="1" customWidth="1"/>
    <col min="10" max="10" width="9.5" style="2155" hidden="1" customWidth="1"/>
    <col min="11" max="11" width="11" style="2155" customWidth="1"/>
    <col min="12" max="12" width="9.5" style="2155" customWidth="1"/>
    <col min="13" max="13" width="11" style="2155" hidden="1" customWidth="1"/>
    <col min="14" max="14" width="9.5" style="2155" hidden="1" customWidth="1"/>
    <col min="15" max="15" width="9.875" style="2155" hidden="1" customWidth="1"/>
    <col min="16" max="16" width="9.75" style="2155" hidden="1"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45" width="9.5" style="2155" hidden="1" customWidth="1"/>
    <col min="46"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Sheet1!H33</f>
        <v>1023.05</v>
      </c>
      <c r="B3" s="14">
        <f>IF(C3="否",G5-AT5,G5)</f>
        <v>8582.619999999999</v>
      </c>
      <c r="C3" s="2164" t="s">
        <v>1873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1874</v>
      </c>
      <c r="B5" s="1803"/>
      <c r="C5" s="1803"/>
      <c r="D5" s="1806"/>
      <c r="E5" s="16" t="s">
        <v>1</v>
      </c>
      <c r="F5" s="16">
        <f>SUM(F13:F587)</f>
        <v>0</v>
      </c>
      <c r="G5" s="16">
        <f>SUM(G13:G587)</f>
        <v>8582.619999999999</v>
      </c>
      <c r="H5" s="16">
        <f t="shared" ref="H5:AT5" si="0">SUM(H13:H656)</f>
        <v>8582.619999999999</v>
      </c>
      <c r="I5" s="16">
        <f t="shared" si="0"/>
        <v>0</v>
      </c>
      <c r="J5" s="16">
        <f t="shared" si="0"/>
        <v>0</v>
      </c>
      <c r="K5" s="16">
        <f t="shared" si="0"/>
        <v>8582.619999999999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8582.619999999999</v>
      </c>
      <c r="BA5" s="18">
        <f t="shared" si="1"/>
        <v>8582.619999999999</v>
      </c>
      <c r="BB5" s="18">
        <f t="shared" si="1"/>
        <v>0</v>
      </c>
      <c r="BC5" s="18">
        <f t="shared" si="1"/>
        <v>8582.619999999999</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1875</v>
      </c>
      <c r="B6" s="2170"/>
      <c r="C6" s="2170"/>
      <c r="D6" s="2171"/>
      <c r="E6" s="16">
        <f>H6+AC6+AT6</f>
        <v>1023.05</v>
      </c>
      <c r="F6" s="16" t="s">
        <v>1</v>
      </c>
      <c r="G6" s="16" t="s">
        <v>2</v>
      </c>
      <c r="H6" s="20">
        <f>SUMIF(I$12:AB$12,"总值",I6:AB6)</f>
        <v>1023.05</v>
      </c>
      <c r="I6" s="16">
        <f t="shared" ref="I6:AB6" si="2">ROUND($A$3*I5/$B$3,2)</f>
        <v>0</v>
      </c>
      <c r="J6" s="16">
        <f t="shared" si="2"/>
        <v>0</v>
      </c>
      <c r="K6" s="16">
        <f t="shared" si="2"/>
        <v>1023.05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1875</v>
      </c>
      <c r="AW6" s="2170"/>
      <c r="AX6" s="2170"/>
      <c r="AY6" s="21">
        <f>IF(AY3&gt;0,AY3,ROUND($A$3*AZ5/$B$3,2))</f>
        <v>1023.05</v>
      </c>
      <c r="AZ6" s="16" t="s">
        <v>3</v>
      </c>
      <c r="BA6" s="16">
        <f>ROUND($AY$6*BA5/$AZ$5,2)</f>
        <v>1023.05</v>
      </c>
      <c r="BB6" s="16">
        <f>ROUND($AY$6*BB5/$AZ$5,2)</f>
        <v>0</v>
      </c>
      <c r="BC6" s="16">
        <f t="shared" ref="BC6:BH6" si="4">ROUND($AY$6*BC5/$AZ$5,2)</f>
        <v>1023.05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1876</v>
      </c>
      <c r="B7" s="2105" t="s">
        <v>1877</v>
      </c>
      <c r="C7" s="2105" t="s">
        <v>1878</v>
      </c>
      <c r="D7" s="2105" t="s">
        <v>1879</v>
      </c>
      <c r="E7" s="2105" t="s">
        <v>1880</v>
      </c>
      <c r="F7" s="2105" t="s">
        <v>1881</v>
      </c>
      <c r="G7" s="2174" t="s">
        <v>1882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1883</v>
      </c>
      <c r="AV7" s="23" t="s">
        <v>1884</v>
      </c>
      <c r="AW7" s="2162" t="s">
        <v>1885</v>
      </c>
      <c r="AX7" s="23" t="s">
        <v>1878</v>
      </c>
      <c r="AY7" s="1803" t="s">
        <v>1886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1887</v>
      </c>
      <c r="H8" s="2180" t="s">
        <v>1888</v>
      </c>
      <c r="I8" s="2181"/>
      <c r="J8" s="1818"/>
      <c r="K8" s="1818"/>
      <c r="L8" s="1818"/>
      <c r="M8" s="1818"/>
      <c r="N8" s="1818"/>
      <c r="O8" s="1818"/>
      <c r="P8" s="1818"/>
      <c r="Q8" s="1818"/>
      <c r="R8" s="1818"/>
      <c r="S8" s="1818"/>
      <c r="T8" s="1818"/>
      <c r="U8" s="1818"/>
      <c r="V8" s="2182"/>
      <c r="W8" s="1818"/>
      <c r="X8" s="1818"/>
      <c r="Y8" s="1818"/>
      <c r="Z8" s="1818"/>
      <c r="AA8" s="2182"/>
      <c r="AB8" s="2183"/>
      <c r="AC8" s="981" t="s">
        <v>1889</v>
      </c>
      <c r="AD8" s="2184"/>
      <c r="AE8" s="2176"/>
      <c r="AF8" s="1818"/>
      <c r="AG8" s="1818"/>
      <c r="AH8" s="1818"/>
      <c r="AI8" s="1818"/>
      <c r="AJ8" s="1818"/>
      <c r="AK8" s="1818"/>
      <c r="AL8" s="1818"/>
      <c r="AM8" s="1818"/>
      <c r="AN8" s="1818"/>
      <c r="AO8" s="1818"/>
      <c r="AP8" s="1818"/>
      <c r="AQ8" s="1818"/>
      <c r="AR8" s="1818"/>
      <c r="AS8" s="1818"/>
      <c r="AT8" s="1292" t="s">
        <v>1890</v>
      </c>
      <c r="AU8" s="2178" t="s">
        <v>1891</v>
      </c>
      <c r="AV8" s="1292"/>
      <c r="AW8" s="2161"/>
      <c r="AX8" s="1292"/>
      <c r="AY8" s="2162"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1894</v>
      </c>
      <c r="I9" s="2187" t="s">
        <v>3058</v>
      </c>
      <c r="J9" s="981"/>
      <c r="K9" s="2187" t="s">
        <v>3058</v>
      </c>
      <c r="L9" s="981"/>
      <c r="M9" s="2187" t="s">
        <v>3058</v>
      </c>
      <c r="N9" s="981"/>
      <c r="O9" s="2187"/>
      <c r="P9" s="981"/>
      <c r="Q9" s="2187"/>
      <c r="R9" s="981"/>
      <c r="S9" s="2187"/>
      <c r="T9" s="981"/>
      <c r="U9" s="2187"/>
      <c r="V9" s="981"/>
      <c r="W9" s="2187"/>
      <c r="X9" s="2188"/>
      <c r="Y9" s="2187"/>
      <c r="Z9" s="981"/>
      <c r="AA9" s="2187"/>
      <c r="AB9" s="981"/>
      <c r="AC9" s="2179"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9"/>
      <c r="AT9" s="2178"/>
      <c r="AU9" s="2178" t="s">
        <v>1897</v>
      </c>
      <c r="AV9" s="1292"/>
      <c r="AW9" s="2161"/>
      <c r="AX9" s="1292"/>
      <c r="AY9" s="28"/>
      <c r="AZ9" s="28" t="s">
        <v>1887</v>
      </c>
      <c r="BA9" s="2190" t="s">
        <v>1898</v>
      </c>
      <c r="BB9" s="2191"/>
      <c r="BC9" s="1338"/>
      <c r="BD9" s="1338"/>
      <c r="BE9" s="1338"/>
      <c r="BF9" s="1338"/>
      <c r="BG9" s="1338"/>
      <c r="BH9" s="1338"/>
      <c r="BI9" s="1338"/>
      <c r="BJ9" s="1338"/>
      <c r="BK9" s="2192"/>
      <c r="BL9" s="15" t="s">
        <v>1899</v>
      </c>
      <c r="BM9" s="1818"/>
      <c r="BN9" s="2181"/>
      <c r="BO9" s="1818"/>
      <c r="BP9" s="1818"/>
      <c r="BQ9" s="1818"/>
      <c r="BR9" s="1818"/>
      <c r="BS9" s="1818"/>
      <c r="BT9" s="26"/>
    </row>
    <row r="10" spans="1:72" s="2185" customFormat="1" ht="12.75">
      <c r="A10" s="2178"/>
      <c r="B10" s="2178"/>
      <c r="C10" s="2178"/>
      <c r="D10" s="2178"/>
      <c r="E10" s="2178"/>
      <c r="F10" s="2178"/>
      <c r="G10" s="1292"/>
      <c r="H10" s="28"/>
      <c r="I10" s="2187" t="s">
        <v>3051</v>
      </c>
      <c r="J10" s="981"/>
      <c r="K10" s="2193" t="s">
        <v>1377</v>
      </c>
      <c r="L10" s="981"/>
      <c r="M10" s="2193" t="s">
        <v>1377</v>
      </c>
      <c r="N10" s="981"/>
      <c r="O10" s="2193"/>
      <c r="P10" s="981"/>
      <c r="Q10" s="2193"/>
      <c r="R10" s="981"/>
      <c r="S10" s="2193"/>
      <c r="T10" s="981"/>
      <c r="U10" s="2193"/>
      <c r="V10" s="981"/>
      <c r="W10" s="2193"/>
      <c r="X10" s="981"/>
      <c r="Y10" s="2193"/>
      <c r="Z10" s="981"/>
      <c r="AA10" s="2193"/>
      <c r="AB10" s="981"/>
      <c r="AC10" s="1292"/>
      <c r="AD10" s="15" t="s">
        <v>1900</v>
      </c>
      <c r="AE10" s="2194"/>
      <c r="AF10" s="15" t="s">
        <v>1900</v>
      </c>
      <c r="AG10" s="2194"/>
      <c r="AH10" s="15" t="s">
        <v>1901</v>
      </c>
      <c r="AI10" s="2194"/>
      <c r="AJ10" s="15" t="s">
        <v>1901</v>
      </c>
      <c r="AK10" s="2194"/>
      <c r="AL10" s="15" t="s">
        <v>1902</v>
      </c>
      <c r="AM10" s="1298"/>
      <c r="AN10" s="15" t="s">
        <v>1902</v>
      </c>
      <c r="AO10" s="1298"/>
      <c r="AP10" s="15" t="s">
        <v>1903</v>
      </c>
      <c r="AQ10" s="1298"/>
      <c r="AR10" s="15" t="s">
        <v>1903</v>
      </c>
      <c r="AS10" s="1298"/>
      <c r="AT10" s="2178"/>
      <c r="AU10" s="2178"/>
      <c r="AV10" s="1292"/>
      <c r="AW10" s="2161"/>
      <c r="AX10" s="1292"/>
      <c r="AY10" s="28"/>
      <c r="AZ10" s="28"/>
      <c r="BA10" s="2195" t="s">
        <v>1894</v>
      </c>
      <c r="BB10" s="2196" t="str">
        <f>I9</f>
        <v>地上</v>
      </c>
      <c r="BC10" s="29" t="str">
        <f>K9</f>
        <v>地上</v>
      </c>
      <c r="BD10" s="29" t="str">
        <f>M9</f>
        <v>地上</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3059</v>
      </c>
      <c r="J11" s="2199"/>
      <c r="K11" s="2198" t="s">
        <v>3060</v>
      </c>
      <c r="L11" s="2199"/>
      <c r="M11" s="2198" t="s">
        <v>3061</v>
      </c>
      <c r="N11" s="2199"/>
      <c r="O11" s="2198"/>
      <c r="P11" s="2199"/>
      <c r="Q11" s="2198"/>
      <c r="R11" s="2199"/>
      <c r="S11" s="2198"/>
      <c r="T11" s="2199"/>
      <c r="U11" s="2198"/>
      <c r="V11" s="2199"/>
      <c r="W11" s="2198"/>
      <c r="X11" s="2199"/>
      <c r="Y11" s="2198"/>
      <c r="Z11" s="2199"/>
      <c r="AA11" s="2198"/>
      <c r="AB11" s="2199"/>
      <c r="AC11" s="1292"/>
      <c r="AD11" s="2200" t="s">
        <v>1904</v>
      </c>
      <c r="AE11" s="1819"/>
      <c r="AF11" s="2200" t="s">
        <v>1904</v>
      </c>
      <c r="AG11" s="1819"/>
      <c r="AH11" s="2200" t="s">
        <v>1905</v>
      </c>
      <c r="AI11" s="2201"/>
      <c r="AJ11" s="2200" t="s">
        <v>1905</v>
      </c>
      <c r="AK11" s="1819"/>
      <c r="AL11" s="1817"/>
      <c r="AM11" s="1819"/>
      <c r="AN11" s="1817"/>
      <c r="AO11" s="1819"/>
      <c r="AP11" s="1817"/>
      <c r="AQ11" s="1819"/>
      <c r="AR11" s="1817"/>
      <c r="AS11" s="1819"/>
      <c r="AT11" s="2161"/>
      <c r="AU11" s="2178"/>
      <c r="AV11" s="1292"/>
      <c r="AW11" s="2161"/>
      <c r="AX11" s="1292"/>
      <c r="AY11" s="28"/>
      <c r="AZ11" s="28"/>
      <c r="BA11" s="28"/>
      <c r="BB11" s="2183" t="str">
        <f>I10</f>
        <v>住宅</v>
      </c>
      <c r="BC11" s="2183" t="str">
        <f>K10</f>
        <v>商业</v>
      </c>
      <c r="BD11" s="2183" t="str">
        <f>M10</f>
        <v>商业</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5"/>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3" t="s">
        <v>1907</v>
      </c>
      <c r="AT12" s="2206"/>
      <c r="AU12" s="2203"/>
      <c r="AV12" s="31"/>
      <c r="AW12" s="2162"/>
      <c r="AX12" s="31"/>
      <c r="AY12" s="2207"/>
      <c r="AZ12" s="28"/>
      <c r="BA12" s="2195"/>
      <c r="BB12" s="24" t="str">
        <f>I11</f>
        <v>普通住宅</v>
      </c>
      <c r="BC12" s="2208" t="str">
        <f>K11</f>
        <v>底商</v>
      </c>
      <c r="BD12" s="2208" t="str">
        <f>M11</f>
        <v>办公楼</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58.5" customHeight="1">
      <c r="A13" s="1272"/>
      <c r="B13" s="2948" t="str">
        <f>项目基本情况!E17</f>
        <v>《不动产权证书》[鄂（2018）武汉市江夏不动产权第0016999号等31件]</v>
      </c>
      <c r="C13" s="2943"/>
      <c r="D13" s="2209" t="s">
        <v>3052</v>
      </c>
      <c r="E13" s="16">
        <f>IF($C$3="是",ROUND($A$3*G13/$B$3,2),ROUND($A$3*(G13-AT13)/$B$3,2))</f>
        <v>1023.05</v>
      </c>
      <c r="F13" s="32"/>
      <c r="G13" s="33">
        <f>H13+AC13+AT13</f>
        <v>8582.619999999999</v>
      </c>
      <c r="H13" s="20">
        <f>SUMIF(I$12:AB$12,"总值",I13:AB13)</f>
        <v>8582.619999999999</v>
      </c>
      <c r="I13" s="2210"/>
      <c r="J13" s="2210"/>
      <c r="K13" s="2210">
        <f>Sheet1!I33</f>
        <v>8582.619999999999</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t="str">
        <f t="shared" si="6"/>
        <v>《不动产权证书》[鄂（2018）武汉市江夏不动产权第0016999号等31件]</v>
      </c>
      <c r="AX13" s="11">
        <f t="shared" si="6"/>
        <v>0</v>
      </c>
      <c r="AY13" s="1806">
        <f>ROUND($AY$6*AZ13/$AZ$5,2)</f>
        <v>1023.05</v>
      </c>
      <c r="AZ13" s="16">
        <f>BA13+BL13</f>
        <v>8582.619999999999</v>
      </c>
      <c r="BA13" s="16">
        <f>SUM(BB13:BK13)</f>
        <v>8582.619999999999</v>
      </c>
      <c r="BB13" s="16">
        <f>IF($D13="是",I13-J13,0)</f>
        <v>0</v>
      </c>
      <c r="BC13" s="16">
        <f>IF($D13="是",K13-L13,0)</f>
        <v>8582.619999999999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2943"/>
      <c r="C14" s="2943"/>
      <c r="D14" s="2209" t="s">
        <v>3053</v>
      </c>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2943"/>
      <c r="C15" s="2943"/>
      <c r="D15" s="2209" t="s">
        <v>3053</v>
      </c>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2943"/>
      <c r="C16" s="2943"/>
      <c r="D16" s="2209" t="s">
        <v>3053</v>
      </c>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2943"/>
      <c r="C17" s="2943"/>
      <c r="D17" s="2209" t="s">
        <v>3053</v>
      </c>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3"/>
      <c r="C18" s="2943"/>
      <c r="D18" s="2214" t="s">
        <v>3053</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3"/>
      <c r="C19" s="2943"/>
      <c r="D19" s="2214" t="s">
        <v>3052</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3"/>
      <c r="C20" s="2943"/>
      <c r="D20" s="2214" t="s">
        <v>70</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1" sqref="A21:XFD2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1933</v>
      </c>
      <c r="B1" s="1392"/>
      <c r="C1" s="1392"/>
      <c r="D1" s="1392"/>
      <c r="E1" s="1392"/>
      <c r="F1" s="1392"/>
      <c r="G1" s="1392"/>
      <c r="H1" s="1392"/>
      <c r="I1" s="1392"/>
      <c r="J1" s="1392"/>
      <c r="K1" s="1392"/>
      <c r="L1" s="1392"/>
      <c r="M1" s="1392"/>
      <c r="N1" s="1392"/>
      <c r="O1" s="1392"/>
      <c r="P1" s="1392"/>
    </row>
    <row r="2" spans="1:16" ht="15">
      <c r="A2" s="3053" t="s">
        <v>1934</v>
      </c>
      <c r="B2" s="3053"/>
      <c r="C2" s="3053"/>
      <c r="D2" s="967" t="s">
        <v>1910</v>
      </c>
      <c r="E2" s="2223" t="s">
        <v>1911</v>
      </c>
      <c r="F2" s="1392"/>
      <c r="G2" s="2224"/>
      <c r="H2" s="2225"/>
      <c r="I2" s="2226" t="s">
        <v>1935</v>
      </c>
      <c r="J2" s="1392"/>
      <c r="K2" s="1392"/>
      <c r="L2" s="1392"/>
      <c r="M2" s="1392"/>
      <c r="N2" s="1427"/>
      <c r="O2" s="1392"/>
      <c r="P2" s="1392"/>
    </row>
    <row r="3" spans="1:16" ht="15.75" thickBot="1">
      <c r="A3" s="3054" t="s">
        <v>1908</v>
      </c>
      <c r="B3" s="3054"/>
      <c r="C3" s="3054"/>
      <c r="D3" s="46">
        <f>'数据-基础表'!AY6</f>
        <v>1023.05</v>
      </c>
      <c r="E3" s="46">
        <f>'数据-基础表'!AZ5</f>
        <v>8582.619999999999</v>
      </c>
      <c r="F3" s="1392"/>
      <c r="G3" s="1399"/>
      <c r="H3" s="1247" t="s">
        <v>1909</v>
      </c>
      <c r="I3" s="55">
        <f>ROUND('数据-基础表'!B3/'数据-基础表'!A3,2)</f>
        <v>8.39</v>
      </c>
      <c r="J3" s="1392"/>
      <c r="K3" s="1392"/>
      <c r="L3" s="1392"/>
      <c r="M3" s="1392"/>
      <c r="N3" s="1427"/>
      <c r="O3" s="1392"/>
      <c r="P3" s="1392"/>
    </row>
    <row r="4" spans="1:16" ht="15">
      <c r="A4" s="3055"/>
      <c r="B4" s="3056"/>
      <c r="C4" s="3057"/>
      <c r="D4" s="2227" t="s">
        <v>1910</v>
      </c>
      <c r="E4" s="2228" t="s">
        <v>1911</v>
      </c>
      <c r="F4" s="1392"/>
      <c r="G4" s="2229" t="s">
        <v>1936</v>
      </c>
      <c r="H4" s="1247" t="s">
        <v>1916</v>
      </c>
      <c r="I4" s="55">
        <f>ROUND(SUMIF('数据-基础表'!I9:AS9,"地上",'数据-基础表'!I5:AS5)/'数据-基础表'!A3,2)</f>
        <v>8.39</v>
      </c>
      <c r="J4" s="1392"/>
      <c r="K4" s="1392"/>
      <c r="L4" s="1392"/>
      <c r="M4" s="1392"/>
      <c r="N4" s="1427"/>
      <c r="O4" s="1392"/>
      <c r="P4" s="1392"/>
    </row>
    <row r="5" spans="1:16">
      <c r="A5" s="47" t="s">
        <v>1912</v>
      </c>
      <c r="B5" s="3058" t="s">
        <v>1913</v>
      </c>
      <c r="C5" s="3058"/>
      <c r="D5" s="48">
        <f>ROUND($D$3*E5/$E$3,2)</f>
        <v>0</v>
      </c>
      <c r="E5" s="49">
        <f>SUMIF('数据-基础表'!$11:$11,"住宅",'数据-基础表'!$5:$5)</f>
        <v>0</v>
      </c>
      <c r="F5" s="1392"/>
      <c r="G5" s="1399"/>
      <c r="H5" s="1247" t="s">
        <v>1909</v>
      </c>
      <c r="I5" s="55">
        <f>ROUND(E31/D31,2)</f>
        <v>8.39</v>
      </c>
      <c r="J5" s="1392"/>
      <c r="K5" s="1392"/>
      <c r="L5" s="1392"/>
      <c r="M5" s="1392"/>
      <c r="N5" s="1392"/>
      <c r="O5" s="1392"/>
      <c r="P5" s="1392"/>
    </row>
    <row r="6" spans="1:16" ht="15" thickBot="1">
      <c r="A6" s="2230"/>
      <c r="B6" s="3058" t="s">
        <v>1914</v>
      </c>
      <c r="C6" s="3058"/>
      <c r="D6" s="48">
        <f>ROUND($D$3*E6/$E$3,2)</f>
        <v>1023.05</v>
      </c>
      <c r="E6" s="49">
        <f>E3-E5</f>
        <v>8582.619999999999</v>
      </c>
      <c r="F6" s="1392"/>
      <c r="G6" s="2231" t="s">
        <v>1915</v>
      </c>
      <c r="H6" s="1399" t="s">
        <v>1916</v>
      </c>
      <c r="I6" s="939">
        <f>ROUND(F31/D31,2)</f>
        <v>8.39</v>
      </c>
      <c r="J6" s="1392"/>
      <c r="K6" s="1392"/>
      <c r="L6" s="1392"/>
      <c r="M6" s="1392"/>
      <c r="N6" s="1392"/>
      <c r="O6" s="1392"/>
      <c r="P6" s="1392"/>
    </row>
    <row r="7" spans="1:16" ht="15">
      <c r="A7" s="3050"/>
      <c r="B7" s="3051"/>
      <c r="C7" s="3052"/>
      <c r="D7" s="2227" t="s">
        <v>1910</v>
      </c>
      <c r="E7" s="2232" t="s">
        <v>1917</v>
      </c>
      <c r="F7" s="1392"/>
      <c r="G7" s="2224" t="s">
        <v>1918</v>
      </c>
      <c r="H7" s="64"/>
      <c r="I7" s="420"/>
      <c r="J7" s="1392"/>
      <c r="K7" s="1392"/>
      <c r="L7" s="1392"/>
      <c r="M7" s="1392"/>
      <c r="N7" s="1392"/>
      <c r="O7" s="1392"/>
      <c r="P7" s="1392"/>
    </row>
    <row r="8" spans="1:16">
      <c r="A8" s="47" t="s">
        <v>1919</v>
      </c>
      <c r="B8" s="50" t="s">
        <v>1920</v>
      </c>
      <c r="C8" s="48" t="s">
        <v>1921</v>
      </c>
      <c r="D8" s="48">
        <f t="shared" ref="D8:D15" si="0">ROUND($D$3*E8/$E$3,2)</f>
        <v>1023.05</v>
      </c>
      <c r="E8" s="51">
        <f>SUMIF('数据-基础表'!BB10:BK10,"地上",'数据-基础表'!BB5:BK5)</f>
        <v>8582.619999999999</v>
      </c>
      <c r="F8" s="1392"/>
      <c r="G8" s="2233"/>
      <c r="H8" s="2233"/>
      <c r="I8" s="1392"/>
      <c r="J8" s="1392"/>
      <c r="K8" s="1392"/>
      <c r="L8" s="1392"/>
      <c r="M8" s="1392"/>
      <c r="N8" s="1392"/>
      <c r="O8" s="1392"/>
      <c r="P8" s="1392"/>
    </row>
    <row r="9" spans="1:16">
      <c r="A9" s="2234"/>
      <c r="B9" s="2235"/>
      <c r="C9" s="48" t="s">
        <v>1922</v>
      </c>
      <c r="D9" s="48">
        <f t="shared" si="0"/>
        <v>0</v>
      </c>
      <c r="E9" s="52">
        <v>0</v>
      </c>
      <c r="F9" s="1392"/>
      <c r="G9" s="2233"/>
      <c r="H9" s="2233"/>
      <c r="I9" s="1392"/>
      <c r="J9" s="1392"/>
      <c r="K9" s="1392"/>
      <c r="L9" s="1392"/>
      <c r="M9" s="1392"/>
      <c r="N9" s="1392"/>
      <c r="O9" s="1392"/>
      <c r="P9" s="1392"/>
    </row>
    <row r="10" spans="1:16">
      <c r="A10" s="2234"/>
      <c r="B10" s="2235"/>
      <c r="C10" s="48" t="s">
        <v>1931</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1923</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1924</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1925</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1937</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1932</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1926</v>
      </c>
      <c r="D16" s="50">
        <f>SUM(D8:D15)</f>
        <v>1023.05</v>
      </c>
      <c r="E16" s="53">
        <f>SUM(E8:E15)</f>
        <v>8582.619999999999</v>
      </c>
      <c r="F16" s="1392"/>
      <c r="G16" s="2233"/>
      <c r="H16" s="2236" t="s">
        <v>1938</v>
      </c>
      <c r="I16" s="2237"/>
      <c r="J16" s="1392"/>
      <c r="K16" s="3047" t="s">
        <v>1938</v>
      </c>
      <c r="L16" s="3048"/>
      <c r="M16" s="3048"/>
      <c r="N16" s="3048"/>
      <c r="O16" s="3048"/>
      <c r="P16" s="3049"/>
    </row>
    <row r="17" spans="1:19" ht="15">
      <c r="A17" s="2238" t="s">
        <v>1939</v>
      </c>
      <c r="B17" s="2239" t="s">
        <v>1940</v>
      </c>
      <c r="C17" s="2240" t="s">
        <v>1941</v>
      </c>
      <c r="D17" s="2241" t="s">
        <v>1929</v>
      </c>
      <c r="E17" s="2242" t="s">
        <v>1930</v>
      </c>
      <c r="F17" s="2243"/>
      <c r="G17" s="2244"/>
      <c r="H17" s="2245" t="s">
        <v>1942</v>
      </c>
      <c r="I17" s="2246" t="s">
        <v>1927</v>
      </c>
      <c r="J17" s="1392"/>
      <c r="K17" s="3044" t="s">
        <v>1943</v>
      </c>
      <c r="L17" s="3045"/>
      <c r="M17" s="3046"/>
      <c r="N17" s="3044" t="s">
        <v>1944</v>
      </c>
      <c r="O17" s="3045"/>
      <c r="P17" s="3046"/>
      <c r="R17" s="2224" t="s">
        <v>1945</v>
      </c>
      <c r="S17" s="64"/>
    </row>
    <row r="18" spans="1:19" ht="15">
      <c r="A18" s="2234"/>
      <c r="B18" s="2247"/>
      <c r="C18" s="2248"/>
      <c r="D18" s="2249"/>
      <c r="E18" s="2250" t="s">
        <v>1946</v>
      </c>
      <c r="F18" s="2251" t="s">
        <v>1947</v>
      </c>
      <c r="G18" s="2252" t="s">
        <v>1948</v>
      </c>
      <c r="H18" s="1262" t="s">
        <v>1949</v>
      </c>
      <c r="I18" s="2253" t="s">
        <v>1950</v>
      </c>
      <c r="J18" s="1392"/>
      <c r="K18" s="1262" t="s">
        <v>1951</v>
      </c>
      <c r="L18" s="2254" t="s">
        <v>1952</v>
      </c>
      <c r="M18" s="1046" t="s">
        <v>1953</v>
      </c>
      <c r="N18" s="1262" t="s">
        <v>1951</v>
      </c>
      <c r="O18" s="2254" t="s">
        <v>1952</v>
      </c>
      <c r="P18" s="1046" t="s">
        <v>1953</v>
      </c>
      <c r="R18" s="1247" t="s">
        <v>1954</v>
      </c>
      <c r="S18" s="1247" t="s">
        <v>1955</v>
      </c>
    </row>
    <row r="19" spans="1:19">
      <c r="A19" s="2255"/>
      <c r="B19" s="50" t="s">
        <v>1928</v>
      </c>
      <c r="C19" s="2256" t="s">
        <v>3141</v>
      </c>
      <c r="D19" s="48">
        <f>ROUND($D$3*E19/$E$3,2)</f>
        <v>6.5</v>
      </c>
      <c r="E19" s="56">
        <f t="shared" ref="E19:E26" si="1">SUM(F19:G19)</f>
        <v>54.53</v>
      </c>
      <c r="F19" s="57">
        <f>Sheet1!I2</f>
        <v>54.53</v>
      </c>
      <c r="G19" s="58"/>
      <c r="H19" s="720">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6.5</v>
      </c>
      <c r="S19" s="1248">
        <f t="shared" si="5"/>
        <v>54.53</v>
      </c>
    </row>
    <row r="20" spans="1:19">
      <c r="A20" s="2259"/>
      <c r="B20" s="50" t="s">
        <v>1956</v>
      </c>
      <c r="C20" s="2949" t="s">
        <v>3142</v>
      </c>
      <c r="D20" s="48">
        <f t="shared" ref="D20:D26" si="6">ROUND($D$3*E20/$E$3,2)</f>
        <v>1016.55</v>
      </c>
      <c r="E20" s="56">
        <f t="shared" si="1"/>
        <v>8528.0899999999983</v>
      </c>
      <c r="F20" s="57">
        <f>Sheet1!I33-'数据-汇总表'!F19</f>
        <v>8528.0899999999983</v>
      </c>
      <c r="G20" s="58"/>
      <c r="H20" s="720">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1016.55</v>
      </c>
      <c r="S20" s="1248">
        <f t="shared" si="5"/>
        <v>8528.0899999999983</v>
      </c>
    </row>
    <row r="21" spans="1:19" hidden="1">
      <c r="A21" s="2259"/>
      <c r="B21" s="50" t="s">
        <v>1956</v>
      </c>
      <c r="C21" s="2256"/>
      <c r="D21" s="48">
        <f t="shared" si="6"/>
        <v>0</v>
      </c>
      <c r="E21" s="56">
        <f t="shared" si="1"/>
        <v>0</v>
      </c>
      <c r="F21" s="57"/>
      <c r="G21" s="58"/>
      <c r="H21" s="720">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hidden="1">
      <c r="A22" s="2259"/>
      <c r="B22" s="50" t="s">
        <v>1956</v>
      </c>
      <c r="C22" s="60"/>
      <c r="D22" s="48">
        <f t="shared" si="6"/>
        <v>0</v>
      </c>
      <c r="E22" s="56">
        <f t="shared" si="1"/>
        <v>0</v>
      </c>
      <c r="F22" s="61"/>
      <c r="G22" s="62"/>
      <c r="H22" s="720">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hidden="1">
      <c r="A23" s="2259"/>
      <c r="B23" s="50" t="s">
        <v>1956</v>
      </c>
      <c r="C23" s="60"/>
      <c r="D23" s="48">
        <f>ROUND($D$3*E23/$E$3,2)</f>
        <v>0</v>
      </c>
      <c r="E23" s="56">
        <f>SUM(F23:G23)</f>
        <v>0</v>
      </c>
      <c r="F23" s="61"/>
      <c r="G23" s="62"/>
      <c r="H23" s="720">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hidden="1">
      <c r="A24" s="2259"/>
      <c r="B24" s="50" t="s">
        <v>1956</v>
      </c>
      <c r="C24" s="60"/>
      <c r="D24" s="48">
        <f>ROUND($D$3*E24/$E$3,2)</f>
        <v>0</v>
      </c>
      <c r="E24" s="56">
        <f>SUM(F24:G24)</f>
        <v>0</v>
      </c>
      <c r="F24" s="61"/>
      <c r="G24" s="62"/>
      <c r="H24" s="720">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hidden="1">
      <c r="A25" s="2259"/>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hidden="1">
      <c r="A26" s="2259"/>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1957</v>
      </c>
      <c r="D27" s="1393">
        <f>SUM(D19:D26)</f>
        <v>1023.05</v>
      </c>
      <c r="E27" s="1394">
        <f>IF(SUM(E19:E26)='数据-基础表'!BA5,SUM(E19:E26),IF(F27="地上面积有误","面积有误","地下面积有误"))</f>
        <v>8582.619999999999</v>
      </c>
      <c r="F27" s="1393">
        <f>IF(SUM(F19:F26)=E8,SUM(F19:F26),"地上面积有误")</f>
        <v>8582.619999999999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1023.05</v>
      </c>
      <c r="S27" s="1247">
        <f>IF(SUM(S19:S26)=$E$3,SUM(S19:S26),SUM(S19:S26)&amp;"误差"&amp;ROUND(SUM(S19:S26)-E3,2))</f>
        <v>8582.619999999999</v>
      </c>
    </row>
    <row r="28" spans="1:19">
      <c r="A28" s="2259"/>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1958</v>
      </c>
      <c r="C29" s="2263"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1961</v>
      </c>
      <c r="D31" s="726">
        <f>D27+D30</f>
        <v>1023.05</v>
      </c>
      <c r="E31" s="726">
        <f>E27+E30</f>
        <v>8582.619999999999</v>
      </c>
      <c r="F31" s="727">
        <f>F27+F30</f>
        <v>8582.619999999999</v>
      </c>
      <c r="G31" s="728">
        <f>G27+G30</f>
        <v>0</v>
      </c>
      <c r="H31" s="1392"/>
      <c r="I31" s="1392"/>
      <c r="J31" s="1392"/>
      <c r="K31" s="1392"/>
      <c r="L31" s="1392"/>
      <c r="M31" s="1392"/>
      <c r="N31" s="1392"/>
      <c r="O31" s="1392"/>
      <c r="P31" s="1392"/>
    </row>
    <row r="32" spans="1:19">
      <c r="A32" s="2229"/>
      <c r="B32" s="2229" t="s">
        <v>1962</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35"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1963</v>
      </c>
      <c r="B1" s="729"/>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1964</v>
      </c>
      <c r="B2" s="1266">
        <f>项目基本情况!D3</f>
        <v>43262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1965</v>
      </c>
      <c r="B4" s="2277"/>
      <c r="C4" s="2278"/>
      <c r="D4" s="2279"/>
      <c r="E4" s="2278" t="s">
        <v>1966</v>
      </c>
      <c r="F4" s="2278"/>
      <c r="G4" s="2278"/>
      <c r="H4" s="2278"/>
      <c r="I4" s="2278"/>
      <c r="J4" s="2280"/>
      <c r="K4" s="2281"/>
      <c r="L4" s="2282"/>
      <c r="M4" s="2278"/>
      <c r="N4" s="2278" t="s">
        <v>1967</v>
      </c>
      <c r="O4" s="2278"/>
      <c r="P4" s="2278"/>
      <c r="Q4" s="2278"/>
      <c r="R4" s="2278"/>
      <c r="S4" s="2280"/>
      <c r="T4" s="2283" t="str">
        <f>'数据-汇总表'!I17</f>
        <v>按面积比例</v>
      </c>
      <c r="U4" s="2277" t="s">
        <v>1968</v>
      </c>
      <c r="V4" s="2278"/>
      <c r="W4" s="2278"/>
      <c r="X4" s="2278"/>
      <c r="Y4" s="2280"/>
      <c r="Z4" s="2240" t="s">
        <v>1969</v>
      </c>
      <c r="AA4" s="2240"/>
      <c r="AB4" s="2240"/>
      <c r="AC4" s="2240"/>
      <c r="AD4" s="2240"/>
      <c r="AE4" s="2238" t="s">
        <v>1970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1971</v>
      </c>
      <c r="B5" s="2286" t="s">
        <v>1972</v>
      </c>
      <c r="C5" s="2287" t="s">
        <v>1973</v>
      </c>
      <c r="D5" s="2288" t="s">
        <v>1974</v>
      </c>
      <c r="E5" s="1268" t="s">
        <v>1975</v>
      </c>
      <c r="F5" s="2289" t="s">
        <v>1976</v>
      </c>
      <c r="G5" s="1268" t="s">
        <v>1977</v>
      </c>
      <c r="H5" s="1268" t="s">
        <v>1978</v>
      </c>
      <c r="I5" s="1268" t="s">
        <v>1979</v>
      </c>
      <c r="J5" s="2290" t="s">
        <v>1980</v>
      </c>
      <c r="K5" s="2291" t="s">
        <v>1981</v>
      </c>
      <c r="L5" s="2292" t="s">
        <v>1982</v>
      </c>
      <c r="M5" s="2293" t="s">
        <v>1983</v>
      </c>
      <c r="N5" s="2294" t="s">
        <v>3143</v>
      </c>
      <c r="O5" s="2292" t="s">
        <v>1984</v>
      </c>
      <c r="P5" s="2295" t="s">
        <v>1985</v>
      </c>
      <c r="Q5" s="69" t="s">
        <v>1986</v>
      </c>
      <c r="R5" s="2296" t="s">
        <v>1987</v>
      </c>
      <c r="S5" s="2297" t="s">
        <v>1988</v>
      </c>
      <c r="T5" s="2298" t="s">
        <v>1989</v>
      </c>
      <c r="U5" s="1267" t="s">
        <v>1990</v>
      </c>
      <c r="V5" s="1268" t="s">
        <v>1991</v>
      </c>
      <c r="W5" s="1268" t="s">
        <v>1992</v>
      </c>
      <c r="X5" s="71"/>
      <c r="Y5" s="70" t="s">
        <v>1993</v>
      </c>
      <c r="Z5" s="2299" t="s">
        <v>1990</v>
      </c>
      <c r="AA5" s="1268" t="s">
        <v>1991</v>
      </c>
      <c r="AB5" s="1268" t="s">
        <v>1992</v>
      </c>
      <c r="AC5" s="71"/>
      <c r="AD5" s="71" t="s">
        <v>1993</v>
      </c>
      <c r="AE5" s="1267" t="s">
        <v>1994</v>
      </c>
      <c r="AF5" s="1268" t="s">
        <v>1995</v>
      </c>
      <c r="AG5" s="70" t="s">
        <v>1996</v>
      </c>
      <c r="AH5" s="1267" t="s">
        <v>1997</v>
      </c>
      <c r="AI5" s="2299" t="s">
        <v>1998</v>
      </c>
      <c r="AJ5" s="2299" t="s">
        <v>1999</v>
      </c>
      <c r="AK5" s="1268" t="s">
        <v>2000</v>
      </c>
      <c r="AL5" s="1268" t="s">
        <v>2001</v>
      </c>
      <c r="AM5" s="70" t="s">
        <v>2002</v>
      </c>
      <c r="AN5" s="2300" t="s">
        <v>2003</v>
      </c>
      <c r="AO5" s="2070" t="s">
        <v>2004</v>
      </c>
      <c r="AP5" s="1249" t="s">
        <v>2005</v>
      </c>
      <c r="AQ5" s="2301" t="s">
        <v>2006</v>
      </c>
      <c r="AR5" s="2301" t="s">
        <v>2007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5">
      <c r="A6" s="2302" t="str">
        <f>'数据-汇总表'!C19</f>
        <v>2-4栋/单元1-2层1号</v>
      </c>
      <c r="B6" s="2303" t="str">
        <f>IF(A6=0,"","经营性")</f>
        <v>经营性</v>
      </c>
      <c r="C6" s="2304" t="s">
        <v>1377</v>
      </c>
      <c r="D6" s="1051">
        <f>SUMIF(项目基本情况!D$12:I$12,C6,项目基本情况!D$14:I$14)</f>
        <v>40</v>
      </c>
      <c r="E6" s="1048">
        <f>IF(B6="","",SUMIF(项目基本情况!D$12:I$12,C6,项目基本情况!D$13:I$13))</f>
        <v>53800</v>
      </c>
      <c r="F6" s="72">
        <f>SUMIF(项目基本情况!D$12:I$12,C6,项目基本情况!D$15:I$15)</f>
        <v>28.87</v>
      </c>
      <c r="G6" s="73">
        <f>IF(ISERROR(ROUND(POWER(1+H6,D6-F6)*(POWER(1+H6,F6)-1)/(POWER(1+H6,D6)-1),3)),0,ROUND(POWER(1+H6,D6-F6)*(POWER(1+H6,F6)-1)/(POWER(1+H6,D6)-1),3))</f>
        <v>0.88100000000000001</v>
      </c>
      <c r="H6" s="799">
        <v>0.05</v>
      </c>
      <c r="I6" s="799">
        <v>5.5E-2</v>
      </c>
      <c r="J6" s="74">
        <v>8.5000000000000006E-2</v>
      </c>
      <c r="K6" s="1251">
        <f>SUMIF('数据-汇总表'!C$19:C$33,A6,'数据-汇总表'!E$19:E$33)</f>
        <v>54.53</v>
      </c>
      <c r="L6" s="800">
        <v>2200</v>
      </c>
      <c r="M6" s="75">
        <f t="shared" ref="M6:M14" si="0">ROUND(K6*L6/10000,0)</f>
        <v>12</v>
      </c>
      <c r="N6" s="2968">
        <f>ROUND(1-1/60,2)</f>
        <v>0.98</v>
      </c>
      <c r="O6" s="75" t="str">
        <f>IF($N$5="成新度","——",ROUND(M6*N6,0))</f>
        <v>——</v>
      </c>
      <c r="P6" s="76" t="str">
        <f>IF($N$5="成新度","——",M6-O6)</f>
        <v>——</v>
      </c>
      <c r="Q6" s="801">
        <v>0.2</v>
      </c>
      <c r="R6" s="77">
        <f ca="1">SUMIF('数据-汇总表'!C$19:C$33,A6,'数据-汇总表'!R$19:R$27)</f>
        <v>6.5</v>
      </c>
      <c r="S6" s="54">
        <f>IF('数据-汇总表'!$I$17="按面积比例",SUMIF('数据-汇总表'!C$19:C$33,A6,'数据-汇总表'!K$19:K$33),SUMIF('数据-汇总表'!C$19:C$33,A6,'数据-汇总表'!N$19:N$33))</f>
        <v>0</v>
      </c>
      <c r="T6" s="1443">
        <f>ROUND($L$14*S6/10000,0)</f>
        <v>0</v>
      </c>
      <c r="U6" s="78">
        <v>3.5</v>
      </c>
      <c r="V6" s="79">
        <v>3.5000000000000003E-2</v>
      </c>
      <c r="W6" s="79">
        <v>0.1</v>
      </c>
      <c r="X6" s="1261"/>
      <c r="Y6" s="2969">
        <f>N6</f>
        <v>0.98</v>
      </c>
      <c r="Z6" s="81"/>
      <c r="AA6" s="74"/>
      <c r="AB6" s="74"/>
      <c r="AC6" s="1261"/>
      <c r="AD6" s="82"/>
      <c r="AE6" s="1262">
        <f ca="1">IF(AN6="",0,SUMIF(INDIRECT("'"&amp;AN6&amp;"'"&amp;"!E:E"),$AE$5,INDIRECT("'"&amp;AN6&amp;"'"&amp;"!F:F")))</f>
        <v>28.87</v>
      </c>
      <c r="AF6" s="1804"/>
      <c r="AG6" s="147">
        <f>IF(AF6="",0,AE6-AF6)</f>
        <v>0</v>
      </c>
      <c r="AH6" s="83"/>
      <c r="AI6" s="85">
        <v>365</v>
      </c>
      <c r="AJ6" s="86"/>
      <c r="AK6" s="87">
        <v>1.4999999999999999E-2</v>
      </c>
      <c r="AL6" s="88">
        <v>1.5E-3</v>
      </c>
      <c r="AM6" s="89">
        <v>0.01</v>
      </c>
      <c r="AN6" s="2305" t="s">
        <v>3144</v>
      </c>
      <c r="AO6" s="55">
        <f ca="1">SUMIF(INDIRECT("'"&amp;AN6&amp;"'"&amp;"!A:A"),"总价",INDIRECT("'"&amp;AN6&amp;"'"&amp;"!B:B"))</f>
        <v>103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剩余</v>
      </c>
      <c r="B7" s="2303" t="str">
        <f t="shared" ref="B7:B13" si="1">IF(A7=0,"","经营性")</f>
        <v>经营性</v>
      </c>
      <c r="C7" s="2304" t="s">
        <v>1377</v>
      </c>
      <c r="D7" s="1051">
        <f>SUMIF(项目基本情况!D$12:I$12,C7,项目基本情况!D$14:I$14)</f>
        <v>40</v>
      </c>
      <c r="E7" s="1048">
        <f>IF(B7="","",SUMIF(项目基本情况!D$12:I$12,C7,项目基本情况!D$13:I$13))</f>
        <v>53800</v>
      </c>
      <c r="F7" s="72">
        <f>SUMIF(项目基本情况!D$12:I$12,C7,项目基本情况!D$15:I$15)</f>
        <v>28.87</v>
      </c>
      <c r="G7" s="73">
        <f t="shared" ref="G7:G11" si="2">IF(ISERROR(ROUND(POWER(1+H7,D7-F7)*(POWER(1+H7,F7)-1)/(POWER(1+H7,D7)-1),3)),0,ROUND(POWER(1+H7,D7-F7)*(POWER(1+H7,F7)-1)/(POWER(1+H7,D7)-1),3))</f>
        <v>0.88100000000000001</v>
      </c>
      <c r="H7" s="799">
        <v>0.05</v>
      </c>
      <c r="I7" s="799">
        <v>5.5E-2</v>
      </c>
      <c r="J7" s="74">
        <v>8.5000000000000006E-2</v>
      </c>
      <c r="K7" s="1251">
        <f>SUMIF('数据-汇总表'!C$19:C$33,A7,'数据-汇总表'!E$19:E$33)</f>
        <v>8528.0899999999983</v>
      </c>
      <c r="L7" s="800">
        <v>2200</v>
      </c>
      <c r="M7" s="75">
        <f t="shared" si="0"/>
        <v>1876</v>
      </c>
      <c r="N7" s="2968">
        <f>N6</f>
        <v>0.98</v>
      </c>
      <c r="O7" s="75" t="str">
        <f t="shared" ref="O7:O14" si="3">IF($N$5="成新度","——",ROUND(M7*N7,0))</f>
        <v>——</v>
      </c>
      <c r="P7" s="76" t="str">
        <f t="shared" ref="P7:P14" si="4">IF($N$5="成新度","——",M7-O7)</f>
        <v>——</v>
      </c>
      <c r="Q7" s="801">
        <v>0.2</v>
      </c>
      <c r="R7" s="77">
        <f ca="1">SUMIF('数据-汇总表'!C$19:C$33,A7,'数据-汇总表'!R$19:R$27)</f>
        <v>1016.55</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hidden="1">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799"/>
      <c r="I8" s="799"/>
      <c r="J8" s="74"/>
      <c r="K8" s="1251">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3">
        <f t="shared" si="5"/>
        <v>0</v>
      </c>
      <c r="U8" s="802"/>
      <c r="V8" s="803"/>
      <c r="W8" s="803"/>
      <c r="X8" s="1261"/>
      <c r="Y8" s="804"/>
      <c r="Z8" s="81"/>
      <c r="AA8" s="74"/>
      <c r="AB8" s="74"/>
      <c r="AC8" s="1261"/>
      <c r="AD8" s="82"/>
      <c r="AE8" s="1262">
        <f t="shared" ca="1" si="6"/>
        <v>0</v>
      </c>
      <c r="AF8" s="1804"/>
      <c r="AG8" s="147">
        <f t="shared" si="7"/>
        <v>0</v>
      </c>
      <c r="AH8" s="805"/>
      <c r="AI8" s="85"/>
      <c r="AJ8" s="86"/>
      <c r="AK8" s="806"/>
      <c r="AL8" s="807"/>
      <c r="AM8" s="808"/>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hidden="1">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hidden="1">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hidden="1">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hidden="1">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hidden="1">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2008</v>
      </c>
      <c r="B14" s="2303" t="s">
        <v>2009</v>
      </c>
      <c r="C14" s="2308"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0"/>
      <c r="V14" s="1256"/>
      <c r="W14" s="1256"/>
      <c r="X14" s="1257"/>
      <c r="Y14" s="1258"/>
      <c r="Z14" s="1259"/>
      <c r="AA14" s="1260"/>
      <c r="AB14" s="1260"/>
      <c r="AC14" s="1261"/>
      <c r="AD14" s="1257"/>
      <c r="AE14" s="1262"/>
      <c r="AF14" s="55"/>
      <c r="AG14" s="147"/>
      <c r="AH14" s="1262"/>
      <c r="AI14" s="1815"/>
      <c r="AJ14" s="770"/>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2010</v>
      </c>
      <c r="B15" s="2303" t="s">
        <v>2009</v>
      </c>
      <c r="C15" s="2308"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0"/>
      <c r="V15" s="1256"/>
      <c r="W15" s="1256"/>
      <c r="X15" s="1257"/>
      <c r="Y15" s="1258"/>
      <c r="Z15" s="1259"/>
      <c r="AA15" s="1260"/>
      <c r="AB15" s="1260"/>
      <c r="AC15" s="1261"/>
      <c r="AD15" s="1257"/>
      <c r="AE15" s="1262"/>
      <c r="AF15" s="55"/>
      <c r="AG15" s="147"/>
      <c r="AH15" s="1262"/>
      <c r="AI15" s="1815"/>
      <c r="AJ15" s="770"/>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2012</v>
      </c>
      <c r="B16" s="97"/>
      <c r="C16" s="1005"/>
      <c r="D16" s="2310"/>
      <c r="E16" s="97"/>
      <c r="F16" s="97"/>
      <c r="G16" s="98">
        <f>ROUND(SUMPRODUCT(G6:G13,K6:K13)/SUMPRODUCT((G6:G13&gt;0)*(K6:K13)),3)</f>
        <v>0.88100000000000001</v>
      </c>
      <c r="H16" s="99">
        <f>ROUND(SUMPRODUCT(H6:H13,K6:K13)/SUMPRODUCT((H6:H13&gt;0)*(K6:K13)),3)</f>
        <v>0.05</v>
      </c>
      <c r="I16" s="100"/>
      <c r="J16" s="100"/>
      <c r="K16" s="101">
        <f>SUM(K6:K15)</f>
        <v>8582.619999999999</v>
      </c>
      <c r="L16" s="102">
        <f>ROUND(M16*10000/SUM(K6:K14),0)</f>
        <v>2200</v>
      </c>
      <c r="M16" s="102">
        <f>SUM(M6:M14)</f>
        <v>1888</v>
      </c>
      <c r="N16" s="103">
        <f>ROUND(SUMPRODUCT(M6:M14,N6:N14)/M16,3)</f>
        <v>0.98</v>
      </c>
      <c r="O16" s="102">
        <f>SUM(O6:O14)</f>
        <v>0</v>
      </c>
      <c r="P16" s="102">
        <f>SUM(P6:P14)</f>
        <v>0</v>
      </c>
      <c r="Q16" s="104">
        <f>ROUND(SUMPRODUCT(Q6:Q13,K6:K13)/SUMPRODUCT((Q6:Q13&gt;0)*(K6:K13)),2)</f>
        <v>0.2</v>
      </c>
      <c r="R16" s="1255">
        <f ca="1">SUM(R6:R13)</f>
        <v>1023.05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9"/>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2014</v>
      </c>
      <c r="B19" s="112">
        <v>0</v>
      </c>
      <c r="C19" s="2273" t="s">
        <v>2015</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2016</v>
      </c>
      <c r="B20" s="113">
        <v>1.5</v>
      </c>
      <c r="C20" s="2273" t="s">
        <v>2017</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2018</v>
      </c>
      <c r="B21" s="113">
        <v>1.5</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2019</v>
      </c>
      <c r="B22" s="114">
        <f>B19+B20</f>
        <v>1.5</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2020</v>
      </c>
      <c r="B23" s="114">
        <f>B19+B21</f>
        <v>1.5</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2021</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2022</v>
      </c>
      <c r="B26" s="2316" t="s">
        <v>2023</v>
      </c>
      <c r="C26" s="2317" t="s">
        <v>2024</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2025</v>
      </c>
      <c r="B27" s="116">
        <v>60</v>
      </c>
      <c r="C27" s="1764" t="s">
        <v>2026</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2027</v>
      </c>
      <c r="B28" s="119">
        <v>60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2028</v>
      </c>
      <c r="B29" s="121"/>
      <c r="C29" s="1764" t="s">
        <v>2029</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2030</v>
      </c>
      <c r="B30" s="721">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2031</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2032</v>
      </c>
      <c r="B32" s="722">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2033</v>
      </c>
      <c r="B33" s="723">
        <v>0.03</v>
      </c>
      <c r="C33" s="1763" t="s">
        <v>2034</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2035</v>
      </c>
      <c r="B34" s="122">
        <v>0.05</v>
      </c>
      <c r="C34" s="1763" t="s">
        <v>2036</v>
      </c>
      <c r="D34" s="2274" t="s">
        <v>2037</v>
      </c>
      <c r="E34" s="729"/>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2038</v>
      </c>
      <c r="B35" s="119">
        <v>200</v>
      </c>
      <c r="C35" s="1763" t="s">
        <v>2039</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2040</v>
      </c>
      <c r="B36" s="123">
        <v>1.4999999999999999E-2</v>
      </c>
      <c r="C36" s="1763" t="s">
        <v>2041</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2042</v>
      </c>
      <c r="B37" s="124">
        <v>0.02</v>
      </c>
      <c r="C37" s="1763" t="s">
        <v>2043</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2044</v>
      </c>
      <c r="B38" s="122">
        <v>0.03</v>
      </c>
      <c r="C38" s="1763" t="s">
        <v>2043</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2045</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2046</v>
      </c>
      <c r="B40" s="1300">
        <f ca="1">存贷款利率!G1</f>
        <v>4.7500000000000001E-2</v>
      </c>
      <c r="C40" s="1763" t="s">
        <v>2047</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2048</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2049</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2050</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2051</v>
      </c>
      <c r="B44" s="128">
        <v>7.0000000000000007E-2</v>
      </c>
      <c r="C44" s="1763" t="s">
        <v>2052</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2053</v>
      </c>
      <c r="B45" s="126">
        <v>0.03</v>
      </c>
      <c r="C45" s="1764" t="s">
        <v>2054</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2055</v>
      </c>
      <c r="B46" s="126">
        <v>0.02</v>
      </c>
      <c r="C46" s="1764" t="s">
        <v>2056</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2057</v>
      </c>
      <c r="B47" s="129">
        <v>0</v>
      </c>
      <c r="C47" s="1764" t="s">
        <v>2058</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2059</v>
      </c>
      <c r="B48" s="130">
        <v>0.04</v>
      </c>
      <c r="C48" s="1771" t="s">
        <v>2060</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2061</v>
      </c>
      <c r="B49" s="126">
        <v>5.0000000000000001E-4</v>
      </c>
      <c r="C49" s="1771" t="s">
        <v>2062</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2063</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2064</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2065</v>
      </c>
      <c r="B52" s="133">
        <f>SUMIF(A54:A63,B53,B54:B63)</f>
        <v>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2066</v>
      </c>
      <c r="B53" s="2332" t="s">
        <v>56</v>
      </c>
      <c r="C53" s="1427" t="s">
        <v>2067</v>
      </c>
      <c r="D53" s="2333" t="s">
        <v>2068</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2069</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2070</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2071</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2072</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2073</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2074</v>
      </c>
      <c r="B59" s="84">
        <v>4</v>
      </c>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2075</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2076</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2077</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2078</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5"/>
      <c r="L64" s="795"/>
    </row>
    <row r="65" spans="1:12" s="964" customFormat="1">
      <c r="A65" s="2337"/>
      <c r="D65" s="2338"/>
      <c r="K65" s="795"/>
      <c r="L65" s="795"/>
    </row>
    <row r="66" spans="1:12" s="964" customFormat="1">
      <c r="A66" s="2337"/>
      <c r="D66" s="2338"/>
      <c r="K66" s="795"/>
      <c r="L66" s="795"/>
    </row>
    <row r="67" spans="1:12" s="964" customFormat="1">
      <c r="A67" s="2337"/>
      <c r="D67" s="2338"/>
      <c r="K67" s="795"/>
      <c r="L67" s="795"/>
    </row>
    <row r="68" spans="1:12" s="964" customFormat="1">
      <c r="A68" s="2337"/>
      <c r="D68" s="2338"/>
      <c r="K68" s="795"/>
      <c r="L68" s="795"/>
    </row>
    <row r="69" spans="1:12" s="964" customFormat="1">
      <c r="A69" s="2337"/>
      <c r="D69" s="2338"/>
      <c r="K69" s="795"/>
      <c r="L69" s="795"/>
    </row>
    <row r="70" spans="1:12" s="964" customFormat="1">
      <c r="A70" s="2337"/>
      <c r="D70" s="2338"/>
      <c r="K70" s="795"/>
      <c r="L70" s="795"/>
    </row>
    <row r="71" spans="1:12" s="964" customFormat="1">
      <c r="A71" s="2337"/>
      <c r="D71" s="2338"/>
      <c r="K71" s="795"/>
      <c r="L71" s="795"/>
    </row>
    <row r="72" spans="1:12" s="964" customFormat="1">
      <c r="A72" s="2337"/>
      <c r="D72" s="2338"/>
      <c r="K72" s="795"/>
      <c r="L72" s="795"/>
    </row>
    <row r="73" spans="1:12" s="964" customFormat="1">
      <c r="A73" s="2337"/>
      <c r="D73" s="2338"/>
      <c r="K73" s="795"/>
      <c r="L73" s="795"/>
    </row>
    <row r="74" spans="1:12" s="964" customFormat="1">
      <c r="A74" s="2337"/>
      <c r="D74" s="2338"/>
      <c r="K74" s="795"/>
      <c r="L74" s="795"/>
    </row>
    <row r="75" spans="1:12" s="964" customFormat="1">
      <c r="A75" s="2337"/>
      <c r="D75" s="2338"/>
      <c r="K75" s="795"/>
      <c r="L75" s="795"/>
    </row>
    <row r="76" spans="1:12" s="964" customFormat="1">
      <c r="A76" s="2337"/>
      <c r="D76" s="2338"/>
      <c r="K76" s="795"/>
      <c r="L76" s="795"/>
    </row>
    <row r="77" spans="1:12" s="964" customFormat="1">
      <c r="A77" s="2337"/>
      <c r="D77" s="2338"/>
      <c r="K77" s="795"/>
      <c r="L77" s="795"/>
    </row>
    <row r="78" spans="1:12" s="964" customFormat="1">
      <c r="A78" s="2337"/>
      <c r="D78" s="2338"/>
      <c r="K78" s="795"/>
      <c r="L78" s="795"/>
    </row>
    <row r="79" spans="1:12" s="964" customFormat="1">
      <c r="A79" s="2337"/>
      <c r="D79" s="2338"/>
      <c r="K79" s="795"/>
      <c r="L79" s="795"/>
    </row>
    <row r="80" spans="1:12" s="964" customFormat="1">
      <c r="A80" s="2337"/>
      <c r="D80" s="2338"/>
      <c r="K80" s="795"/>
      <c r="L80" s="795"/>
    </row>
    <row r="81" spans="1:12" s="964" customFormat="1">
      <c r="A81" s="2337"/>
      <c r="D81" s="2338"/>
      <c r="K81" s="795"/>
      <c r="L81" s="795"/>
    </row>
    <row r="82" spans="1:12" s="964" customFormat="1">
      <c r="A82" s="2337"/>
      <c r="D82" s="2338"/>
      <c r="K82" s="795"/>
      <c r="L82" s="795"/>
    </row>
    <row r="83" spans="1:12" s="964" customFormat="1">
      <c r="A83" s="2337"/>
      <c r="D83" s="2338"/>
      <c r="K83" s="795"/>
      <c r="L83" s="795"/>
    </row>
    <row r="84" spans="1:12" s="964" customFormat="1">
      <c r="A84" s="2337"/>
      <c r="D84" s="2338"/>
      <c r="K84" s="795"/>
      <c r="L84" s="795"/>
    </row>
    <row r="85" spans="1:12" s="964" customFormat="1">
      <c r="A85" s="2337"/>
      <c r="D85" s="2338"/>
      <c r="K85" s="795"/>
      <c r="L85" s="795"/>
    </row>
    <row r="86" spans="1:12" s="964" customFormat="1">
      <c r="A86" s="2337"/>
      <c r="D86" s="2338"/>
      <c r="K86" s="795"/>
      <c r="L86" s="795"/>
    </row>
    <row r="87" spans="1:12" s="964" customFormat="1">
      <c r="A87" s="2337"/>
      <c r="D87" s="2338"/>
      <c r="K87" s="795"/>
      <c r="L87" s="795"/>
    </row>
    <row r="88" spans="1:12" s="964" customFormat="1">
      <c r="A88" s="2337"/>
      <c r="D88" s="2338"/>
      <c r="K88" s="795"/>
      <c r="L88" s="795"/>
    </row>
    <row r="89" spans="1:12" s="964" customFormat="1">
      <c r="A89" s="2337"/>
      <c r="D89" s="2338"/>
      <c r="K89" s="795"/>
      <c r="L89" s="795"/>
    </row>
    <row r="90" spans="1:12" s="964" customFormat="1">
      <c r="A90" s="2337"/>
      <c r="D90" s="2338"/>
      <c r="K90" s="795"/>
      <c r="L90" s="795"/>
    </row>
    <row r="91" spans="1:12" s="964" customFormat="1">
      <c r="A91" s="2337"/>
      <c r="D91" s="2338"/>
      <c r="K91" s="795"/>
      <c r="L91" s="795"/>
    </row>
    <row r="92" spans="1:12" s="964" customFormat="1">
      <c r="A92" s="2337"/>
      <c r="D92" s="2338"/>
      <c r="K92" s="795"/>
      <c r="L92" s="795"/>
    </row>
    <row r="93" spans="1:12" s="964" customFormat="1">
      <c r="A93" s="2337"/>
      <c r="D93" s="2338"/>
      <c r="K93" s="795"/>
      <c r="L93" s="795"/>
    </row>
    <row r="94" spans="1:12" s="964" customFormat="1">
      <c r="A94" s="2337"/>
      <c r="D94" s="2338"/>
      <c r="K94" s="795"/>
      <c r="L94" s="795"/>
    </row>
    <row r="95" spans="1:12" s="964" customFormat="1">
      <c r="A95" s="2337"/>
      <c r="D95" s="2338"/>
      <c r="K95" s="795"/>
      <c r="L95" s="795"/>
    </row>
    <row r="96" spans="1:12" s="964" customFormat="1">
      <c r="A96" s="2337"/>
      <c r="D96" s="2338"/>
      <c r="K96" s="795"/>
      <c r="L96" s="795"/>
    </row>
    <row r="97" spans="1:12" s="964" customFormat="1">
      <c r="A97" s="2337"/>
      <c r="D97" s="2338"/>
      <c r="K97" s="795"/>
      <c r="L97" s="795"/>
    </row>
    <row r="98" spans="1:12" s="964" customFormat="1">
      <c r="A98" s="2337"/>
      <c r="D98" s="2338"/>
      <c r="K98" s="795"/>
      <c r="L98" s="795"/>
    </row>
    <row r="99" spans="1:12" s="964" customFormat="1">
      <c r="A99" s="2337"/>
      <c r="D99" s="2338"/>
      <c r="K99" s="795"/>
      <c r="L99" s="795"/>
    </row>
    <row r="100" spans="1:12" s="964" customFormat="1">
      <c r="A100" s="2337"/>
      <c r="D100" s="2338"/>
      <c r="K100" s="795"/>
      <c r="L100" s="795"/>
    </row>
    <row r="101" spans="1:12" s="964" customFormat="1">
      <c r="A101" s="2337"/>
      <c r="D101" s="2338"/>
      <c r="K101" s="795"/>
      <c r="L101" s="795"/>
    </row>
    <row r="102" spans="1:12" s="964" customFormat="1">
      <c r="A102" s="2337"/>
      <c r="D102" s="2338"/>
      <c r="K102" s="795"/>
      <c r="L102" s="795"/>
    </row>
    <row r="103" spans="1:12" s="964" customFormat="1">
      <c r="A103" s="2337"/>
      <c r="D103" s="2338"/>
      <c r="K103" s="795"/>
      <c r="L103" s="795"/>
    </row>
    <row r="104" spans="1:12" s="964" customFormat="1">
      <c r="A104" s="2337"/>
      <c r="D104" s="2338"/>
      <c r="K104" s="795"/>
      <c r="L104" s="795"/>
    </row>
    <row r="105" spans="1:12" s="964" customFormat="1">
      <c r="A105" s="2337"/>
      <c r="D105" s="2338"/>
      <c r="K105" s="795"/>
      <c r="L105" s="795"/>
    </row>
    <row r="106" spans="1:12" s="964" customFormat="1">
      <c r="A106" s="2337"/>
      <c r="D106" s="2338"/>
      <c r="K106" s="795"/>
      <c r="L106" s="795"/>
    </row>
    <row r="107" spans="1:12" s="964" customFormat="1">
      <c r="A107" s="2337"/>
      <c r="D107" s="2338"/>
      <c r="K107" s="795"/>
      <c r="L107" s="795"/>
    </row>
    <row r="108" spans="1:12" s="964" customFormat="1">
      <c r="A108" s="2337"/>
      <c r="D108" s="2338"/>
      <c r="K108" s="795"/>
      <c r="L108" s="795"/>
    </row>
    <row r="109" spans="1:12" s="964" customFormat="1">
      <c r="A109" s="2337"/>
      <c r="D109" s="2338"/>
      <c r="K109" s="795"/>
      <c r="L109" s="795"/>
    </row>
    <row r="110" spans="1:12" s="964" customFormat="1">
      <c r="A110" s="2337"/>
      <c r="D110" s="2338"/>
      <c r="K110" s="795"/>
      <c r="L110" s="795"/>
    </row>
    <row r="111" spans="1:12" s="964" customFormat="1">
      <c r="A111" s="2337"/>
      <c r="D111" s="2338"/>
      <c r="K111" s="795"/>
      <c r="L111" s="795"/>
    </row>
    <row r="112" spans="1:12" s="964" customFormat="1">
      <c r="A112" s="2337"/>
      <c r="D112" s="2338"/>
      <c r="K112" s="795"/>
      <c r="L112" s="795"/>
    </row>
    <row r="113" spans="1:12" s="964" customFormat="1">
      <c r="A113" s="2337"/>
      <c r="D113" s="2338"/>
      <c r="K113" s="795"/>
      <c r="L113" s="795"/>
    </row>
    <row r="114" spans="1:12" s="964" customFormat="1">
      <c r="A114" s="2337"/>
      <c r="D114" s="2338"/>
      <c r="K114" s="795"/>
      <c r="L114" s="795"/>
    </row>
    <row r="115" spans="1:12" s="964" customFormat="1">
      <c r="A115" s="2337"/>
      <c r="D115" s="2338"/>
      <c r="K115" s="795"/>
      <c r="L115" s="795"/>
    </row>
    <row r="116" spans="1:12" s="964" customFormat="1">
      <c r="A116" s="2337"/>
      <c r="D116" s="2338"/>
      <c r="K116" s="795"/>
      <c r="L116" s="795"/>
    </row>
    <row r="117" spans="1:12" s="964" customFormat="1">
      <c r="A117" s="2337"/>
      <c r="D117" s="2338"/>
      <c r="K117" s="795"/>
      <c r="L117" s="795"/>
    </row>
    <row r="118" spans="1:12" s="964" customFormat="1">
      <c r="A118" s="2337"/>
      <c r="D118" s="2338"/>
      <c r="K118" s="795"/>
      <c r="L118" s="795"/>
    </row>
    <row r="119" spans="1:12" s="964" customFormat="1">
      <c r="A119" s="2337"/>
      <c r="D119" s="2338"/>
      <c r="K119" s="795"/>
      <c r="L119" s="795"/>
    </row>
    <row r="120" spans="1:12" s="964" customFormat="1">
      <c r="A120" s="2337"/>
      <c r="D120" s="2338"/>
      <c r="K120" s="795"/>
      <c r="L120" s="795"/>
    </row>
    <row r="121" spans="1:12" s="964" customFormat="1">
      <c r="A121" s="2337"/>
      <c r="D121" s="2338"/>
      <c r="K121" s="795"/>
      <c r="L121" s="795"/>
    </row>
    <row r="122" spans="1:12" s="964" customFormat="1">
      <c r="A122" s="2337"/>
      <c r="D122" s="2338"/>
      <c r="K122" s="795"/>
      <c r="L122" s="795"/>
    </row>
    <row r="123" spans="1:12" s="964" customFormat="1">
      <c r="A123" s="2337"/>
      <c r="D123" s="2338"/>
      <c r="K123" s="795"/>
      <c r="L123" s="795"/>
    </row>
    <row r="124" spans="1:12" s="964" customFormat="1">
      <c r="A124" s="2337"/>
      <c r="D124" s="2338"/>
      <c r="K124" s="795"/>
      <c r="L124" s="795"/>
    </row>
    <row r="125" spans="1:12" s="964" customFormat="1">
      <c r="A125" s="2337"/>
      <c r="D125" s="2338"/>
      <c r="K125" s="795"/>
      <c r="L125" s="795"/>
    </row>
    <row r="126" spans="1:12" s="964" customFormat="1">
      <c r="A126" s="2337"/>
      <c r="D126" s="2338"/>
      <c r="K126" s="795"/>
      <c r="L126" s="795"/>
    </row>
    <row r="127" spans="1:12" s="964" customFormat="1">
      <c r="A127" s="2337"/>
      <c r="D127" s="2338"/>
      <c r="K127" s="795"/>
      <c r="L127" s="795"/>
    </row>
    <row r="128" spans="1:12" s="964" customFormat="1">
      <c r="A128" s="2337"/>
      <c r="D128" s="2338"/>
      <c r="K128" s="795"/>
      <c r="L128" s="795"/>
    </row>
    <row r="129" spans="1:12" s="964" customFormat="1">
      <c r="A129" s="2337"/>
      <c r="D129" s="2338"/>
      <c r="K129" s="795"/>
      <c r="L129" s="795"/>
    </row>
    <row r="130" spans="1:12" s="964" customFormat="1">
      <c r="A130" s="2337"/>
      <c r="D130" s="2338"/>
      <c r="K130" s="795"/>
      <c r="L130" s="795"/>
    </row>
    <row r="131" spans="1:12" s="964" customFormat="1">
      <c r="A131" s="2337"/>
      <c r="D131" s="2338"/>
      <c r="K131" s="795"/>
      <c r="L131" s="795"/>
    </row>
    <row r="132" spans="1:12" s="964" customFormat="1">
      <c r="A132" s="2337"/>
      <c r="D132" s="2338"/>
      <c r="K132" s="795"/>
      <c r="L132" s="795"/>
    </row>
    <row r="133" spans="1:12" s="964" customFormat="1">
      <c r="A133" s="2337"/>
      <c r="D133" s="2338"/>
      <c r="K133" s="795"/>
      <c r="L133" s="795"/>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59" t="s">
        <v>2079</v>
      </c>
      <c r="B1" s="3060"/>
      <c r="C1" s="3060"/>
      <c r="D1" s="3060"/>
      <c r="E1" s="3060"/>
      <c r="F1" s="3060"/>
      <c r="G1" s="306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2080</v>
      </c>
      <c r="D2" s="2362"/>
      <c r="E2" s="2363"/>
      <c r="F2" s="2282"/>
      <c r="G2" s="2361" t="s">
        <v>2081</v>
      </c>
      <c r="H2" s="2364"/>
      <c r="I2" s="2364"/>
      <c r="J2" s="2364"/>
      <c r="K2" s="2364"/>
      <c r="L2" s="2364"/>
      <c r="M2" s="2364"/>
      <c r="N2" s="2364"/>
      <c r="O2" s="2364"/>
      <c r="P2" s="2364"/>
      <c r="Q2" s="2364"/>
      <c r="R2" s="2364"/>
    </row>
    <row r="3" spans="1:29" ht="54">
      <c r="A3" s="415" t="s">
        <v>2082</v>
      </c>
      <c r="B3" s="1268" t="s">
        <v>2083</v>
      </c>
      <c r="C3" s="2366" t="s">
        <v>2084</v>
      </c>
      <c r="D3" s="2367"/>
      <c r="E3" s="431" t="s">
        <v>2082</v>
      </c>
      <c r="F3" s="2368" t="s">
        <v>2085</v>
      </c>
      <c r="G3" s="2369" t="s">
        <v>2086</v>
      </c>
      <c r="H3" s="2364"/>
      <c r="I3" s="2364"/>
      <c r="J3" s="2364"/>
      <c r="K3" s="2364"/>
      <c r="L3" s="2364"/>
      <c r="M3" s="2364"/>
      <c r="N3" s="2364"/>
      <c r="O3" s="2364"/>
      <c r="P3" s="2364"/>
      <c r="Q3" s="2364"/>
      <c r="R3" s="2364"/>
    </row>
    <row r="4" spans="1:29" ht="41.25">
      <c r="A4" s="431"/>
      <c r="B4" s="1795" t="s">
        <v>2087</v>
      </c>
      <c r="C4" s="2370" t="s">
        <v>2088</v>
      </c>
      <c r="D4" s="2367"/>
      <c r="E4" s="2371"/>
      <c r="F4" s="42" t="s">
        <v>2089</v>
      </c>
      <c r="G4" s="2372" t="s">
        <v>2090</v>
      </c>
      <c r="H4" s="2364"/>
      <c r="I4" s="2364"/>
      <c r="J4" s="2364"/>
      <c r="K4" s="2364"/>
      <c r="L4" s="2364"/>
      <c r="M4" s="2364"/>
      <c r="N4" s="2364"/>
      <c r="O4" s="2364"/>
      <c r="P4" s="2364"/>
      <c r="Q4" s="2364"/>
      <c r="R4" s="2364"/>
    </row>
    <row r="5" spans="1:29" ht="41.25">
      <c r="A5" s="431"/>
      <c r="B5" s="1795" t="s">
        <v>2091</v>
      </c>
      <c r="C5" s="2370" t="s">
        <v>2092</v>
      </c>
      <c r="D5" s="2367"/>
      <c r="E5" s="2371"/>
      <c r="F5" s="1795" t="s">
        <v>2093</v>
      </c>
      <c r="G5" s="2372" t="s">
        <v>2094</v>
      </c>
      <c r="H5" s="2364"/>
      <c r="I5" s="2364"/>
      <c r="J5" s="2364"/>
      <c r="K5" s="2364"/>
      <c r="L5" s="2364"/>
      <c r="M5" s="2364"/>
      <c r="N5" s="2364"/>
      <c r="O5" s="2364"/>
      <c r="P5" s="2364"/>
      <c r="Q5" s="2364"/>
      <c r="R5" s="2364"/>
    </row>
    <row r="6" spans="1:29" ht="54">
      <c r="A6" s="431"/>
      <c r="B6" s="1795" t="s">
        <v>2095</v>
      </c>
      <c r="C6" s="2372" t="s">
        <v>2090</v>
      </c>
      <c r="D6" s="2367"/>
      <c r="E6" s="2371"/>
      <c r="F6" s="1795" t="s">
        <v>2096</v>
      </c>
      <c r="G6" s="2372" t="s">
        <v>2097</v>
      </c>
      <c r="H6" s="2364"/>
      <c r="I6" s="2364"/>
      <c r="J6" s="2364"/>
      <c r="K6" s="2364"/>
      <c r="L6" s="2364"/>
      <c r="M6" s="2364"/>
      <c r="N6" s="2364"/>
      <c r="O6" s="2364"/>
      <c r="P6" s="2364"/>
      <c r="Q6" s="2364"/>
      <c r="R6" s="2364"/>
    </row>
    <row r="7" spans="1:29" ht="41.25" thickBot="1">
      <c r="A7" s="431"/>
      <c r="B7" s="1795" t="s">
        <v>2093</v>
      </c>
      <c r="C7" s="2372" t="s">
        <v>2094</v>
      </c>
      <c r="D7" s="2373"/>
      <c r="E7" s="2374"/>
      <c r="F7" s="2375" t="s">
        <v>2098</v>
      </c>
      <c r="G7" s="2376" t="s">
        <v>2099</v>
      </c>
      <c r="H7" s="2364"/>
      <c r="I7" s="2364"/>
      <c r="J7" s="2364"/>
      <c r="K7" s="2364"/>
      <c r="L7" s="2364"/>
      <c r="M7" s="2364"/>
      <c r="N7" s="2364"/>
      <c r="O7" s="2364"/>
      <c r="P7" s="2364"/>
      <c r="Q7" s="2364"/>
      <c r="R7" s="2364"/>
    </row>
    <row r="8" spans="1:29" ht="27">
      <c r="A8" s="431"/>
      <c r="B8" s="1795" t="s">
        <v>2096</v>
      </c>
      <c r="C8" s="2372" t="s">
        <v>2097</v>
      </c>
      <c r="D8" s="2373"/>
      <c r="E8" s="2373"/>
      <c r="F8" s="1133"/>
      <c r="G8" s="1133"/>
      <c r="H8" s="2364"/>
      <c r="I8" s="2364"/>
      <c r="J8" s="2364"/>
      <c r="K8" s="2364"/>
      <c r="L8" s="2364"/>
      <c r="M8" s="2364"/>
      <c r="N8" s="2364"/>
      <c r="O8" s="2364"/>
      <c r="P8" s="2364"/>
      <c r="Q8" s="2364"/>
      <c r="R8" s="2364"/>
    </row>
    <row r="9" spans="1:29" ht="27">
      <c r="A9" s="431"/>
      <c r="B9" s="1795" t="s">
        <v>2100</v>
      </c>
      <c r="C9" s="2370" t="s">
        <v>2101</v>
      </c>
      <c r="D9" s="2367"/>
      <c r="E9" s="2373"/>
      <c r="F9" s="1133"/>
      <c r="G9" s="1133"/>
      <c r="H9" s="2364"/>
      <c r="I9" s="2364"/>
      <c r="J9" s="2364"/>
      <c r="K9" s="2364"/>
      <c r="L9" s="2364"/>
      <c r="M9" s="2364"/>
      <c r="N9" s="2364"/>
      <c r="O9" s="2364"/>
      <c r="P9" s="2364"/>
      <c r="Q9" s="2364"/>
      <c r="R9" s="2364"/>
    </row>
    <row r="10" spans="1:29" s="117" customFormat="1" ht="15.75" thickBot="1">
      <c r="A10" s="2377"/>
      <c r="B10" s="2378" t="s">
        <v>2102</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2103</v>
      </c>
      <c r="B13" s="2384"/>
      <c r="C13" s="2384"/>
      <c r="D13" s="2391"/>
      <c r="E13" s="2384"/>
      <c r="F13" s="2384"/>
      <c r="G13" s="2384"/>
    </row>
    <row r="14" spans="1:29" ht="15.75" thickBot="1">
      <c r="A14" s="2395"/>
      <c r="B14" s="2396"/>
      <c r="C14" s="2397" t="s">
        <v>2104</v>
      </c>
      <c r="D14" s="2367"/>
      <c r="E14" s="2398"/>
      <c r="F14" s="2398"/>
      <c r="G14" s="2361" t="s">
        <v>2105</v>
      </c>
    </row>
    <row r="15" spans="1:29" ht="57">
      <c r="A15" s="68" t="s">
        <v>2106</v>
      </c>
      <c r="B15" s="1267" t="s">
        <v>2083</v>
      </c>
      <c r="C15" s="2399" t="str">
        <f>C3</f>
        <v>估价对象周边居住用地比例、居住小区规模和社区发展完善程度，综合评价居住社区成熟度一般</v>
      </c>
      <c r="D15" s="2367"/>
      <c r="E15" s="2400" t="s">
        <v>2107</v>
      </c>
      <c r="F15" s="1267" t="s">
        <v>2108</v>
      </c>
      <c r="G15" s="135" t="str">
        <f>G3</f>
        <v>估价对象位于XX开发区，园区建设成熟度XX，产业集聚程度XX</v>
      </c>
    </row>
    <row r="16" spans="1:29" ht="42.75">
      <c r="A16" s="644"/>
      <c r="B16" s="2401" t="s">
        <v>2087</v>
      </c>
      <c r="C16" s="2402" t="str">
        <f>C4</f>
        <v>估价对象位于XX商圈，周边商业氛围成熟，人流量大，商业繁华度好</v>
      </c>
      <c r="D16" s="2367"/>
      <c r="E16" s="2403"/>
      <c r="F16" s="2404" t="s">
        <v>2089</v>
      </c>
      <c r="G16" s="136" t="str">
        <f>G4</f>
        <v>估价对象周边道路状况、公共交通通达情况、停车便捷程度，综合评价交通便捷度较好</v>
      </c>
    </row>
    <row r="17" spans="1:18" ht="42.75">
      <c r="A17" s="644"/>
      <c r="B17" s="2401" t="s">
        <v>2091</v>
      </c>
      <c r="C17" s="2402" t="str">
        <f>C5</f>
        <v>估价对象位于XX商圈，周边办公楼项目较多，入驻率高，办公集聚程度较好</v>
      </c>
      <c r="D17" s="2373"/>
      <c r="E17" s="2403"/>
      <c r="F17" s="2404" t="s">
        <v>2109</v>
      </c>
      <c r="G17" s="1569"/>
    </row>
    <row r="18" spans="1:18" ht="57">
      <c r="A18" s="644"/>
      <c r="B18" s="2404" t="s">
        <v>2095</v>
      </c>
      <c r="C18" s="136" t="str">
        <f>C6</f>
        <v>估价对象周边道路状况、公共交通通达情况、停车便捷程度，综合评价交通便捷度较好</v>
      </c>
      <c r="D18" s="2373"/>
      <c r="E18" s="2403"/>
      <c r="F18" s="2404" t="s">
        <v>2098</v>
      </c>
      <c r="G18" s="136" t="str">
        <f>G7</f>
        <v>该园区内是否有污染型企业，绿化情况，卫生条件，整体环境状况判断</v>
      </c>
    </row>
    <row r="19" spans="1:18" ht="28.5">
      <c r="A19" s="644"/>
      <c r="B19" s="2404" t="s">
        <v>2110</v>
      </c>
      <c r="C19" s="1569"/>
      <c r="D19" s="2367"/>
      <c r="E19" s="2403"/>
      <c r="F19" s="1795" t="s">
        <v>2093</v>
      </c>
      <c r="G19" s="136" t="str">
        <f>G5</f>
        <v>估价对象所在区域公共配套设施齐备情况</v>
      </c>
    </row>
    <row r="20" spans="1:18" ht="28.5">
      <c r="A20" s="644"/>
      <c r="B20" s="2404" t="s">
        <v>2111</v>
      </c>
      <c r="C20" s="2402" t="str">
        <f>C9</f>
        <v>区域自然环境：；人文环境；综合评价环境状况一般</v>
      </c>
      <c r="D20" s="2373"/>
      <c r="E20" s="2403"/>
      <c r="F20" s="1795" t="s">
        <v>2112</v>
      </c>
      <c r="G20" s="136" t="str">
        <f>G6</f>
        <v>估价对象所在区域基础设施水平</v>
      </c>
    </row>
    <row r="21" spans="1:18" ht="28.5">
      <c r="A21" s="644"/>
      <c r="B21" s="1795" t="s">
        <v>2093</v>
      </c>
      <c r="C21" s="136" t="str">
        <f>C7</f>
        <v>估价对象所在区域公共配套设施齐备情况</v>
      </c>
      <c r="D21" s="2367"/>
      <c r="E21" s="2403"/>
      <c r="F21" s="2404" t="s">
        <v>2113</v>
      </c>
      <c r="G21" s="2405"/>
    </row>
    <row r="22" spans="1:18" ht="13.5" customHeight="1">
      <c r="A22" s="644"/>
      <c r="B22" s="1795" t="s">
        <v>2096</v>
      </c>
      <c r="C22" s="136" t="str">
        <f>C8</f>
        <v>估价对象所在区域基础设施水平</v>
      </c>
      <c r="D22" s="2367"/>
      <c r="E22" s="2403"/>
      <c r="F22" s="2404" t="s">
        <v>2102</v>
      </c>
      <c r="G22" s="1569"/>
    </row>
    <row r="23" spans="1:18" s="2364" customFormat="1" ht="15.75" thickBot="1">
      <c r="A23" s="644"/>
      <c r="B23" s="2404" t="s">
        <v>2113</v>
      </c>
      <c r="C23" s="2405"/>
      <c r="D23" s="2392"/>
      <c r="E23" s="2406"/>
      <c r="F23" s="2407" t="s">
        <v>2114</v>
      </c>
      <c r="G23" s="2408"/>
      <c r="H23" s="2392"/>
      <c r="I23" s="2393"/>
      <c r="J23" s="2392"/>
      <c r="K23" s="2392"/>
      <c r="L23" s="2393"/>
      <c r="M23" s="2392"/>
      <c r="N23" s="2392"/>
      <c r="O23" s="2393"/>
      <c r="P23" s="2392"/>
      <c r="Q23" s="2392"/>
      <c r="R23" s="2394"/>
    </row>
    <row r="24" spans="1:18" s="2364" customFormat="1" ht="15.75" thickBot="1">
      <c r="A24" s="2409"/>
      <c r="B24" s="2407" t="s">
        <v>2115</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8" customWidth="1"/>
    <col min="2" max="9" width="15.75" style="1738" customWidth="1"/>
    <col min="10" max="16384" width="9" style="1738"/>
  </cols>
  <sheetData>
    <row r="1" spans="1:10" ht="16.5">
      <c r="A1" s="1743" t="s">
        <v>1365</v>
      </c>
      <c r="B1" s="1743">
        <f>SUM(B14:B23)</f>
        <v>54.53</v>
      </c>
      <c r="C1" s="1742"/>
      <c r="D1" s="1742"/>
      <c r="E1" s="1742"/>
      <c r="F1" s="1742"/>
      <c r="G1" s="1740"/>
    </row>
    <row r="2" spans="1:10" ht="16.5">
      <c r="A2" s="1743" t="s">
        <v>1353</v>
      </c>
      <c r="B2" s="1743">
        <f>SUM(C14:C23)</f>
        <v>6.5</v>
      </c>
      <c r="C2" s="1742"/>
      <c r="D2" s="1742"/>
      <c r="E2" s="1742"/>
      <c r="F2" s="1742"/>
      <c r="G2" s="1740"/>
    </row>
    <row r="3" spans="1:10" ht="16.5">
      <c r="A3" s="1743" t="s">
        <v>1362</v>
      </c>
      <c r="B3" s="1744">
        <f>项目基本情况!D3</f>
        <v>43262</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133</v>
      </c>
      <c r="C5" s="1743">
        <f ca="1">ROUND(B5*10000/$B$1,0)</f>
        <v>24390</v>
      </c>
      <c r="D5" s="1743">
        <f ca="1">ROUND(B5*10000/$B$2,0)</f>
        <v>204615</v>
      </c>
      <c r="E5" s="1742"/>
      <c r="F5" s="1740"/>
      <c r="G5" s="1740"/>
    </row>
    <row r="6" spans="1:10" ht="16.5">
      <c r="A6" s="1743" t="s">
        <v>1356</v>
      </c>
      <c r="B6" s="1743">
        <f ca="1">SUM(G14:G23)</f>
        <v>133</v>
      </c>
      <c r="C6" s="1743">
        <f ca="1">ROUND(B6*10000/$B$1,0)</f>
        <v>24390</v>
      </c>
      <c r="D6" s="1743">
        <f ca="1">ROUND(B6*10000/$B$2,0)</f>
        <v>204615</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54.53</v>
      </c>
      <c r="C14" s="1741">
        <f>结果表!C118</f>
        <v>6.5</v>
      </c>
      <c r="D14" s="1741">
        <f ca="1">结果表!H118</f>
        <v>133</v>
      </c>
      <c r="E14" s="1741">
        <f ca="1">ROUND(D14*10000/B14,0)</f>
        <v>24390</v>
      </c>
      <c r="F14" s="1741">
        <f ca="1">ROUND(D14*10000/C14,0)</f>
        <v>204615</v>
      </c>
      <c r="G14" s="1741">
        <f ca="1">结果表!D122</f>
        <v>133</v>
      </c>
      <c r="H14" s="1741" t="str">
        <f>结果表!D124</f>
        <v>——</v>
      </c>
      <c r="I14" s="1741" t="str">
        <f>结果表!D126</f>
        <v>——</v>
      </c>
      <c r="J14" s="1740"/>
    </row>
    <row r="15" spans="1:10" ht="16.5">
      <c r="A15" s="1739" t="s">
        <v>1349</v>
      </c>
      <c r="B15" s="1746"/>
      <c r="C15" s="1746"/>
      <c r="D15" s="1746"/>
      <c r="E15" s="1741" t="e">
        <f t="shared" ref="E15:E23" si="0">ROUND(D15*10000/B15,0)</f>
        <v>#DIV/0!</v>
      </c>
      <c r="F15" s="1741" t="e">
        <f t="shared" ref="F15:F23" si="1">ROUND(D15*10000/C15,0)</f>
        <v>#DIV/0!</v>
      </c>
      <c r="G15" s="1747"/>
      <c r="H15" s="1747"/>
      <c r="I15" s="1746"/>
      <c r="J15" s="1740"/>
    </row>
    <row r="16" spans="1:10" ht="16.5">
      <c r="A16" s="1739" t="s">
        <v>1348</v>
      </c>
      <c r="B16" s="1746"/>
      <c r="C16" s="1746"/>
      <c r="D16" s="1746"/>
      <c r="E16" s="1741" t="e">
        <f t="shared" si="0"/>
        <v>#DIV/0!</v>
      </c>
      <c r="F16" s="1741" t="e">
        <f t="shared" si="1"/>
        <v>#DIV/0!</v>
      </c>
      <c r="G16" s="1747"/>
      <c r="H16" s="1747"/>
      <c r="I16" s="1746"/>
    </row>
    <row r="17" spans="1:9" ht="16.5">
      <c r="A17" s="1739" t="s">
        <v>1347</v>
      </c>
      <c r="B17" s="1746"/>
      <c r="C17" s="1746"/>
      <c r="D17" s="1746"/>
      <c r="E17" s="1741" t="e">
        <f t="shared" si="0"/>
        <v>#DIV/0!</v>
      </c>
      <c r="F17" s="1741" t="e">
        <f t="shared" si="1"/>
        <v>#DIV/0!</v>
      </c>
      <c r="G17" s="1747"/>
      <c r="H17" s="1747"/>
      <c r="I17" s="1746"/>
    </row>
    <row r="18" spans="1:9" ht="16.5">
      <c r="A18" s="1739" t="s">
        <v>1346</v>
      </c>
      <c r="B18" s="1746"/>
      <c r="C18" s="1746"/>
      <c r="D18" s="1746"/>
      <c r="E18" s="1741" t="e">
        <f t="shared" si="0"/>
        <v>#DIV/0!</v>
      </c>
      <c r="F18" s="1741" t="e">
        <f t="shared" si="1"/>
        <v>#DIV/0!</v>
      </c>
      <c r="G18" s="1746"/>
      <c r="H18" s="1746"/>
      <c r="I18" s="1746"/>
    </row>
    <row r="19" spans="1:9" ht="16.5">
      <c r="A19" s="1739" t="s">
        <v>1345</v>
      </c>
      <c r="B19" s="1746"/>
      <c r="C19" s="1746"/>
      <c r="D19" s="1746"/>
      <c r="E19" s="1741" t="e">
        <f t="shared" si="0"/>
        <v>#DIV/0!</v>
      </c>
      <c r="F19" s="1741" t="e">
        <f t="shared" si="1"/>
        <v>#DIV/0!</v>
      </c>
      <c r="G19" s="1746"/>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F24" sqref="F24"/>
    </sheetView>
  </sheetViews>
  <sheetFormatPr defaultColWidth="12.625" defaultRowHeight="21.75" customHeight="1"/>
  <cols>
    <col min="1" max="2" width="12.625" style="2421"/>
    <col min="3" max="4" width="12.625" style="2421" customWidth="1"/>
    <col min="5" max="9" width="12.625" style="2421"/>
    <col min="10" max="11" width="12.625" style="792" customWidth="1"/>
    <col min="12" max="12" width="12.625" style="792"/>
    <col min="13" max="13" width="14.125" style="792" bestFit="1" customWidth="1"/>
    <col min="14" max="26" width="12.625" style="792"/>
    <col min="27" max="35" width="12.625" style="2420"/>
    <col min="36" max="16384" width="12.625" style="2421"/>
  </cols>
  <sheetData>
    <row r="1" spans="1:12" ht="21.75" customHeight="1" thickBot="1">
      <c r="A1" s="2221" t="s">
        <v>2116</v>
      </c>
      <c r="B1" s="2415"/>
      <c r="C1" s="2416" t="s">
        <v>3145</v>
      </c>
      <c r="D1" s="2415"/>
      <c r="E1" s="2415"/>
      <c r="F1" s="2417" t="s">
        <v>2117</v>
      </c>
      <c r="G1" s="2067" t="s">
        <v>3201</v>
      </c>
      <c r="H1" s="2418" t="str">
        <f>IF(G1="现房","——","估价对象范围")</f>
        <v>——</v>
      </c>
      <c r="I1" s="2419" t="s">
        <v>3202</v>
      </c>
    </row>
    <row r="2" spans="1:12" ht="21.75" customHeight="1" thickBot="1">
      <c r="A2" s="3133" t="str">
        <f>项目基本情况!S2</f>
        <v>湖北省武汉市江夏区江夏经济开发区街文化大道36号鹏湖湾二期2-4栋/单元1-2层1号等31套商业用房房地产</v>
      </c>
      <c r="B2" s="3134"/>
      <c r="C2" s="3134"/>
      <c r="D2" s="3134"/>
      <c r="E2" s="3134"/>
      <c r="F2" s="3134"/>
      <c r="G2" s="3134"/>
      <c r="H2" s="3134"/>
      <c r="I2" s="3135"/>
    </row>
    <row r="3" spans="1:12" ht="12.75">
      <c r="A3" s="3136" t="s">
        <v>2118</v>
      </c>
      <c r="B3" s="3137"/>
      <c r="C3" s="3137"/>
      <c r="D3" s="3137"/>
      <c r="E3" s="3137"/>
      <c r="F3" s="3137"/>
      <c r="G3" s="3137"/>
      <c r="H3" s="3137"/>
      <c r="I3" s="3137"/>
    </row>
    <row r="4" spans="1:12" ht="14.25">
      <c r="A4" s="2422" t="s">
        <v>2119</v>
      </c>
      <c r="B4" s="2423" t="s">
        <v>2120</v>
      </c>
      <c r="C4" s="2424" t="s">
        <v>3203</v>
      </c>
      <c r="D4" s="2424" t="s">
        <v>3144</v>
      </c>
      <c r="E4" s="3117" t="s">
        <v>2121</v>
      </c>
      <c r="F4" s="3130"/>
      <c r="G4" s="3130"/>
      <c r="H4" s="3130"/>
      <c r="I4" s="3118"/>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08" t="s">
        <v>2122</v>
      </c>
      <c r="B5" s="3034">
        <v>25</v>
      </c>
      <c r="C5" s="3138">
        <v>20</v>
      </c>
      <c r="D5" s="3126">
        <v>15</v>
      </c>
      <c r="E5" s="140" t="s">
        <v>2123</v>
      </c>
      <c r="F5" s="2426"/>
      <c r="G5" s="2426"/>
      <c r="H5" s="2426"/>
      <c r="I5" s="1831"/>
    </row>
    <row r="6" spans="1:12" ht="12.75">
      <c r="A6" s="3108"/>
      <c r="B6" s="3034"/>
      <c r="C6" s="3140"/>
      <c r="D6" s="3126"/>
      <c r="E6" s="140" t="s">
        <v>2124</v>
      </c>
      <c r="F6" s="2426"/>
      <c r="G6" s="2426"/>
      <c r="H6" s="2426"/>
      <c r="I6" s="1831"/>
    </row>
    <row r="7" spans="1:12" ht="12.75">
      <c r="A7" s="3108"/>
      <c r="B7" s="3034"/>
      <c r="C7" s="3139"/>
      <c r="D7" s="3126"/>
      <c r="E7" s="140" t="s">
        <v>2125</v>
      </c>
      <c r="F7" s="2426"/>
      <c r="G7" s="2426"/>
      <c r="H7" s="2426"/>
      <c r="I7" s="1831"/>
    </row>
    <row r="8" spans="1:12" ht="12.75">
      <c r="A8" s="3108" t="s">
        <v>2126</v>
      </c>
      <c r="B8" s="3034">
        <v>15</v>
      </c>
      <c r="C8" s="3138">
        <v>12</v>
      </c>
      <c r="D8" s="3126">
        <v>10</v>
      </c>
      <c r="E8" s="140" t="s">
        <v>2127</v>
      </c>
      <c r="F8" s="2426"/>
      <c r="G8" s="2426"/>
      <c r="H8" s="2426"/>
      <c r="I8" s="1831"/>
    </row>
    <row r="9" spans="1:12" ht="12.75">
      <c r="A9" s="3108"/>
      <c r="B9" s="3034"/>
      <c r="C9" s="3139"/>
      <c r="D9" s="3126"/>
      <c r="E9" s="140" t="s">
        <v>2128</v>
      </c>
      <c r="F9" s="2426"/>
      <c r="G9" s="2426"/>
      <c r="H9" s="2426"/>
      <c r="I9" s="1831"/>
    </row>
    <row r="10" spans="1:12" ht="12.75">
      <c r="A10" s="3108" t="s">
        <v>2129</v>
      </c>
      <c r="B10" s="3034">
        <v>15</v>
      </c>
      <c r="C10" s="3138">
        <v>12</v>
      </c>
      <c r="D10" s="3126">
        <v>10</v>
      </c>
      <c r="E10" s="140" t="s">
        <v>2130</v>
      </c>
      <c r="F10" s="2426"/>
      <c r="G10" s="2426"/>
      <c r="H10" s="2426"/>
      <c r="I10" s="1831"/>
    </row>
    <row r="11" spans="1:12" ht="12.75">
      <c r="A11" s="3108"/>
      <c r="B11" s="3034"/>
      <c r="C11" s="3139"/>
      <c r="D11" s="3126"/>
      <c r="E11" s="140" t="s">
        <v>2131</v>
      </c>
      <c r="F11" s="2426"/>
      <c r="G11" s="2426"/>
      <c r="H11" s="2426"/>
      <c r="I11" s="1831"/>
    </row>
    <row r="12" spans="1:12" ht="12.75">
      <c r="A12" s="3108" t="s">
        <v>2132</v>
      </c>
      <c r="B12" s="3034">
        <v>15</v>
      </c>
      <c r="C12" s="3138">
        <v>12</v>
      </c>
      <c r="D12" s="3126">
        <v>10</v>
      </c>
      <c r="E12" s="140" t="s">
        <v>2133</v>
      </c>
      <c r="F12" s="2426"/>
      <c r="G12" s="2426"/>
      <c r="H12" s="2426"/>
      <c r="I12" s="1831"/>
    </row>
    <row r="13" spans="1:12" ht="12.75">
      <c r="A13" s="3108"/>
      <c r="B13" s="3034"/>
      <c r="C13" s="3139"/>
      <c r="D13" s="3126"/>
      <c r="E13" s="140" t="s">
        <v>2134</v>
      </c>
      <c r="F13" s="2426"/>
      <c r="G13" s="2426"/>
      <c r="H13" s="2426"/>
      <c r="I13" s="1831"/>
    </row>
    <row r="14" spans="1:12" ht="12.75">
      <c r="A14" s="3108" t="s">
        <v>2135</v>
      </c>
      <c r="B14" s="3034">
        <v>30</v>
      </c>
      <c r="C14" s="3138">
        <v>25</v>
      </c>
      <c r="D14" s="3126">
        <v>10</v>
      </c>
      <c r="E14" s="140" t="s">
        <v>2136</v>
      </c>
      <c r="F14" s="2426"/>
      <c r="G14" s="2426"/>
      <c r="H14" s="2426"/>
      <c r="I14" s="1831"/>
    </row>
    <row r="15" spans="1:12" ht="12.75">
      <c r="A15" s="3108"/>
      <c r="B15" s="3034"/>
      <c r="C15" s="3140"/>
      <c r="D15" s="3126"/>
      <c r="E15" s="140" t="s">
        <v>2137</v>
      </c>
      <c r="F15" s="2426"/>
      <c r="G15" s="2426"/>
      <c r="H15" s="2426"/>
      <c r="I15" s="1831"/>
    </row>
    <row r="16" spans="1:12" ht="12.75">
      <c r="A16" s="3108"/>
      <c r="B16" s="3034"/>
      <c r="C16" s="3139"/>
      <c r="D16" s="3126"/>
      <c r="E16" s="140" t="s">
        <v>2138</v>
      </c>
      <c r="F16" s="2426"/>
      <c r="G16" s="2426"/>
      <c r="H16" s="2426"/>
      <c r="I16" s="1831"/>
    </row>
    <row r="17" spans="1:35" ht="15">
      <c r="A17" s="2427" t="s">
        <v>2139</v>
      </c>
      <c r="B17" s="64"/>
      <c r="C17" s="141">
        <f>SUM(C5:C16)</f>
        <v>81</v>
      </c>
      <c r="D17" s="141">
        <f>SUM(D5:D16)</f>
        <v>55</v>
      </c>
      <c r="E17" s="138"/>
      <c r="F17" s="138"/>
      <c r="G17" s="138"/>
      <c r="H17" s="138"/>
      <c r="I17" s="138"/>
      <c r="K17" s="2425"/>
      <c r="L17" s="2428" t="s">
        <v>2140</v>
      </c>
      <c r="M17" s="2428" t="s">
        <v>2141</v>
      </c>
    </row>
    <row r="18" spans="1:35" ht="15.75" thickBot="1">
      <c r="A18" s="2429" t="s">
        <v>2142</v>
      </c>
      <c r="B18" s="2430"/>
      <c r="C18" s="142">
        <f>ROUND(C17/SUM(C17:D17),2)</f>
        <v>0.6</v>
      </c>
      <c r="D18" s="142">
        <f>1-C18</f>
        <v>0.4</v>
      </c>
      <c r="E18" s="138"/>
      <c r="F18" s="138"/>
      <c r="G18" s="138"/>
      <c r="H18" s="138"/>
      <c r="I18" s="138"/>
      <c r="K18" s="2425" t="s">
        <v>2143</v>
      </c>
      <c r="L18" s="2425">
        <f>IF(C1="",'数据-汇总表'!E3,SUMIF(项目类型,C1,'数据-汇总表'!E17:E26)+SUMIF(项目类型,C1,'数据-汇总表'!I17:I26))</f>
        <v>54.53</v>
      </c>
      <c r="M18" s="2425">
        <f>IF(C1="",'数据-汇总表'!E3,SUMIF(项目类型,C1,'数据-汇总表'!E17:E26))</f>
        <v>54.53</v>
      </c>
    </row>
    <row r="19" spans="1:35" ht="15">
      <c r="A19" s="2431" t="s">
        <v>2144</v>
      </c>
      <c r="B19" s="2432" t="s">
        <v>2145</v>
      </c>
      <c r="C19" s="143">
        <f ca="1">SUMIF(INDIRECT("'"&amp;C4&amp;"'"&amp;"!A:A"),结果表!B19,INDIRECT("'"&amp;C4&amp;"'"&amp;"!B:B"))</f>
        <v>153</v>
      </c>
      <c r="D19" s="144">
        <f ca="1">SUMIF(INDIRECT("'"&amp;D4&amp;"'"&amp;"!A:A"),结果表!B19,INDIRECT("'"&amp;D4&amp;"'"&amp;"!B:B"))</f>
        <v>103</v>
      </c>
      <c r="E19" s="2431" t="s">
        <v>2146</v>
      </c>
      <c r="F19" s="2432" t="s">
        <v>2145</v>
      </c>
      <c r="G19" s="145">
        <f ca="1">ROUND(C19*$C$18+D19*$D$18,0)</f>
        <v>133</v>
      </c>
      <c r="H19" s="2433" t="s">
        <v>2147</v>
      </c>
      <c r="I19" s="138"/>
      <c r="K19" s="2425" t="s">
        <v>2148</v>
      </c>
      <c r="L19" s="2425">
        <f>IF(C1="",'数据-汇总表'!D3,SUMIF(项目类型,C1,'数据-汇总表'!D17:D26)+SUMIF(项目类型,C1,'数据-汇总表'!H17:H27))</f>
        <v>6.5</v>
      </c>
      <c r="M19" s="2425">
        <f>IF(C1="",'数据-汇总表'!D3,SUMIF(项目类型,C1,'数据-汇总表'!D17:D26))</f>
        <v>6.5</v>
      </c>
    </row>
    <row r="20" spans="1:35" ht="15">
      <c r="A20" s="2434"/>
      <c r="B20" s="1247" t="s">
        <v>2149</v>
      </c>
      <c r="C20" s="146">
        <f ca="1">SUMIF(INDIRECT("'"&amp;C4&amp;"'"&amp;"!A:A"),结果表!B20,INDIRECT("'"&amp;C4&amp;"'"&amp;"!B:B"))</f>
        <v>28047</v>
      </c>
      <c r="D20" s="147">
        <f ca="1">SUMIF(INDIRECT("'"&amp;D4&amp;"'"&amp;"!A:A"),结果表!B20,INDIRECT("'"&amp;D4&amp;"'"&amp;"!B:B"))</f>
        <v>18879</v>
      </c>
      <c r="E20" s="2434"/>
      <c r="F20" s="1247" t="s">
        <v>2149</v>
      </c>
      <c r="G20" s="148">
        <f ca="1">ROUND(C20*$C$18+D20*$D$18,0)</f>
        <v>24380</v>
      </c>
      <c r="H20" s="980" t="s">
        <v>2150</v>
      </c>
      <c r="I20" s="138"/>
    </row>
    <row r="21" spans="1:35" ht="15" customHeight="1" thickBot="1">
      <c r="A21" s="1000"/>
      <c r="B21" s="2435" t="s">
        <v>2151</v>
      </c>
      <c r="C21" s="786">
        <f ca="1">ROUND(C19*10000/L19,0)</f>
        <v>235385</v>
      </c>
      <c r="D21" s="787">
        <f ca="1">ROUND(D19*10000/L19,0)</f>
        <v>158462</v>
      </c>
      <c r="E21" s="1000"/>
      <c r="F21" s="2435" t="s">
        <v>2151</v>
      </c>
      <c r="G21" s="149">
        <f ca="1">ROUND(G19*10000/L19,0)</f>
        <v>204615</v>
      </c>
      <c r="H21" s="2436" t="s">
        <v>2150</v>
      </c>
      <c r="I21" s="138"/>
    </row>
    <row r="22" spans="1:35" ht="15" thickBot="1">
      <c r="A22" s="2277" t="s">
        <v>2152</v>
      </c>
      <c r="B22" s="2437"/>
      <c r="C22" s="2438"/>
      <c r="D22" s="788">
        <f ca="1">IF(C19&lt;D19,D19/C19-1,C19/D19-1)</f>
        <v>0.4854368932038835</v>
      </c>
      <c r="E22" s="138"/>
      <c r="F22" s="138"/>
      <c r="G22" s="138"/>
      <c r="H22" s="138"/>
      <c r="I22" s="138"/>
    </row>
    <row r="23" spans="1:35" ht="13.5" thickBot="1">
      <c r="A23" s="2415"/>
      <c r="B23" s="2415"/>
      <c r="C23" s="2415"/>
      <c r="D23" s="2415"/>
      <c r="E23" s="138"/>
      <c r="F23" s="138"/>
      <c r="G23" s="138"/>
      <c r="H23" s="138"/>
      <c r="I23" s="138"/>
    </row>
    <row r="24" spans="1:35" ht="14.25">
      <c r="A24" s="3147" t="s">
        <v>2153</v>
      </c>
      <c r="B24" s="2432" t="s">
        <v>2145</v>
      </c>
      <c r="C24" s="145">
        <f>IF(B30=0,0,D30)</f>
        <v>0</v>
      </c>
      <c r="D24" s="2439"/>
      <c r="E24" s="138"/>
      <c r="F24" s="138"/>
      <c r="G24" s="138"/>
      <c r="H24" s="138"/>
      <c r="I24" s="138"/>
    </row>
    <row r="25" spans="1:35" ht="14.25">
      <c r="A25" s="3148"/>
      <c r="B25" s="1247" t="s">
        <v>2149</v>
      </c>
      <c r="C25" s="150">
        <f>IF(B30=0,0,C30)</f>
        <v>0</v>
      </c>
      <c r="D25" s="2440"/>
      <c r="E25" s="138"/>
      <c r="F25" s="138"/>
      <c r="G25" s="138"/>
      <c r="H25" s="138"/>
      <c r="I25" s="138"/>
    </row>
    <row r="26" spans="1:35" ht="13.5" customHeight="1">
      <c r="A26" s="2441" t="s">
        <v>2154</v>
      </c>
      <c r="B26" s="151" t="s">
        <v>2155</v>
      </c>
      <c r="C26" s="151" t="s">
        <v>2156</v>
      </c>
      <c r="D26" s="152" t="s">
        <v>2157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2158</v>
      </c>
      <c r="B30" s="151"/>
      <c r="C30" s="151"/>
      <c r="D30" s="151"/>
      <c r="E30" s="2924" t="s">
        <v>3032</v>
      </c>
      <c r="F30" s="138"/>
      <c r="G30" s="138"/>
      <c r="H30" s="138"/>
      <c r="I30" s="138"/>
    </row>
    <row r="31" spans="1:35" s="2443" customFormat="1" ht="15" thickBot="1">
      <c r="A31" s="2442"/>
      <c r="B31" s="2442"/>
      <c r="C31" s="2442"/>
      <c r="D31" s="2442"/>
      <c r="E31" s="138"/>
      <c r="F31" s="138"/>
      <c r="G31" s="138"/>
      <c r="H31" s="138"/>
      <c r="I31" s="138"/>
      <c r="J31" s="792"/>
      <c r="K31" s="792"/>
      <c r="L31" s="792"/>
      <c r="M31" s="792"/>
      <c r="N31" s="792"/>
      <c r="O31" s="792"/>
      <c r="P31" s="792"/>
      <c r="Q31" s="792"/>
      <c r="R31" s="792"/>
      <c r="S31" s="792"/>
      <c r="T31" s="792"/>
      <c r="U31" s="792"/>
      <c r="V31" s="792"/>
      <c r="W31" s="792"/>
      <c r="X31" s="792"/>
      <c r="Y31" s="792"/>
      <c r="Z31" s="792"/>
      <c r="AA31" s="2420"/>
      <c r="AB31" s="2420"/>
      <c r="AC31" s="2420"/>
      <c r="AD31" s="2420"/>
      <c r="AE31" s="2420"/>
      <c r="AF31" s="2420"/>
      <c r="AG31" s="2420"/>
      <c r="AH31" s="2420"/>
      <c r="AI31" s="2420"/>
    </row>
    <row r="32" spans="1:35" ht="15.75" thickBot="1">
      <c r="A32" s="2444" t="s">
        <v>2159</v>
      </c>
      <c r="B32" s="2445"/>
      <c r="C32" s="153">
        <f ca="1">IF(D32="总价",G19-C24,G20-C25)</f>
        <v>133</v>
      </c>
      <c r="D32" s="2446" t="s">
        <v>2160</v>
      </c>
      <c r="E32" s="138"/>
      <c r="F32" s="138"/>
      <c r="G32" s="138"/>
      <c r="H32" s="138"/>
      <c r="I32" s="138"/>
    </row>
    <row r="33" spans="1:15" ht="15">
      <c r="A33" s="957" t="s">
        <v>2161</v>
      </c>
      <c r="B33" s="2447"/>
      <c r="C33" s="2448"/>
      <c r="D33" s="2449"/>
      <c r="E33" s="2450" t="s">
        <v>2162</v>
      </c>
      <c r="F33" s="2451" t="str">
        <f>IF(D32="楼面单价","取值（单价）","取值（总价）")</f>
        <v>取值（总价）</v>
      </c>
      <c r="G33" s="138"/>
      <c r="H33" s="138"/>
      <c r="I33" s="138"/>
    </row>
    <row r="34" spans="1:15" ht="15">
      <c r="A34" s="2452"/>
      <c r="B34" s="2453"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2164</v>
      </c>
      <c r="F34" s="1736"/>
      <c r="G34" s="138"/>
      <c r="H34" s="138"/>
      <c r="I34" s="138"/>
    </row>
    <row r="35" spans="1:15" ht="15.75" thickBot="1">
      <c r="A35" s="2455"/>
      <c r="B35" s="2456"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2166</v>
      </c>
      <c r="F35" s="163"/>
      <c r="G35" s="138"/>
      <c r="H35" s="138"/>
      <c r="I35" s="138"/>
    </row>
    <row r="36" spans="1:15" ht="15.75" thickBot="1">
      <c r="A36" s="3127" t="s">
        <v>2167</v>
      </c>
      <c r="B36" s="2458" t="s">
        <v>2168</v>
      </c>
      <c r="C36" s="154"/>
      <c r="D36" s="2459"/>
      <c r="E36" s="2460"/>
      <c r="F36" s="2461"/>
      <c r="G36" s="138"/>
      <c r="H36" s="138"/>
      <c r="I36" s="138"/>
    </row>
    <row r="37" spans="1:15" ht="15.75" thickBot="1">
      <c r="A37" s="3128"/>
      <c r="B37" s="2263" t="s">
        <v>2169</v>
      </c>
      <c r="C37" s="156"/>
      <c r="D37" s="1392"/>
      <c r="E37" s="1392"/>
      <c r="F37" s="2461"/>
      <c r="G37" s="138"/>
      <c r="H37" s="138"/>
      <c r="I37" s="138"/>
    </row>
    <row r="38" spans="1:15" ht="15.75" thickBot="1">
      <c r="A38" s="3129"/>
      <c r="B38" s="2462" t="s">
        <v>2170</v>
      </c>
      <c r="C38" s="724"/>
      <c r="D38" s="2463" t="s">
        <v>2171</v>
      </c>
      <c r="E38" s="1392"/>
      <c r="F38" s="2461"/>
      <c r="G38" s="138"/>
      <c r="H38" s="138"/>
      <c r="I38" s="138"/>
    </row>
    <row r="39" spans="1:15" ht="15">
      <c r="A39" s="2434" t="s">
        <v>2172</v>
      </c>
      <c r="B39" s="2464" t="s">
        <v>2173</v>
      </c>
      <c r="C39" s="2465" t="s">
        <v>2174</v>
      </c>
      <c r="D39" s="2465" t="s">
        <v>2175</v>
      </c>
      <c r="E39" s="2466" t="s">
        <v>2176</v>
      </c>
      <c r="F39" s="2461"/>
      <c r="G39" s="138"/>
      <c r="H39" s="138"/>
      <c r="I39" s="138"/>
    </row>
    <row r="40" spans="1:15" ht="14.25">
      <c r="A40" s="2467" t="s">
        <v>2177</v>
      </c>
      <c r="B40" s="158"/>
      <c r="C40" s="159"/>
      <c r="D40" s="159"/>
      <c r="E40" s="160"/>
      <c r="F40" s="2461"/>
      <c r="G40" s="138"/>
      <c r="H40" s="138"/>
      <c r="I40" s="138"/>
    </row>
    <row r="41" spans="1:15" ht="14.25">
      <c r="A41" s="2467" t="s">
        <v>2178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1"/>
      <c r="B43" s="2161"/>
      <c r="C43" s="2161"/>
      <c r="D43" s="2161"/>
      <c r="E43" s="2161"/>
      <c r="F43" s="2469"/>
      <c r="G43" s="2469"/>
      <c r="H43" s="2469"/>
      <c r="I43" s="2470"/>
    </row>
    <row r="44" spans="1:15" ht="18.75">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44" t="s">
        <v>2181</v>
      </c>
      <c r="B45" s="3145"/>
      <c r="C45" s="3146"/>
      <c r="D45" s="164">
        <f ca="1">ROUND(H101*F45,0)</f>
        <v>133</v>
      </c>
      <c r="E45" s="165" t="s">
        <v>2182</v>
      </c>
      <c r="F45" s="166">
        <v>1</v>
      </c>
      <c r="G45" s="167" t="s">
        <v>2183</v>
      </c>
      <c r="H45" s="138"/>
      <c r="I45" s="138"/>
      <c r="J45" s="3063" t="s">
        <v>2184</v>
      </c>
      <c r="K45" s="3063"/>
      <c r="L45" s="3063"/>
      <c r="M45" s="3063"/>
      <c r="N45" s="3063"/>
      <c r="O45" s="3063"/>
    </row>
    <row r="46" spans="1:15" ht="14.25" customHeight="1">
      <c r="A46" s="3141" t="s">
        <v>2185</v>
      </c>
      <c r="B46" s="3142"/>
      <c r="C46" s="3142"/>
      <c r="D46" s="3142"/>
      <c r="E46" s="3142"/>
      <c r="F46" s="3142"/>
      <c r="G46" s="3143"/>
      <c r="H46" s="2477"/>
      <c r="I46" s="168"/>
      <c r="J46" s="1809">
        <v>1</v>
      </c>
      <c r="K46" s="3063" t="s">
        <v>2186</v>
      </c>
      <c r="L46" s="3063"/>
      <c r="M46" s="3064"/>
      <c r="N46" s="3064"/>
      <c r="O46" s="3064"/>
    </row>
    <row r="47" spans="1:15" ht="12" customHeight="1">
      <c r="A47" s="169" t="s">
        <v>2187</v>
      </c>
      <c r="B47" s="170"/>
      <c r="C47" s="171"/>
      <c r="D47" s="172" t="s">
        <v>2188</v>
      </c>
      <c r="E47" s="24" t="s">
        <v>2189</v>
      </c>
      <c r="F47" s="173" t="s">
        <v>2190</v>
      </c>
      <c r="G47" s="174" t="s">
        <v>2191</v>
      </c>
      <c r="H47" s="2477"/>
      <c r="I47" s="168"/>
      <c r="J47" s="1809">
        <v>2</v>
      </c>
      <c r="K47" s="3063" t="s">
        <v>2192</v>
      </c>
      <c r="L47" s="3063"/>
      <c r="M47" s="3065">
        <f>'数据-取费表'!B2</f>
        <v>43262</v>
      </c>
      <c r="N47" s="3065"/>
      <c r="O47" s="3065"/>
    </row>
    <row r="48" spans="1:15" ht="25.5">
      <c r="A48" s="3131" t="s">
        <v>2193</v>
      </c>
      <c r="B48" s="3132"/>
      <c r="C48" s="3132"/>
      <c r="D48" s="140">
        <f>IF(H48="情况1",0,IF(H48="情况2",D52,IF(H48="情况3",D53,IF(H48="情况4",D54))))</f>
        <v>0</v>
      </c>
      <c r="E48" s="1798" t="str">
        <f>IF(H48="情况4","(销售额-原购置价)×税（费）率","销售额×税（费）率")</f>
        <v>销售额×税（费）率</v>
      </c>
      <c r="F48" s="175" t="str">
        <f>IF(H48="情况1","免征",'数据-取费表'!B41)</f>
        <v>免征</v>
      </c>
      <c r="G48" s="2478" t="s">
        <v>2194</v>
      </c>
      <c r="H48" s="2479" t="s">
        <v>2195</v>
      </c>
      <c r="I48" s="2477"/>
      <c r="J48" s="1809">
        <v>3</v>
      </c>
      <c r="K48" s="3063" t="s">
        <v>2196</v>
      </c>
      <c r="L48" s="3063"/>
      <c r="M48" s="3066">
        <f ca="1">H101</f>
        <v>133</v>
      </c>
      <c r="N48" s="3066"/>
      <c r="O48" s="3066"/>
    </row>
    <row r="49" spans="1:35" ht="25.5" customHeight="1">
      <c r="A49" s="176" t="s">
        <v>2197</v>
      </c>
      <c r="B49" s="3111" t="s">
        <v>2198</v>
      </c>
      <c r="C49" s="3111"/>
      <c r="D49" s="177">
        <v>0</v>
      </c>
      <c r="E49" s="23" t="s">
        <v>2199</v>
      </c>
      <c r="F49" s="28" t="s">
        <v>34</v>
      </c>
      <c r="G49" s="3092"/>
      <c r="H49" s="138"/>
      <c r="I49" s="2480"/>
      <c r="J49" s="1809">
        <v>4</v>
      </c>
      <c r="K49" s="3063" t="str">
        <f>IF(项目基本情况!E8="房地产抵押价值","房地产抵押价值","抵押担保权已注销时的房地产抵押价值")</f>
        <v>房地产抵押价值</v>
      </c>
      <c r="L49" s="3063"/>
      <c r="M49" s="3066">
        <f ca="1">IF(项目基本情况!E8="房地产抵押价值",H107,H109)</f>
        <v>133</v>
      </c>
      <c r="N49" s="3066"/>
      <c r="O49" s="3066"/>
    </row>
    <row r="50" spans="1:35" ht="25.5" customHeight="1">
      <c r="A50" s="178"/>
      <c r="B50" s="3111" t="s">
        <v>2200</v>
      </c>
      <c r="C50" s="3111"/>
      <c r="D50" s="179"/>
      <c r="E50" s="31"/>
      <c r="F50" s="180"/>
      <c r="G50" s="3093"/>
      <c r="H50" s="138"/>
      <c r="I50" s="2480"/>
      <c r="J50" s="3063" t="s">
        <v>2201</v>
      </c>
      <c r="K50" s="3063"/>
      <c r="L50" s="3063"/>
      <c r="M50" s="3063"/>
      <c r="N50" s="3063"/>
      <c r="O50" s="3063"/>
    </row>
    <row r="51" spans="1:35" ht="12" customHeight="1">
      <c r="A51" s="181"/>
      <c r="B51" s="3111" t="s">
        <v>2202</v>
      </c>
      <c r="C51" s="3111"/>
      <c r="D51" s="182"/>
      <c r="E51" s="30"/>
      <c r="F51" s="180"/>
      <c r="G51" s="3094"/>
      <c r="H51" s="138"/>
      <c r="I51" s="2480"/>
      <c r="J51" s="2481" t="s">
        <v>2203</v>
      </c>
      <c r="K51" s="3063" t="s">
        <v>2204</v>
      </c>
      <c r="L51" s="3063"/>
      <c r="M51" s="2481" t="s">
        <v>2205</v>
      </c>
      <c r="N51" s="2481" t="s">
        <v>2206</v>
      </c>
      <c r="O51" s="2481" t="s">
        <v>2207</v>
      </c>
    </row>
    <row r="52" spans="1:35" ht="24" customHeight="1">
      <c r="A52" s="183" t="s">
        <v>2208</v>
      </c>
      <c r="B52" s="3111" t="s">
        <v>2209</v>
      </c>
      <c r="C52" s="3111"/>
      <c r="D52" s="182">
        <f ca="1">ROUND(D45*'数据-取费表'!B41/(1+'数据-取费表'!C42),0)</f>
        <v>7</v>
      </c>
      <c r="E52" s="11" t="s">
        <v>2210</v>
      </c>
      <c r="F52" s="184">
        <f>'数据-取费表'!B41</f>
        <v>5.6000000000000001E-2</v>
      </c>
      <c r="G52" s="2482"/>
      <c r="H52" s="138"/>
      <c r="I52" s="2480"/>
      <c r="J52" s="1809">
        <v>1</v>
      </c>
      <c r="K52" s="3086" t="s">
        <v>2211</v>
      </c>
      <c r="L52" s="3086"/>
      <c r="M52" s="1751">
        <f>D48</f>
        <v>0</v>
      </c>
      <c r="N52" s="1809" t="str">
        <f>E48</f>
        <v>销售额×税（费）率</v>
      </c>
      <c r="O52" s="1752" t="str">
        <f>F48</f>
        <v>免征</v>
      </c>
    </row>
    <row r="53" spans="1:35" ht="12" customHeight="1">
      <c r="A53" s="183" t="s">
        <v>2212</v>
      </c>
      <c r="B53" s="3112" t="s">
        <v>2213</v>
      </c>
      <c r="C53" s="3113"/>
      <c r="D53" s="182">
        <f ca="1">ROUND(D45*'数据-取费表'!B41/(1+'数据-取费表'!C42),0)</f>
        <v>7</v>
      </c>
      <c r="E53" s="11" t="s">
        <v>2210</v>
      </c>
      <c r="F53" s="184">
        <f>'数据-取费表'!B41</f>
        <v>5.6000000000000001E-2</v>
      </c>
      <c r="G53" s="2482"/>
      <c r="H53" s="138"/>
      <c r="I53" s="2480"/>
      <c r="J53" s="1809">
        <v>2</v>
      </c>
      <c r="K53" s="3086" t="s">
        <v>2214</v>
      </c>
      <c r="L53" s="3086"/>
      <c r="M53" s="1751">
        <f t="shared" ref="M53:O54" ca="1" si="0">D55</f>
        <v>0</v>
      </c>
      <c r="N53" s="1809" t="str">
        <f t="shared" si="0"/>
        <v>销售额×税（费）率</v>
      </c>
      <c r="O53" s="1752">
        <f t="shared" si="0"/>
        <v>5.0000000000000001E-4</v>
      </c>
    </row>
    <row r="54" spans="1:35" ht="12" customHeight="1">
      <c r="A54" s="183" t="s">
        <v>2215</v>
      </c>
      <c r="B54" s="3112" t="s">
        <v>2216</v>
      </c>
      <c r="C54" s="3113"/>
      <c r="D54" s="182">
        <f ca="1">C68</f>
        <v>7</v>
      </c>
      <c r="E54" s="30" t="s">
        <v>2217</v>
      </c>
      <c r="F54" s="184">
        <f>'数据-取费表'!B41</f>
        <v>5.6000000000000001E-2</v>
      </c>
      <c r="G54" s="2482"/>
      <c r="H54" s="2483"/>
      <c r="I54" s="2480"/>
      <c r="J54" s="1809">
        <v>3</v>
      </c>
      <c r="K54" s="3086" t="s">
        <v>2218</v>
      </c>
      <c r="L54" s="3086"/>
      <c r="M54" s="1751">
        <f t="shared" ca="1" si="0"/>
        <v>75</v>
      </c>
      <c r="N54" s="1809" t="str">
        <f t="shared" si="0"/>
        <v>增值额×税（费）率</v>
      </c>
      <c r="O54" s="1753" t="str">
        <f t="shared" si="0"/>
        <v>——</v>
      </c>
    </row>
    <row r="55" spans="1:35" ht="24" customHeight="1">
      <c r="A55" s="3150" t="s">
        <v>2219</v>
      </c>
      <c r="B55" s="3132"/>
      <c r="C55" s="3132"/>
      <c r="D55" s="185">
        <f ca="1">IF(H55="个人住宅",0,ROUND(D45*I55,0))</f>
        <v>0</v>
      </c>
      <c r="E55" s="11" t="s">
        <v>2220</v>
      </c>
      <c r="F55" s="184">
        <f>IF(H55="正常",I55,"免征")</f>
        <v>5.0000000000000001E-4</v>
      </c>
      <c r="G55" s="2482"/>
      <c r="H55" s="2479" t="s">
        <v>2221</v>
      </c>
      <c r="I55" s="186">
        <f>'数据-取费表'!B49</f>
        <v>5.0000000000000001E-4</v>
      </c>
      <c r="J55" s="1809" t="str">
        <f>IF(H59="非个人房产","",4)</f>
        <v/>
      </c>
      <c r="K55" s="3086" t="str">
        <f>IF(H59="非个人房产","——","个人所得税")</f>
        <v>——</v>
      </c>
      <c r="L55" s="3086"/>
      <c r="M55" s="1754" t="str">
        <f>D59</f>
        <v>——</v>
      </c>
      <c r="N55" s="1807" t="str">
        <f>E59</f>
        <v>——</v>
      </c>
      <c r="O55" s="1755" t="str">
        <f>F59</f>
        <v>——</v>
      </c>
    </row>
    <row r="56" spans="1:35" ht="24.75">
      <c r="A56" s="3150" t="s">
        <v>2222</v>
      </c>
      <c r="B56" s="3132"/>
      <c r="C56" s="3132"/>
      <c r="D56" s="185">
        <f ca="1">IF(H56="个人住宅",D57,D58)</f>
        <v>75</v>
      </c>
      <c r="E56" s="11" t="s">
        <v>2223</v>
      </c>
      <c r="F56" s="184" t="str">
        <f>IF(H56="正常",F58,"免征")</f>
        <v>——</v>
      </c>
      <c r="G56" s="2484" t="s">
        <v>2224</v>
      </c>
      <c r="H56" s="2485" t="s">
        <v>2221</v>
      </c>
      <c r="I56" s="2486"/>
      <c r="J56" s="1809" t="str">
        <f>IF(项目基本情况!K6="上海银行",IF(J55="",4,J55+1),"")</f>
        <v/>
      </c>
      <c r="K56" s="3069" t="str">
        <f>IF(项目基本情况!K6="上海银行","其他处置费用","")</f>
        <v/>
      </c>
      <c r="L56" s="3070"/>
      <c r="M56" s="1751" t="str">
        <f>IF(项目基本情况!K6="上海银行",M69,"")</f>
        <v/>
      </c>
      <c r="N56" s="3072" t="str">
        <f>IF(项目基本情况!K6="上海银行","包含处置中涉及的律师、诉讼、拍卖、评估等费用","")</f>
        <v/>
      </c>
      <c r="O56" s="3073"/>
    </row>
    <row r="57" spans="1:35" ht="12.75">
      <c r="A57" s="183" t="s">
        <v>2197</v>
      </c>
      <c r="B57" s="3117" t="s">
        <v>2225</v>
      </c>
      <c r="C57" s="3118"/>
      <c r="D57" s="187">
        <v>0</v>
      </c>
      <c r="E57" s="23" t="s">
        <v>2199</v>
      </c>
      <c r="F57" s="155"/>
      <c r="G57" s="2482"/>
      <c r="H57" s="2486"/>
      <c r="I57" s="2486"/>
      <c r="J57" s="3086">
        <f>IF(AND(J55="",J56=""),4,IF(项目基本情况!K6="上海银行",结果表!J56+1,结果表!J55+1))</f>
        <v>4</v>
      </c>
      <c r="K57" s="3086" t="s">
        <v>2226</v>
      </c>
      <c r="L57" s="2487" t="s">
        <v>2227</v>
      </c>
      <c r="M57" s="1756"/>
      <c r="N57" s="1757">
        <f ca="1">SUMIF(M52:M56,"&lt;9e307")</f>
        <v>75</v>
      </c>
      <c r="O57" s="2488"/>
      <c r="P57" s="1750">
        <f ca="1">N57/M49</f>
        <v>0.56390977443609025</v>
      </c>
    </row>
    <row r="58" spans="1:35" ht="24.75">
      <c r="A58" s="183" t="s">
        <v>2208</v>
      </c>
      <c r="B58" s="3117" t="s">
        <v>2228</v>
      </c>
      <c r="C58" s="3130"/>
      <c r="D58" s="185">
        <f ca="1">IF(H58="转让取得",C81,C97)</f>
        <v>75</v>
      </c>
      <c r="E58" s="11" t="s">
        <v>2223</v>
      </c>
      <c r="F58" s="24" t="s">
        <v>34</v>
      </c>
      <c r="G58" s="2482"/>
      <c r="H58" s="2485" t="s">
        <v>2229</v>
      </c>
      <c r="I58" s="2486"/>
      <c r="J58" s="3086"/>
      <c r="K58" s="3086"/>
      <c r="L58" s="2487" t="s">
        <v>2230</v>
      </c>
      <c r="M58" s="1758"/>
      <c r="N58" s="2489" t="str">
        <f ca="1">NUMBERSTRING(INT(N57*10000),2)&amp;"元整"</f>
        <v>柒拾伍万元整</v>
      </c>
      <c r="O58" s="2490"/>
    </row>
    <row r="59" spans="1:35" ht="24.75" thickBot="1">
      <c r="A59" s="3090" t="s">
        <v>2231</v>
      </c>
      <c r="B59" s="3091"/>
      <c r="C59" s="3091"/>
      <c r="D59" s="188" t="str">
        <f>IF(H59="非个人房产","——",IF(H59="个人住宅",0,ROUND(D45*I59,0)))</f>
        <v>——</v>
      </c>
      <c r="E59" s="189" t="str">
        <f>IF(H59="非个人房产","——","销售额×税（费）率")</f>
        <v>——</v>
      </c>
      <c r="F59" s="190" t="str">
        <f>IF(H59="非个人房产","——",IF(H59="个人住宅","免征",I59))</f>
        <v>——</v>
      </c>
      <c r="G59" s="2491" t="s">
        <v>2224</v>
      </c>
      <c r="H59" s="2485" t="s">
        <v>2232</v>
      </c>
      <c r="I59" s="191">
        <v>0.01</v>
      </c>
      <c r="J59" s="3088">
        <f>J57+1</f>
        <v>5</v>
      </c>
      <c r="K59" s="3086" t="s">
        <v>2233</v>
      </c>
      <c r="L59" s="1809" t="s">
        <v>2227</v>
      </c>
      <c r="M59" s="1759"/>
      <c r="N59" s="1760">
        <f ca="1">M49-N57</f>
        <v>58</v>
      </c>
      <c r="O59" s="2492"/>
    </row>
    <row r="60" spans="1:35" ht="12" customHeight="1">
      <c r="A60" s="2493"/>
      <c r="B60" s="2415"/>
      <c r="C60" s="2415"/>
      <c r="D60" s="2415"/>
      <c r="E60" s="2162"/>
      <c r="F60" s="2486"/>
      <c r="G60" s="2486"/>
      <c r="H60" s="2494"/>
      <c r="I60" s="138"/>
      <c r="J60" s="3089"/>
      <c r="K60" s="3086"/>
      <c r="L60" s="2487" t="s">
        <v>2230</v>
      </c>
      <c r="M60" s="1758"/>
      <c r="N60" s="2489" t="str">
        <f ca="1">NUMBERSTRING(INT(N59*10000),2)&amp;"元整"</f>
        <v>伍拾捌万元整</v>
      </c>
      <c r="O60" s="2490"/>
    </row>
    <row r="61" spans="1:35" ht="13.5" thickBot="1">
      <c r="A61" s="3149" t="s">
        <v>2234</v>
      </c>
      <c r="B61" s="3149"/>
      <c r="C61" s="3149"/>
      <c r="D61" s="3149"/>
      <c r="E61" s="3149"/>
      <c r="F61" s="2486"/>
      <c r="G61" s="2486"/>
      <c r="H61" s="2494"/>
      <c r="I61" s="138"/>
      <c r="J61" s="1809">
        <f>J59+1</f>
        <v>6</v>
      </c>
      <c r="K61" s="3086" t="s">
        <v>2235</v>
      </c>
      <c r="L61" s="3086"/>
      <c r="M61" s="1761"/>
      <c r="N61" s="1762">
        <f ca="1">ROUND(N59*10000/'数据-汇总表'!E3,0)</f>
        <v>68</v>
      </c>
      <c r="O61" s="2495"/>
    </row>
    <row r="62" spans="1:35" ht="12.75">
      <c r="A62" s="3106" t="s">
        <v>2236</v>
      </c>
      <c r="B62" s="3107"/>
      <c r="C62" s="1801"/>
      <c r="D62" s="1801" t="s">
        <v>2237</v>
      </c>
      <c r="E62" s="192" t="s">
        <v>2238</v>
      </c>
      <c r="F62" s="2486"/>
      <c r="G62" s="2486"/>
      <c r="H62" s="2494"/>
      <c r="I62" s="138"/>
    </row>
    <row r="63" spans="1:35" ht="12.75">
      <c r="A63" s="203" t="s">
        <v>775</v>
      </c>
      <c r="B63" s="193" t="s">
        <v>2239</v>
      </c>
      <c r="C63" s="194">
        <f ca="1">ROUND((C64+C65)/(1+'数据-取费表'!C42),0)</f>
        <v>127</v>
      </c>
      <c r="D63" s="195"/>
      <c r="E63" s="196"/>
      <c r="F63" s="2486"/>
      <c r="G63" s="2486"/>
      <c r="H63" s="2494"/>
      <c r="I63" s="138"/>
      <c r="J63" s="3071" t="s">
        <v>2240</v>
      </c>
      <c r="K63" s="2496" t="s">
        <v>2241</v>
      </c>
      <c r="L63" s="1749">
        <f ca="1">IF(M49&gt;10000,M49*0.5%,IF(AND(M49&gt;1000,M49&lt;=10000),M49*1%,IF(AND(M49&gt;100,M49&lt;=1000),M49*3%,IF(AND(M49&gt;10,M49&lt;=100),M49*5%,M49*8%))))</f>
        <v>3.9899999999999998</v>
      </c>
      <c r="M63" s="24">
        <f ca="1">ROUND(L63,1)</f>
        <v>4</v>
      </c>
      <c r="Z63" s="2420"/>
      <c r="AI63" s="2421"/>
    </row>
    <row r="64" spans="1:35" ht="14.25" customHeight="1">
      <c r="A64" s="197" t="s">
        <v>770</v>
      </c>
      <c r="B64" s="198" t="s">
        <v>2242</v>
      </c>
      <c r="C64" s="199">
        <f ca="1">D45</f>
        <v>133</v>
      </c>
      <c r="D64" s="200" t="s">
        <v>32</v>
      </c>
      <c r="E64" s="201"/>
      <c r="F64" s="2486"/>
      <c r="G64" s="2486"/>
      <c r="H64" s="2494"/>
      <c r="I64" s="138"/>
      <c r="J64" s="3071"/>
      <c r="K64" s="2496" t="s">
        <v>2243</v>
      </c>
      <c r="L64" s="1749">
        <f ca="1">IF(M49&gt;2000,M49*0.5%,IF(AND(M49&gt;1000,M49&lt;=2000),M49*0.6%,IF(AND(M49&gt;500,M49&lt;=1000),M49*0.7%,IF(AND(M49&gt;200,M49&lt;=500),M49*0.8%,IF(AND(M49&gt;100,M49&lt;=200),M49*0.9%,IF(AND(M49&gt;50,M49&lt;=100),M49*1%,IF(AND(M49&gt;20,M49&lt;=50),M49*1.5%,IF(AND(M49&gt;10,M49&lt;=20),M49*2%,IF(AND(M49&gt;1,M49&lt;=10),M49*2.5%)))))))))</f>
        <v>1.1970000000000001</v>
      </c>
      <c r="M64" s="24">
        <f t="shared" ref="M64:M65" ca="1" si="1">ROUND(L64,1)</f>
        <v>1.2</v>
      </c>
      <c r="N64" s="138" t="s">
        <v>2244</v>
      </c>
      <c r="Z64" s="2420"/>
      <c r="AI64" s="2421"/>
    </row>
    <row r="65" spans="1:35" ht="14.25" customHeight="1">
      <c r="A65" s="197" t="s">
        <v>771</v>
      </c>
      <c r="B65" s="198" t="s">
        <v>2245</v>
      </c>
      <c r="C65" s="202"/>
      <c r="D65" s="200"/>
      <c r="E65" s="201"/>
      <c r="F65" s="2486"/>
      <c r="G65" s="2486"/>
      <c r="H65" s="2494"/>
      <c r="I65" s="138"/>
      <c r="J65" s="3071"/>
      <c r="K65" s="2496" t="s">
        <v>2246</v>
      </c>
      <c r="L65" s="1749">
        <f ca="1">IF(M49&gt;1000,M49*0.1%,IF(AND(M49&gt;500,M49&lt;=1000),M49*0.5%,IF(AND(M49&gt;50,M49&lt;=500),M49*1%,IF(AND(M49&gt;1,M49&lt;=50),M49*1.5%))))</f>
        <v>1.33</v>
      </c>
      <c r="M65" s="24">
        <f t="shared" ca="1" si="1"/>
        <v>1.3</v>
      </c>
      <c r="N65" s="138" t="s">
        <v>2244</v>
      </c>
      <c r="Z65" s="2420"/>
      <c r="AI65" s="2421"/>
    </row>
    <row r="66" spans="1:35" ht="14.25" customHeight="1">
      <c r="A66" s="203" t="s">
        <v>772</v>
      </c>
      <c r="B66" s="204" t="s">
        <v>2247</v>
      </c>
      <c r="C66" s="205"/>
      <c r="D66" s="206" t="s">
        <v>32</v>
      </c>
      <c r="E66" s="1773" t="s">
        <v>1371</v>
      </c>
      <c r="F66" s="2486"/>
      <c r="G66" s="2486"/>
      <c r="H66" s="2494"/>
      <c r="I66" s="138"/>
      <c r="J66" s="3071"/>
      <c r="K66" s="2496" t="s">
        <v>2248</v>
      </c>
      <c r="L66" s="1749">
        <f ca="1">M49*0.5%</f>
        <v>0.66500000000000004</v>
      </c>
      <c r="M66" s="24">
        <f ca="1">IF(L66&gt;0.5,0.5,ROUND(L66,0))</f>
        <v>0.5</v>
      </c>
      <c r="N66" s="138" t="s">
        <v>2249</v>
      </c>
      <c r="Z66" s="2420"/>
      <c r="AI66" s="2421"/>
    </row>
    <row r="67" spans="1:35" ht="14.25" customHeight="1">
      <c r="A67" s="203" t="s">
        <v>773</v>
      </c>
      <c r="B67" s="204" t="s">
        <v>2250</v>
      </c>
      <c r="C67" s="207">
        <f ca="1">C63-C66</f>
        <v>127</v>
      </c>
      <c r="D67" s="200" t="s">
        <v>32</v>
      </c>
      <c r="E67" s="201"/>
      <c r="F67" s="2486"/>
      <c r="G67" s="2486"/>
      <c r="H67" s="2494"/>
      <c r="I67" s="138"/>
      <c r="J67" s="3071"/>
      <c r="K67" s="2496" t="s">
        <v>2251</v>
      </c>
      <c r="L67" s="1749">
        <f ca="1">IF(M49&gt;=10000,(8.25+(M49-10000)*0.01%),IF(AND(M49&gt;=8000,M49&lt;10000),(7.85+(M49-8000)*0.02%),IF(AND(M49&gt;=5000,M49&lt;8000),(6.65+(M49-5000)*0.04%),IF(AND(M49&gt;=2000,M49&lt;5000),(4.25+(PM49-2000)*0.08%),IF(AND(M49&gt;=1000,M49&lt;2000),(2.75+(M49-1000)*0.15%),IF(AND(M49&gt;=100,M49&lt;1000),(0.5+(M49-100)*0.25%),IF(AND(M49&gt;0,M49&lt;100),M49*0.5%)))))))</f>
        <v>0.58250000000000002</v>
      </c>
      <c r="M67" s="24">
        <f ca="1">ROUND(L67*0.9,1)</f>
        <v>0.5</v>
      </c>
      <c r="Z67" s="2420"/>
      <c r="AI67" s="2421"/>
    </row>
    <row r="68" spans="1:35" ht="14.25" customHeight="1" thickBot="1">
      <c r="A68" s="208" t="s">
        <v>774</v>
      </c>
      <c r="B68" s="209" t="s">
        <v>2252</v>
      </c>
      <c r="C68" s="210">
        <f ca="1">IF(C67&lt;=0,0,ROUND(C67*D68,0))</f>
        <v>7</v>
      </c>
      <c r="D68" s="211">
        <f>'数据-取费表'!B41</f>
        <v>5.6000000000000001E-2</v>
      </c>
      <c r="E68" s="212"/>
      <c r="F68" s="2486"/>
      <c r="G68" s="2486"/>
      <c r="H68" s="2494"/>
      <c r="I68" s="138"/>
      <c r="J68" s="3071"/>
      <c r="K68" s="2496" t="s">
        <v>2253</v>
      </c>
      <c r="L68" s="1749">
        <f ca="1">IF(M49&gt;10000,M49*0.5%,IF(AND(M49&gt;5000,M49&lt;=10000),M49*1%,IF(AND(M49&gt;1000,M49&lt;=5000),M49*2%,IF(AND(M49&gt;200,M49&lt;=1000),M49*3%,M49*5%))))</f>
        <v>6.65</v>
      </c>
      <c r="M68" s="24">
        <f ca="1">ROUND(L68,1)</f>
        <v>6.7</v>
      </c>
      <c r="Z68" s="2420"/>
      <c r="AI68" s="2421"/>
    </row>
    <row r="69" spans="1:35" s="2443" customFormat="1" ht="16.5" customHeight="1">
      <c r="A69" s="2497"/>
      <c r="B69" s="2498"/>
      <c r="C69" s="2499"/>
      <c r="D69" s="2500"/>
      <c r="E69" s="2501"/>
      <c r="F69" s="2162"/>
      <c r="G69" s="2162"/>
      <c r="H69" s="2161"/>
      <c r="I69" s="2415"/>
      <c r="J69" s="3071"/>
      <c r="K69" s="2496" t="s">
        <v>2254</v>
      </c>
      <c r="L69" s="2502"/>
      <c r="M69" s="24">
        <f ca="1">ROUND(SUM(M63:M68),0)</f>
        <v>14</v>
      </c>
      <c r="N69" s="1750">
        <f ca="1">M69/M49</f>
        <v>0.10526315789473684</v>
      </c>
      <c r="O69" s="792"/>
      <c r="P69" s="792"/>
      <c r="Q69" s="792"/>
      <c r="R69" s="792"/>
      <c r="S69" s="792"/>
      <c r="T69" s="792"/>
      <c r="U69" s="792"/>
      <c r="V69" s="792"/>
      <c r="W69" s="792"/>
      <c r="X69" s="792"/>
      <c r="Y69" s="792"/>
      <c r="Z69" s="2420"/>
      <c r="AA69" s="2420"/>
      <c r="AB69" s="2420"/>
      <c r="AC69" s="2420"/>
      <c r="AD69" s="2420"/>
      <c r="AE69" s="2420"/>
      <c r="AF69" s="2420"/>
      <c r="AG69" s="2420"/>
      <c r="AH69" s="2420"/>
    </row>
    <row r="70" spans="1:35" s="2504" customFormat="1" ht="15" thickBot="1">
      <c r="A70" s="3115" t="s">
        <v>2255</v>
      </c>
      <c r="B70" s="3116"/>
      <c r="C70" s="3116"/>
      <c r="D70" s="3116"/>
      <c r="E70" s="3116"/>
      <c r="F70" s="3116"/>
      <c r="G70" s="3116"/>
      <c r="H70" s="311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6" t="s">
        <v>2236</v>
      </c>
      <c r="B71" s="3107"/>
      <c r="C71" s="1801"/>
      <c r="D71" s="1801" t="s">
        <v>2237</v>
      </c>
      <c r="E71" s="213" t="s">
        <v>2238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2256</v>
      </c>
      <c r="C72" s="207">
        <f ca="1">ROUND(D45/(1+'数据-取费表'!C42),0)</f>
        <v>127</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2257</v>
      </c>
      <c r="C73" s="207">
        <f ca="1">C74+C78</f>
        <v>1</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2258</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2259</v>
      </c>
      <c r="C75" s="218"/>
      <c r="D75" s="200" t="s">
        <v>32</v>
      </c>
      <c r="E75" s="219" t="s">
        <v>2260</v>
      </c>
      <c r="F75" s="2508" t="s">
        <v>2261</v>
      </c>
      <c r="G75" s="219" t="s">
        <v>2262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2263</v>
      </c>
      <c r="C76" s="200">
        <f>IF(F75="购房发票",ROUND(C75*H75*D76,0),0)</f>
        <v>0</v>
      </c>
      <c r="D76" s="222">
        <v>0.05</v>
      </c>
      <c r="E76" s="3112" t="s">
        <v>2264</v>
      </c>
      <c r="F76" s="3111"/>
      <c r="G76" s="3111"/>
      <c r="H76" s="311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2265</v>
      </c>
      <c r="C77" s="200">
        <f>ROUND(IF(G77="个人住宅",0,IF(G77="2016年5月1日前购买",C75*D77,C75*D77/(1+'数据-取费表'!C42))),0)</f>
        <v>0</v>
      </c>
      <c r="D77" s="223">
        <f>'数据-取费表'!B48+'数据-取费表'!B49</f>
        <v>4.0500000000000001E-2</v>
      </c>
      <c r="E77" s="15" t="s">
        <v>2266</v>
      </c>
      <c r="F77" s="224"/>
      <c r="G77" s="2510" t="s">
        <v>2267</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2268</v>
      </c>
      <c r="C78" s="225">
        <f ca="1">ROUND(D45*D78/(1+'数据-取费表'!C42),0)</f>
        <v>1</v>
      </c>
      <c r="D78" s="226">
        <f>'数据-取费表'!B43</f>
        <v>6.000000000000001E-3</v>
      </c>
      <c r="E78" s="3103" t="s">
        <v>2269</v>
      </c>
      <c r="F78" s="3104"/>
      <c r="G78" s="3104"/>
      <c r="H78" s="310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2270</v>
      </c>
      <c r="C79" s="207">
        <f ca="1">C72-C73</f>
        <v>126</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2271</v>
      </c>
      <c r="C80" s="227">
        <f ca="1">IF(C79&lt;=0,0,C79/C73)</f>
        <v>126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2272</v>
      </c>
      <c r="C81" s="228">
        <f ca="1">ROUND(IF(C79&lt;=0,0,IF(C80&gt;=200%,C79*60%-C73*35%,IF(C80&gt;=100%,C79*50%-C73*15%,IF(C80&gt;=50%,C79*40%-C73*5%,IF(C80&lt;50%,C79*30%,0))))),0)</f>
        <v>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0"/>
      <c r="B82" s="731"/>
      <c r="C82" s="7"/>
      <c r="D82" s="7"/>
      <c r="E82" s="731"/>
      <c r="F82" s="731"/>
      <c r="G82" s="731"/>
      <c r="H82" s="732"/>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5" t="s">
        <v>2273</v>
      </c>
      <c r="B83" s="3116"/>
      <c r="C83" s="3116"/>
      <c r="D83" s="3116"/>
      <c r="E83" s="3116"/>
      <c r="F83" s="3116"/>
      <c r="G83" s="3116"/>
      <c r="H83" s="311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6" t="s">
        <v>2236</v>
      </c>
      <c r="B84" s="3107"/>
      <c r="C84" s="1801"/>
      <c r="D84" s="1801" t="s">
        <v>2237</v>
      </c>
      <c r="E84" s="213" t="s">
        <v>2238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2256</v>
      </c>
      <c r="C85" s="207">
        <f ca="1">ROUND(D45/(1+'数据-取费表'!C42),0)</f>
        <v>127</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2257</v>
      </c>
      <c r="C86" s="207">
        <f ca="1">IF(H88="仅含出让金",C87+C90+C91+C92+C93+C94,C87+C91+C92+C93+C94)</f>
        <v>1</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2274</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2275</v>
      </c>
      <c r="C88" s="236"/>
      <c r="D88" s="226"/>
      <c r="E88" s="237" t="s">
        <v>2276</v>
      </c>
      <c r="F88" s="1797"/>
      <c r="G88" s="238"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2265</v>
      </c>
      <c r="C89" s="225">
        <f>ROUND(C88*D89,0)</f>
        <v>0</v>
      </c>
      <c r="D89" s="226">
        <f>'数据-取费表'!B48+'数据-取费表'!B49</f>
        <v>4.0500000000000001E-2</v>
      </c>
      <c r="E89" s="237" t="s">
        <v>2278</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2279</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2280</v>
      </c>
      <c r="B91" s="198" t="s">
        <v>2281</v>
      </c>
      <c r="C91" s="225">
        <f>IF(H91="——",成本法!C33,I91)</f>
        <v>0</v>
      </c>
      <c r="D91" s="226"/>
      <c r="E91" s="3103" t="s">
        <v>2282</v>
      </c>
      <c r="F91" s="3104"/>
      <c r="G91" s="3104"/>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2284</v>
      </c>
      <c r="B92" s="198" t="s">
        <v>2285</v>
      </c>
      <c r="C92" s="225">
        <f>ROUND((C87+C90+C91)*D92,0)</f>
        <v>0</v>
      </c>
      <c r="D92" s="226">
        <v>0.1</v>
      </c>
      <c r="E92" s="3103" t="s">
        <v>2286</v>
      </c>
      <c r="F92" s="3104"/>
      <c r="G92" s="3104"/>
      <c r="H92" s="310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2287</v>
      </c>
      <c r="B93" s="198" t="s">
        <v>2268</v>
      </c>
      <c r="C93" s="225">
        <f ca="1">ROUND(D45*D93/(1+'数据-取费表'!C42),0)</f>
        <v>1</v>
      </c>
      <c r="D93" s="226">
        <f>'数据-取费表'!B43</f>
        <v>6.000000000000001E-3</v>
      </c>
      <c r="E93" s="3103" t="s">
        <v>2269</v>
      </c>
      <c r="F93" s="3104"/>
      <c r="G93" s="3104"/>
      <c r="H93" s="310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2288</v>
      </c>
      <c r="B94" s="198" t="s">
        <v>2289</v>
      </c>
      <c r="C94" s="236">
        <f>ROUND((C87+C90+C91)*D94,0)</f>
        <v>0</v>
      </c>
      <c r="D94" s="226">
        <v>0.2</v>
      </c>
      <c r="E94" s="3151" t="s">
        <v>2290</v>
      </c>
      <c r="F94" s="3152"/>
      <c r="G94" s="3152"/>
      <c r="H94" s="315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2270</v>
      </c>
      <c r="C95" s="207">
        <f ca="1">ROUND(C85-C86,0)</f>
        <v>126</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2271</v>
      </c>
      <c r="C96" s="227">
        <f ca="1">IF(C95&lt;=0,0,C95/C86)</f>
        <v>126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2272</v>
      </c>
      <c r="C97" s="228">
        <f ca="1">ROUND(IF(C95&lt;=0,0,IF(C96&gt;=200%,C95*60%-C86*35%,IF(C96&gt;=100%,C95*50%-C86*15%,IF(C96&gt;=50%,C95*40%-C86*5%,IF(C96&lt;50%,C95*30%,0))))),0)</f>
        <v>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8"/>
    </row>
    <row r="99" spans="1:35" ht="21.75" customHeight="1" thickBot="1">
      <c r="A99" s="2471" t="s">
        <v>2291</v>
      </c>
      <c r="B99" s="2415"/>
      <c r="C99" s="2415"/>
      <c r="D99" s="2415"/>
      <c r="E99" s="2162"/>
      <c r="F99" s="2162"/>
      <c r="G99" s="2162"/>
      <c r="H99" s="2161"/>
      <c r="I99" s="138"/>
    </row>
    <row r="100" spans="1:35" ht="18.75" customHeight="1">
      <c r="A100" s="3055" t="s">
        <v>2292</v>
      </c>
      <c r="B100" s="3056"/>
      <c r="C100" s="3056"/>
      <c r="D100" s="3087"/>
      <c r="E100" s="3056" t="s">
        <v>2293</v>
      </c>
      <c r="F100" s="3056"/>
      <c r="G100" s="3056"/>
      <c r="H100" s="3087"/>
      <c r="I100" s="138"/>
    </row>
    <row r="101" spans="1:35" ht="18.75" customHeight="1">
      <c r="A101" s="3095" t="s">
        <v>2294</v>
      </c>
      <c r="B101" s="3096"/>
      <c r="C101" s="733" t="str">
        <f>C4</f>
        <v>比较法-商业</v>
      </c>
      <c r="D101" s="734" t="str">
        <f>D4</f>
        <v>收益法 (元)</v>
      </c>
      <c r="E101" s="3067" t="s">
        <v>2295</v>
      </c>
      <c r="F101" s="3068"/>
      <c r="G101" s="2517" t="s">
        <v>2296</v>
      </c>
      <c r="H101" s="1045">
        <f ca="1">H118</f>
        <v>133</v>
      </c>
      <c r="I101" s="138"/>
    </row>
    <row r="102" spans="1:35" ht="18.75" customHeight="1">
      <c r="A102" s="3097" t="s">
        <v>2297</v>
      </c>
      <c r="B102" s="2517" t="s">
        <v>2296</v>
      </c>
      <c r="C102" s="733">
        <f ca="1">C19</f>
        <v>153</v>
      </c>
      <c r="D102" s="734">
        <f ca="1">D19</f>
        <v>103</v>
      </c>
      <c r="E102" s="3067"/>
      <c r="F102" s="3068"/>
      <c r="G102" s="2517" t="s">
        <v>2298</v>
      </c>
      <c r="H102" s="371">
        <f ca="1">I118</f>
        <v>24390</v>
      </c>
      <c r="I102" s="138"/>
    </row>
    <row r="103" spans="1:35" ht="42.75" customHeight="1">
      <c r="A103" s="3097"/>
      <c r="B103" s="2517" t="s">
        <v>2298</v>
      </c>
      <c r="C103" s="735">
        <f ca="1">C20</f>
        <v>28047</v>
      </c>
      <c r="D103" s="736">
        <f ca="1">D20</f>
        <v>18879</v>
      </c>
      <c r="E103" s="3061" t="s">
        <v>2299</v>
      </c>
      <c r="F103" s="3062"/>
      <c r="G103" s="2518" t="s">
        <v>2300</v>
      </c>
      <c r="H103" s="1045">
        <f>IF(D36="正常操作",H104+H105+H106,H105+H106)</f>
        <v>0</v>
      </c>
      <c r="I103" s="138"/>
    </row>
    <row r="104" spans="1:35" ht="18.75" customHeight="1">
      <c r="A104" s="3097" t="s">
        <v>2301</v>
      </c>
      <c r="B104" s="2519" t="s">
        <v>2296</v>
      </c>
      <c r="C104" s="737">
        <f ca="1">H118</f>
        <v>133</v>
      </c>
      <c r="D104" s="738"/>
      <c r="E104" s="2263" t="s">
        <v>2302</v>
      </c>
      <c r="F104" s="2254"/>
      <c r="G104" s="2518" t="s">
        <v>2300</v>
      </c>
      <c r="H104" s="1046">
        <f>IF(D36="同一抵押权人同一抵押物续贷",C36&amp;"（未扣减，详见特别提示）",C36)</f>
        <v>0</v>
      </c>
      <c r="I104" s="138"/>
    </row>
    <row r="105" spans="1:35" ht="18.75" customHeight="1" thickBot="1">
      <c r="A105" s="3109"/>
      <c r="B105" s="2520" t="s">
        <v>2298</v>
      </c>
      <c r="C105" s="739">
        <f ca="1">I118</f>
        <v>24390</v>
      </c>
      <c r="D105" s="740"/>
      <c r="E105" s="2263" t="s">
        <v>2303</v>
      </c>
      <c r="F105" s="2254"/>
      <c r="G105" s="2518" t="s">
        <v>2300</v>
      </c>
      <c r="H105" s="1046">
        <f>C37</f>
        <v>0</v>
      </c>
      <c r="I105" s="138"/>
    </row>
    <row r="106" spans="1:35" ht="18.75" customHeight="1">
      <c r="A106" s="2415" t="s">
        <v>2304</v>
      </c>
      <c r="B106" s="2415"/>
      <c r="C106" s="2415"/>
      <c r="D106" s="2415"/>
      <c r="E106" s="2521" t="s">
        <v>2305</v>
      </c>
      <c r="F106" s="2254"/>
      <c r="G106" s="2518" t="s">
        <v>2300</v>
      </c>
      <c r="H106" s="1046">
        <f>C38</f>
        <v>0</v>
      </c>
      <c r="I106" s="138"/>
    </row>
    <row r="107" spans="1:35" ht="18.75" customHeight="1">
      <c r="A107" s="138"/>
      <c r="B107" s="138"/>
      <c r="C107" s="138"/>
      <c r="D107" s="138"/>
      <c r="E107" s="3098" t="str">
        <f>IF(项目基本情况!E8="已注销","——","3.房地产抵押价值")</f>
        <v>3.房地产抵押价值</v>
      </c>
      <c r="F107" s="3068"/>
      <c r="G107" s="2517" t="s">
        <v>2296</v>
      </c>
      <c r="H107" s="1045">
        <f ca="1">IF(E107="——","——",H101-H103)</f>
        <v>133</v>
      </c>
      <c r="I107" s="138"/>
    </row>
    <row r="108" spans="1:35" ht="18.75" customHeight="1">
      <c r="A108" s="138"/>
      <c r="B108" s="138"/>
      <c r="C108" s="138"/>
      <c r="D108" s="138"/>
      <c r="E108" s="3098"/>
      <c r="F108" s="3068"/>
      <c r="G108" s="2517" t="s">
        <v>2298</v>
      </c>
      <c r="H108" s="371">
        <f ca="1">ROUND(H107*10000/'数据-汇总表'!E3,0)</f>
        <v>155</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68"/>
      <c r="G109" s="2517" t="s">
        <v>2296</v>
      </c>
      <c r="H109" s="348" t="str">
        <f>IF(E109="——","——",H101-H105-H106)</f>
        <v>——</v>
      </c>
      <c r="I109" s="138"/>
    </row>
    <row r="110" spans="1:35" ht="18.75" customHeight="1">
      <c r="A110" s="138"/>
      <c r="B110" s="138"/>
      <c r="C110" s="138"/>
      <c r="D110" s="138"/>
      <c r="E110" s="3098"/>
      <c r="F110" s="3068"/>
      <c r="G110" s="2517" t="s">
        <v>2298</v>
      </c>
      <c r="H110" s="371" t="str">
        <f>IF(H109="——","——",ROUND(H109*10000/'数据-汇总表'!E3,0))</f>
        <v>——</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17" t="s">
        <v>2296</v>
      </c>
      <c r="H111" s="1045" t="str">
        <f>IF(E111="——","——",N59)</f>
        <v>——</v>
      </c>
      <c r="I111" s="138"/>
    </row>
    <row r="112" spans="1:35" ht="18.75" customHeight="1" thickBot="1">
      <c r="A112" s="138"/>
      <c r="B112" s="138"/>
      <c r="C112" s="138"/>
      <c r="D112" s="138"/>
      <c r="E112" s="3101"/>
      <c r="F112" s="3102"/>
      <c r="G112" s="2522" t="s">
        <v>2298</v>
      </c>
      <c r="H112" s="787" t="str">
        <f>IF(E111="——","——",N61)</f>
        <v>——</v>
      </c>
      <c r="I112" s="138"/>
    </row>
    <row r="113" spans="1:11" ht="18.75" customHeight="1">
      <c r="A113" s="138"/>
      <c r="B113" s="138"/>
      <c r="C113" s="138"/>
      <c r="D113" s="138"/>
      <c r="E113" s="3110" t="s">
        <v>2304</v>
      </c>
      <c r="F113" s="3110"/>
      <c r="G113" s="3110"/>
      <c r="H113" s="3110"/>
      <c r="I113" s="138"/>
    </row>
    <row r="114" spans="1:11" ht="3.75" customHeight="1">
      <c r="A114" s="2415"/>
      <c r="B114" s="2415"/>
      <c r="C114" s="2415"/>
      <c r="D114" s="2415"/>
      <c r="E114" s="2493"/>
      <c r="F114" s="2493"/>
      <c r="G114" s="2493"/>
      <c r="H114" s="2493"/>
      <c r="I114" s="2415"/>
    </row>
    <row r="115" spans="1:11" ht="18.75" customHeight="1">
      <c r="A115" s="3123" t="s">
        <v>2306</v>
      </c>
      <c r="B115" s="3124"/>
      <c r="C115" s="3124"/>
      <c r="D115" s="3124"/>
      <c r="E115" s="3124"/>
      <c r="F115" s="3124"/>
      <c r="G115" s="3124"/>
      <c r="H115" s="3124"/>
      <c r="I115" s="3125"/>
    </row>
    <row r="116" spans="1:11" ht="27" customHeight="1">
      <c r="A116" s="3034" t="s">
        <v>2307</v>
      </c>
      <c r="B116" s="3077" t="s">
        <v>2308</v>
      </c>
      <c r="C116" s="3077" t="s">
        <v>2309</v>
      </c>
      <c r="D116" s="3083" t="s">
        <v>2310</v>
      </c>
      <c r="E116" s="3084"/>
      <c r="F116" s="3119" t="s">
        <v>2311</v>
      </c>
      <c r="G116" s="3119"/>
      <c r="H116" s="3034" t="s">
        <v>2312</v>
      </c>
      <c r="I116" s="3034"/>
    </row>
    <row r="117" spans="1:11" ht="18.75" customHeight="1">
      <c r="A117" s="3034"/>
      <c r="B117" s="3078"/>
      <c r="C117" s="3078"/>
      <c r="D117" s="1795" t="s">
        <v>2313</v>
      </c>
      <c r="E117" s="1795" t="s">
        <v>2314</v>
      </c>
      <c r="F117" s="1795" t="s">
        <v>2313</v>
      </c>
      <c r="G117" s="1795" t="s">
        <v>2315</v>
      </c>
      <c r="H117" s="1795" t="s">
        <v>2313</v>
      </c>
      <c r="I117" s="1795" t="s">
        <v>2315</v>
      </c>
    </row>
    <row r="118" spans="1:11" ht="24.75" customHeight="1">
      <c r="A118" s="2523" t="str">
        <f>项目基本情况!S2</f>
        <v>湖北省武汉市江夏区江夏经济开发区街文化大道36号鹏湖湾二期2-4栋/单元1-2层1号等31套商业用房房地产</v>
      </c>
      <c r="B118" s="1795">
        <f>M18</f>
        <v>54.53</v>
      </c>
      <c r="C118" s="1795">
        <f>M19</f>
        <v>6.5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133</v>
      </c>
      <c r="I118" s="1795">
        <f ca="1">ROUND(IF(D32="楼面单价",C32,H118*10000/B118),0)</f>
        <v>24390</v>
      </c>
    </row>
    <row r="119" spans="1:11" ht="18.75" customHeight="1">
      <c r="A119" s="3034" t="s">
        <v>2316</v>
      </c>
      <c r="B119" s="3034"/>
      <c r="C119" s="3034"/>
      <c r="D119" s="3079" t="e">
        <f ca="1">NUMBERSTRING(INT(D118*10000),2)&amp;"元整"</f>
        <v>#REF!</v>
      </c>
      <c r="E119" s="3080"/>
      <c r="F119" s="3079" t="e">
        <f ca="1">NUMBERSTRING(INT(F118*10000),2)&amp;"元整"</f>
        <v>#REF!</v>
      </c>
      <c r="G119" s="3080"/>
      <c r="H119" s="3079" t="str">
        <f ca="1">NUMBERSTRING(INT(H118*10000),2)&amp;"元整"</f>
        <v>壹佰叁拾叁万元整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20" t="str">
        <f>IF(D120=0,"故，本次评估不存在"&amp;A120,"故，本次评估"&amp;A120&amp;"为人民币"&amp;D120&amp;"万元整。")</f>
        <v>故，本次评估不存在估价师知悉的法定优先受偿款</v>
      </c>
    </row>
    <row r="121" spans="1:11" ht="18.75" customHeight="1">
      <c r="A121" s="3120" t="s">
        <v>2316</v>
      </c>
      <c r="B121" s="3121"/>
      <c r="C121" s="3122"/>
      <c r="D121" s="3079" t="str">
        <f>IF(D120=0,"零元整",NUMBERSTRING(INT(D120*10000),2)&amp;"元整")</f>
        <v>零元整</v>
      </c>
      <c r="E121" s="3081"/>
      <c r="F121" s="3081"/>
      <c r="G121" s="3081"/>
      <c r="H121" s="3081"/>
      <c r="I121" s="3080"/>
    </row>
    <row r="122" spans="1:11" ht="18.75" customHeight="1">
      <c r="A122" s="3085" t="str">
        <f>IF(项目基本情况!B9="房地产市场价值","",MID(E107,3,LEN(E107)-2))</f>
        <v>房地产抵押价值</v>
      </c>
      <c r="B122" s="3085"/>
      <c r="C122" s="3085"/>
      <c r="D122" s="3074">
        <f ca="1">H107</f>
        <v>133</v>
      </c>
      <c r="E122" s="3075"/>
      <c r="F122" s="3075"/>
      <c r="G122" s="3075"/>
      <c r="H122" s="3075"/>
      <c r="I122" s="3076"/>
    </row>
    <row r="123" spans="1:11" ht="18.75" customHeight="1">
      <c r="A123" s="3034" t="s">
        <v>2316</v>
      </c>
      <c r="B123" s="3034"/>
      <c r="C123" s="3034"/>
      <c r="D123" s="3079" t="str">
        <f ca="1">NUMBERSTRING(INT(D122*10000),2)&amp;"元整"</f>
        <v>壹佰叁拾叁万元整</v>
      </c>
      <c r="E123" s="3081"/>
      <c r="F123" s="3081"/>
      <c r="G123" s="3081"/>
      <c r="H123" s="3081"/>
      <c r="I123" s="3080"/>
    </row>
    <row r="124" spans="1:11" ht="18.75" customHeight="1">
      <c r="A124" s="3085" t="str">
        <f>IF(项目基本情况!B9="房地产市场价值","",MID(E109,3,LEN(E109)-2))</f>
        <v/>
      </c>
      <c r="B124" s="3085"/>
      <c r="C124" s="3085"/>
      <c r="D124" s="3074" t="str">
        <f>H109</f>
        <v>——</v>
      </c>
      <c r="E124" s="3075"/>
      <c r="F124" s="3075"/>
      <c r="G124" s="3075"/>
      <c r="H124" s="3075"/>
      <c r="I124" s="3076"/>
    </row>
    <row r="125" spans="1:11" ht="18.75" customHeight="1">
      <c r="A125" s="3034" t="s">
        <v>2316</v>
      </c>
      <c r="B125" s="3034"/>
      <c r="C125" s="3034"/>
      <c r="D125" s="3079" t="e">
        <f>NUMBERSTRING(INT(D124*10000),2)&amp;"元整"</f>
        <v>#VALUE!</v>
      </c>
      <c r="E125" s="3081"/>
      <c r="F125" s="3081"/>
      <c r="G125" s="3081"/>
      <c r="H125" s="3081"/>
      <c r="I125" s="3080"/>
    </row>
    <row r="126" spans="1:11" ht="18.75" customHeight="1">
      <c r="A126" s="3085" t="str">
        <f>IF(项目基本情况!B9="房地产市场价值","",MID(E111,3,LEN(E111)-2))</f>
        <v/>
      </c>
      <c r="B126" s="3085"/>
      <c r="C126" s="3085"/>
      <c r="D126" s="3074" t="str">
        <f>H111</f>
        <v>——</v>
      </c>
      <c r="E126" s="3075"/>
      <c r="F126" s="3075"/>
      <c r="G126" s="3075"/>
      <c r="H126" s="3075"/>
      <c r="I126" s="3076"/>
    </row>
    <row r="127" spans="1:11" ht="18.75" customHeight="1">
      <c r="A127" s="3034" t="s">
        <v>2316</v>
      </c>
      <c r="B127" s="3034"/>
      <c r="C127" s="3034"/>
      <c r="D127" s="3079" t="e">
        <f>NUMBERSTRING(INT(D126*10000),2)&amp;"元整"</f>
        <v>#VALUE!</v>
      </c>
      <c r="E127" s="3081"/>
      <c r="F127" s="3081"/>
      <c r="G127" s="3081"/>
      <c r="H127" s="3081"/>
      <c r="I127" s="3080"/>
    </row>
    <row r="128" spans="1:11" ht="21.75" customHeight="1">
      <c r="A128" s="3082" t="s">
        <v>2317</v>
      </c>
      <c r="B128" s="3082"/>
      <c r="C128" s="3082"/>
      <c r="D128" s="3082"/>
      <c r="E128" s="3082"/>
      <c r="F128" s="3082"/>
      <c r="G128" s="3082"/>
      <c r="H128" s="3082"/>
      <c r="I128" s="3082"/>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2"/>
    </row>
    <row r="135" spans="1:35" ht="21.75" customHeight="1">
      <c r="A135" s="792"/>
      <c r="B135" s="792"/>
      <c r="C135" s="792"/>
      <c r="D135" s="792"/>
      <c r="E135" s="792"/>
      <c r="F135" s="2540" t="s">
        <v>2320</v>
      </c>
      <c r="G135" s="2541"/>
      <c r="H135" s="2541"/>
      <c r="I135" s="2542" t="s">
        <v>2321</v>
      </c>
    </row>
    <row r="136" spans="1:35" ht="21.75" customHeight="1">
      <c r="A136" s="792"/>
      <c r="B136" s="2543" t="s">
        <v>2322</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41"/>
      <c r="C138" s="2541"/>
      <c r="D138" s="2541"/>
      <c r="E138" s="2541"/>
      <c r="F138" s="2541"/>
      <c r="G138" s="2541"/>
      <c r="H138" s="2541"/>
      <c r="I138" s="2542" t="s">
        <v>2323</v>
      </c>
    </row>
    <row r="139" spans="1:35" ht="21.75" customHeight="1">
      <c r="A139" s="792"/>
      <c r="B139" s="2543" t="s">
        <v>2324</v>
      </c>
      <c r="C139" s="792"/>
      <c r="D139" s="792"/>
      <c r="E139" s="792"/>
      <c r="F139" s="792"/>
      <c r="G139" s="792"/>
      <c r="H139" s="792"/>
      <c r="I139" s="792"/>
    </row>
    <row r="140" spans="1:35" ht="21.75" customHeight="1">
      <c r="A140" s="792"/>
      <c r="B140" s="2543"/>
      <c r="C140" s="792"/>
      <c r="D140" s="792"/>
      <c r="E140" s="792"/>
      <c r="F140" s="792"/>
      <c r="G140" s="792"/>
      <c r="H140" s="792"/>
      <c r="I140" s="792"/>
    </row>
    <row r="141" spans="1:35" ht="21.75" customHeight="1">
      <c r="A141" s="792"/>
      <c r="B141" s="2541"/>
      <c r="C141" s="2541"/>
      <c r="D141" s="2541"/>
      <c r="E141" s="2541"/>
      <c r="F141" s="2541"/>
      <c r="G141" s="2541"/>
      <c r="H141" s="2541"/>
      <c r="I141" s="2542" t="s">
        <v>2323</v>
      </c>
    </row>
    <row r="142" spans="1:35" ht="21.75" customHeight="1">
      <c r="A142" s="792"/>
      <c r="B142" s="2543"/>
      <c r="C142" s="2544"/>
      <c r="D142" s="2545"/>
      <c r="E142" s="2545"/>
      <c r="F142" s="2337"/>
      <c r="G142" s="792"/>
      <c r="H142" s="792"/>
      <c r="I142" s="792"/>
    </row>
    <row r="143" spans="1:35" s="139" customFormat="1" ht="21.75" customHeight="1">
      <c r="A143" s="792"/>
      <c r="B143" s="2543"/>
      <c r="C143" s="2544"/>
      <c r="D143" s="2545"/>
      <c r="E143" s="2545"/>
      <c r="F143" s="2337"/>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20"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20"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20"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20"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20"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20"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20"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20"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20"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20"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20"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20"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20"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20"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20"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20"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20"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20"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20"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20"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20"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20"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20"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20"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20"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20"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20"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20"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20"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20"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20"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20"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20"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20"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20"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20"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20"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20"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20"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20"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20"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20"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20"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20"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20"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20"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20"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20"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20"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20"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20"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20"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20"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20"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20"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20"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20"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20"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20"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20"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20"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20"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20"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20"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20"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20"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20"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20"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20"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20"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20"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20"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20"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20"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20"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20"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20"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20"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20"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20"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20"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20"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20"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20"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20"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20"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20"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20"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20"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20"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20"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20"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20"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20"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20"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20"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20"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20"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20"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20"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20"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20"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20"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20"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79">
        <f>MATCH(B1,'数据-取费表'!A6:A16,0)+5</f>
        <v>8</v>
      </c>
    </row>
    <row r="2" spans="1:9" s="244" customFormat="1" ht="18" customHeight="1">
      <c r="A2" s="245" t="s">
        <v>2326</v>
      </c>
      <c r="B2" s="246">
        <f ca="1">IF(D2="——",C52,C52-E2)</f>
        <v>3158</v>
      </c>
      <c r="C2" s="243" t="s">
        <v>2327</v>
      </c>
      <c r="D2" s="2546" t="s">
        <v>70</v>
      </c>
      <c r="E2" s="1440" t="e">
        <f ca="1">SUMIF(INDIRECT("'"&amp;G2&amp;"'"&amp;"!A:A"),"承租人权益价值",INDIRECT("'"&amp;G2&amp;"'"&amp;"!c:c"))</f>
        <v>#REF!</v>
      </c>
      <c r="F2" s="2547" t="s">
        <v>2327</v>
      </c>
      <c r="G2" s="2548"/>
    </row>
    <row r="3" spans="1:9" s="244" customFormat="1" ht="18" customHeight="1" thickBot="1">
      <c r="A3" s="247" t="s">
        <v>2328</v>
      </c>
      <c r="B3" s="248">
        <f ca="1">ROUND(B2*10000/(IF(B1="",'数据-汇总表'!E3,INDIRECT("'数据-取费表'!k"&amp;$G$1))),0)</f>
        <v>3680</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'数据-取费表'!B48+'数据-取费表'!B49</f>
        <v>4.0500000000000001E-2</v>
      </c>
      <c r="G7" s="263"/>
    </row>
    <row r="8" spans="1:9" s="267" customFormat="1">
      <c r="A8" s="949" t="s">
        <v>2340</v>
      </c>
      <c r="B8" s="259" t="s">
        <v>2341</v>
      </c>
      <c r="C8" s="264">
        <f>IF(G8="已包含在土地购买价格中","0",IF(B1="",'数据-取费表'!B29,IF(G9="全部缴纳",C9+C10,H9)))</f>
        <v>0</v>
      </c>
      <c r="D8" s="266"/>
      <c r="E8" s="264"/>
      <c r="F8" s="265"/>
      <c r="G8" s="2549"/>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60</v>
      </c>
      <c r="F9" s="265"/>
      <c r="G9" s="2550"/>
      <c r="H9" s="1390"/>
      <c r="I9" s="2551" t="s">
        <v>2343</v>
      </c>
    </row>
    <row r="10" spans="1:9" s="258" customFormat="1" ht="13.5" customHeight="1">
      <c r="A10" s="950" t="s">
        <v>801</v>
      </c>
      <c r="B10" s="268" t="s">
        <v>2344</v>
      </c>
      <c r="C10" s="269">
        <f ca="1">ROUND(D10*E10/10000,0)</f>
        <v>51</v>
      </c>
      <c r="D10" s="1032">
        <f ca="1">IF(B1="",'数据-汇总表'!E6,IF(INDIRECT("'数据-取费表'!c"&amp;$G$1)="住宅",INDIRECT("'数据-取费表'!s"&amp;$G$1),INDIRECT("'数据-取费表'!k"&amp;$G$1)+INDIRECT("'数据-取费表'!s"&amp;$G$1)))</f>
        <v>8582.619999999999</v>
      </c>
      <c r="E10" s="269">
        <f>'数据-取费表'!B28</f>
        <v>60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172</v>
      </c>
      <c r="D19" s="1036">
        <f ca="1">D9+D10</f>
        <v>8582.619999999999</v>
      </c>
      <c r="E19" s="255">
        <f>'数据-取费表'!B31</f>
        <v>200</v>
      </c>
      <c r="F19" s="275"/>
      <c r="G19" s="2549"/>
    </row>
    <row r="20" spans="1:7" s="258" customFormat="1" ht="13.5" customHeight="1">
      <c r="A20" s="299" t="s">
        <v>2357</v>
      </c>
      <c r="B20" s="254" t="s">
        <v>2358</v>
      </c>
      <c r="C20" s="276">
        <f ca="1">ROUND((C5+C19)*F20,0)</f>
        <v>3</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4">
        <f ca="1">ROUND(SUM(C23:C25),0)</f>
        <v>12</v>
      </c>
      <c r="D22" s="279">
        <f ca="1">C26</f>
        <v>1.1000000000000001E-3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0</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12</v>
      </c>
      <c r="D24" s="282"/>
      <c r="E24" s="282"/>
      <c r="F24" s="283"/>
      <c r="G24" s="284" t="s">
        <v>2371</v>
      </c>
    </row>
    <row r="25" spans="1:7" s="258" customFormat="1" ht="24">
      <c r="A25" s="951" t="s">
        <v>2372</v>
      </c>
      <c r="B25" s="259" t="s">
        <v>2373</v>
      </c>
      <c r="C25" s="1355">
        <f ca="1">ROUND(IF('数据-取费表'!B22&lt;=1,C20*F22*'数据-取费表'!B23/2,C20*(POWER((1+F22),'数据-取费表'!B23/2)-1)),0)</f>
        <v>0</v>
      </c>
      <c r="D25" s="282"/>
      <c r="E25" s="285"/>
      <c r="F25" s="283"/>
      <c r="G25" s="286" t="s">
        <v>2374</v>
      </c>
    </row>
    <row r="26" spans="1:7" s="258" customFormat="1">
      <c r="A26" s="951" t="s">
        <v>795</v>
      </c>
      <c r="B26" s="259" t="s">
        <v>2375</v>
      </c>
      <c r="C26" s="282">
        <f ca="1">ROUND(IF('数据-取费表'!B22&lt;=1,F21*F22*'数据-取费表'!B23/2,F21*(POWER((1+F22),'数据-取费表'!B23/2)-1)),4)</f>
        <v>1.1000000000000001E-3</v>
      </c>
      <c r="D26" s="282"/>
      <c r="E26" s="285"/>
      <c r="F26" s="283"/>
      <c r="G26" s="287"/>
    </row>
    <row r="27" spans="1:7" s="258" customFormat="1" ht="24.75">
      <c r="A27" s="299" t="s">
        <v>2376</v>
      </c>
      <c r="B27" s="288" t="s">
        <v>2377</v>
      </c>
      <c r="C27" s="289">
        <f ca="1">C28</f>
        <v>35</v>
      </c>
      <c r="D27" s="279">
        <f ca="1">C29</f>
        <v>6.0000000000000001E-3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ROUND((C5+C19+C20)*F27*'数据-取费表'!B21/'数据-取费表'!B20,0)</f>
        <v>35</v>
      </c>
      <c r="D28" s="279"/>
      <c r="E28" s="280"/>
      <c r="F28" s="290"/>
      <c r="G28" s="291"/>
    </row>
    <row r="29" spans="1:7" s="258" customFormat="1" ht="13.5" customHeight="1">
      <c r="A29" s="951"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244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2145</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1888</v>
      </c>
      <c r="D34" s="261"/>
      <c r="E34" s="264"/>
      <c r="F34" s="301">
        <f ca="1">IF('数据-取费表'!B24=0,1,IF(B1="",'数据-取费表'!N16,INDIRECT("'数据-取费表'!n"&amp;$G$1)))</f>
        <v>1</v>
      </c>
      <c r="G34" s="263" t="s">
        <v>2390</v>
      </c>
    </row>
    <row r="35" spans="1:7" ht="13.5" customHeight="1">
      <c r="A35" s="951" t="s">
        <v>796</v>
      </c>
      <c r="B35" s="259" t="s">
        <v>2391</v>
      </c>
      <c r="C35" s="264">
        <f ca="1">ROUND(C34*F35,0)</f>
        <v>57</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1" t="s">
        <v>798</v>
      </c>
      <c r="B37" s="259" t="s">
        <v>2395</v>
      </c>
      <c r="C37" s="293">
        <f ca="1">ROUND(E37*D37*F34/10000,0)</f>
        <v>172</v>
      </c>
      <c r="D37" s="261">
        <f ca="1">D19</f>
        <v>8582.619999999999</v>
      </c>
      <c r="E37" s="293">
        <f>'数据-取费表'!B35</f>
        <v>200</v>
      </c>
      <c r="F37" s="303"/>
      <c r="G37" s="305" t="s">
        <v>2396</v>
      </c>
    </row>
    <row r="38" spans="1:7" ht="13.5" customHeight="1">
      <c r="A38" s="951" t="s">
        <v>799</v>
      </c>
      <c r="B38" s="259" t="s">
        <v>2397</v>
      </c>
      <c r="C38" s="264">
        <f ca="1">ROUND(C34*F38,0)</f>
        <v>28</v>
      </c>
      <c r="D38" s="264"/>
      <c r="E38" s="264"/>
      <c r="F38" s="303">
        <f>'数据-取费表'!B36</f>
        <v>1.4999999999999999E-2</v>
      </c>
      <c r="G38" s="263" t="s">
        <v>2392</v>
      </c>
    </row>
    <row r="39" spans="1:7" s="258" customFormat="1" ht="13.5" customHeight="1">
      <c r="A39" s="299" t="s">
        <v>2398</v>
      </c>
      <c r="B39" s="254" t="s">
        <v>2399</v>
      </c>
      <c r="C39" s="276">
        <f ca="1">ROUND(C33*F20,0)</f>
        <v>43</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78</v>
      </c>
      <c r="D41" s="279">
        <f ca="1">C44</f>
        <v>1.1000000000000001E-3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76</v>
      </c>
      <c r="D42" s="282"/>
      <c r="E42" s="282"/>
      <c r="F42" s="283"/>
      <c r="G42" s="3154" t="s">
        <v>2408</v>
      </c>
    </row>
    <row r="43" spans="1:7" ht="13.5" customHeight="1">
      <c r="A43" s="951" t="s">
        <v>792</v>
      </c>
      <c r="B43" s="259" t="s">
        <v>2409</v>
      </c>
      <c r="C43" s="282">
        <f ca="1">ROUND(IF('数据-取费表'!B22&lt;=1,C39*F22*'数据-取费表'!B21/2,C39*(POWER((1+F22),'数据-取费表'!B21/2)-1)),0)</f>
        <v>2</v>
      </c>
      <c r="D43" s="282"/>
      <c r="E43" s="282"/>
      <c r="F43" s="283"/>
      <c r="G43" s="3155"/>
    </row>
    <row r="44" spans="1:7" ht="13.5" customHeight="1">
      <c r="A44" s="951" t="s">
        <v>793</v>
      </c>
      <c r="B44" s="259" t="s">
        <v>2410</v>
      </c>
      <c r="C44" s="282">
        <f ca="1">ROUND(IF('数据-取费表'!B22&lt;=1,C40*F22*'数据-取费表'!B21/2,C40*(POWER((1+F22),'数据-取费表'!B21/2)-1)),4)</f>
        <v>1.1000000000000001E-3</v>
      </c>
      <c r="D44" s="282"/>
      <c r="E44" s="282"/>
      <c r="F44" s="283"/>
      <c r="G44" s="3156"/>
    </row>
    <row r="45" spans="1:7" s="258" customFormat="1" ht="13.5" customHeight="1">
      <c r="A45" s="299" t="s">
        <v>2411</v>
      </c>
      <c r="B45" s="288" t="s">
        <v>2377</v>
      </c>
      <c r="C45" s="289">
        <f ca="1">C46</f>
        <v>438</v>
      </c>
      <c r="D45" s="279">
        <f ca="1">C47</f>
        <v>6.0000000000000001E-3</v>
      </c>
      <c r="E45" s="280" t="s">
        <v>2403</v>
      </c>
      <c r="F45" s="290"/>
      <c r="G45" s="291" t="s">
        <v>2412</v>
      </c>
    </row>
    <row r="46" spans="1:7" s="258" customFormat="1" ht="13.5" customHeight="1">
      <c r="A46" s="951" t="s">
        <v>791</v>
      </c>
      <c r="B46" s="292" t="s">
        <v>2413</v>
      </c>
      <c r="C46" s="293">
        <f ca="1">ROUND((C33+C39)*F27,0)</f>
        <v>438</v>
      </c>
      <c r="D46" s="307"/>
      <c r="E46" s="280"/>
      <c r="F46" s="290"/>
      <c r="G46" s="291"/>
    </row>
    <row r="47" spans="1:7" s="258" customFormat="1" ht="13.5" customHeight="1">
      <c r="A47" s="951" t="s">
        <v>792</v>
      </c>
      <c r="B47" s="292" t="s">
        <v>2414</v>
      </c>
      <c r="C47" s="282">
        <f ca="1">ROUND(C40*F27,4)</f>
        <v>6.0000000000000001E-3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2973</v>
      </c>
      <c r="D49" s="276"/>
      <c r="E49" s="276"/>
      <c r="F49" s="308"/>
      <c r="G49" s="278" t="s">
        <v>2418</v>
      </c>
    </row>
    <row r="50" spans="1:7" s="302" customFormat="1" ht="24">
      <c r="A50" s="299" t="s">
        <v>2419</v>
      </c>
      <c r="B50" s="254" t="s">
        <v>2420</v>
      </c>
      <c r="C50" s="276"/>
      <c r="D50" s="276"/>
      <c r="E50" s="276"/>
      <c r="F50" s="308">
        <f>IF('数据-取费表'!B24=0,'数据-取费表'!N16,1)</f>
        <v>0.98</v>
      </c>
      <c r="G50" s="291" t="s">
        <v>2421</v>
      </c>
    </row>
    <row r="51" spans="1:7" ht="16.5" customHeight="1">
      <c r="A51" s="299" t="s">
        <v>2422</v>
      </c>
      <c r="B51" s="254" t="s">
        <v>2423</v>
      </c>
      <c r="C51" s="276">
        <f ca="1">ROUND(C49*F50,0)</f>
        <v>2914</v>
      </c>
      <c r="D51" s="276"/>
      <c r="E51" s="276"/>
      <c r="F51" s="308"/>
      <c r="G51" s="278" t="s">
        <v>2424</v>
      </c>
    </row>
    <row r="52" spans="1:7" s="252" customFormat="1" ht="16.5" thickBot="1">
      <c r="A52" s="309" t="s">
        <v>2425</v>
      </c>
      <c r="B52" s="310"/>
      <c r="C52" s="311">
        <f ca="1">C31+C51</f>
        <v>3158</v>
      </c>
      <c r="D52" s="310"/>
      <c r="E52" s="310"/>
      <c r="F52" s="310"/>
      <c r="G52" s="312"/>
    </row>
    <row r="55" spans="1:7" ht="15">
      <c r="B55" s="314" t="s">
        <v>2426</v>
      </c>
      <c r="C55" s="315"/>
    </row>
    <row r="56" spans="1:7">
      <c r="B56" s="317" t="s">
        <v>1513</v>
      </c>
      <c r="C56" s="319">
        <f ca="1">1-C57</f>
        <v>7.6999999999999957E-2</v>
      </c>
    </row>
    <row r="57" spans="1:7">
      <c r="B57" s="317" t="s">
        <v>1514</v>
      </c>
      <c r="C57" s="318">
        <f ca="1">ROUND(C51/C52,3)</f>
        <v>0.92300000000000004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1" t="str">
        <f>项目基本情况!B1</f>
        <v>湖北省武汉市江夏区江夏经济开发区街文化大道36号鹏湖湾二期2-4栋/单元1-2层1号等31套商业用房房地产抵押价值预评估</v>
      </c>
      <c r="C37" s="2971"/>
      <c r="D37" s="2971"/>
      <c r="E37" s="2971"/>
      <c r="F37" s="2971"/>
      <c r="G37" s="2971"/>
      <c r="H37" s="2971"/>
      <c r="I37" s="2971"/>
    </row>
    <row r="38" spans="1:9">
      <c r="A38" s="1016"/>
      <c r="B38" s="1016"/>
    </row>
    <row r="39" spans="1:9">
      <c r="A39" s="1014" t="s">
        <v>818</v>
      </c>
      <c r="B39" s="1014" t="s">
        <v>820</v>
      </c>
    </row>
    <row r="40" spans="1:9">
      <c r="A40" s="1014"/>
      <c r="B40" s="1942" t="str">
        <f>项目基本情况!B5</f>
        <v>武汉伟鹏房地产开发建筑有限公司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郑燚（注册号：1120070131)、王萌（注册号：1120130048)</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2"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3230</v>
      </c>
      <c r="C2" s="243" t="s">
        <v>2327</v>
      </c>
      <c r="D2" s="2546" t="s">
        <v>70</v>
      </c>
      <c r="E2" s="1440" t="e">
        <f ca="1">SUMIF(INDIRECT("'"&amp;G2&amp;"'"&amp;"!A:A"),"承租人权益价值",INDIRECT("'"&amp;G2&amp;"'"&amp;"!c:c"))</f>
        <v>#REF!</v>
      </c>
      <c r="F2" s="2547" t="s">
        <v>2327</v>
      </c>
      <c r="G2" s="2548"/>
    </row>
    <row r="3" spans="1:8" s="244" customFormat="1" ht="18" customHeight="1" thickBot="1">
      <c r="A3" s="247" t="s">
        <v>2328</v>
      </c>
      <c r="B3" s="248">
        <f ca="1">ROUND(B2*10000/(IF(B1="",'数据-汇总表'!E3,INDIRECT("'数据-取费表'!k"&amp;$G$1))),0)</f>
        <v>3763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514957</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'数据-取费表'!B48+'数据-取费表'!B49</f>
        <v>4.0500000000000001E-2</v>
      </c>
      <c r="G7" s="263"/>
    </row>
    <row r="8" spans="1:8" s="267" customFormat="1">
      <c r="A8" s="949" t="s">
        <v>2340</v>
      </c>
      <c r="B8" s="259" t="s">
        <v>2341</v>
      </c>
      <c r="C8" s="264">
        <f ca="1">IF(G8="已包含在土地购买价格中",0,C9+C10)</f>
        <v>514957</v>
      </c>
      <c r="D8" s="266"/>
      <c r="E8" s="264"/>
      <c r="F8" s="265"/>
      <c r="G8" s="2549"/>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60</v>
      </c>
      <c r="F9" s="265"/>
      <c r="G9" s="270"/>
    </row>
    <row r="10" spans="1:8" s="258" customFormat="1" ht="13.5" customHeight="1">
      <c r="A10" s="950" t="s">
        <v>801</v>
      </c>
      <c r="B10" s="268" t="s">
        <v>2344</v>
      </c>
      <c r="C10" s="269">
        <f ca="1">ROUND(D10*E10,0)</f>
        <v>514957</v>
      </c>
      <c r="D10" s="1032">
        <f ca="1">IF(B1="",'数据-汇总表'!E6,IF(INDIRECT("'数据-取费表'!c"&amp;$G$1)="住宅",INDIRECT("'数据-取费表'!s"&amp;$G$1),INDIRECT("'数据-取费表'!k"&amp;$G$1)+INDIRECT("'数据-取费表'!s"&amp;$G$1)))</f>
        <v>8582.619999999999</v>
      </c>
      <c r="E10" s="269">
        <f>'数据-取费表'!B28</f>
        <v>60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1716524</v>
      </c>
      <c r="D19" s="1036">
        <f ca="1">D9+D10</f>
        <v>8582.619999999999</v>
      </c>
      <c r="E19" s="255">
        <f>'数据-取费表'!B31</f>
        <v>200</v>
      </c>
      <c r="F19" s="275"/>
      <c r="G19" s="2549"/>
    </row>
    <row r="20" spans="1:7" s="258" customFormat="1" ht="13.5" customHeight="1">
      <c r="A20" s="299" t="s">
        <v>2438</v>
      </c>
      <c r="B20" s="254" t="s">
        <v>2439</v>
      </c>
      <c r="C20" s="276">
        <f ca="1">ROUND((C5+C19)*F20,0)</f>
        <v>44630</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0">
        <f ca="1">ROUND(SUM(C23:C25),0)</f>
        <v>162447</v>
      </c>
      <c r="D22" s="279">
        <f ca="1">C26</f>
        <v>1.1000000000000001E-3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37123</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123743</v>
      </c>
      <c r="D24" s="282"/>
      <c r="E24" s="282"/>
      <c r="F24" s="283"/>
      <c r="G24" s="284" t="s">
        <v>2450</v>
      </c>
    </row>
    <row r="25" spans="1:7" s="258" customFormat="1" ht="24">
      <c r="A25" s="951" t="s">
        <v>2340</v>
      </c>
      <c r="B25" s="259" t="s">
        <v>2451</v>
      </c>
      <c r="C25" s="1381">
        <f ca="1">ROUND(IF('数据-取费表'!B22&lt;=1,C20*F22*'数据-取费表'!B22/2,C20*(POWER((1+F22),'数据-取费表'!B22/2)-1)),0)</f>
        <v>1581</v>
      </c>
      <c r="D25" s="282"/>
      <c r="E25" s="285"/>
      <c r="F25" s="283"/>
      <c r="G25" s="286" t="s">
        <v>2452</v>
      </c>
    </row>
    <row r="26" spans="1:7" s="258" customFormat="1">
      <c r="A26" s="951" t="s">
        <v>795</v>
      </c>
      <c r="B26" s="259" t="s">
        <v>2375</v>
      </c>
      <c r="C26" s="282">
        <f ca="1">ROUND(IF('数据-取费表'!B22&lt;=1,F21*F22*'数据-取费表'!B22/2,F21*(POWER((1+F22),'数据-取费表'!B22/2)-1)),4)</f>
        <v>1.1000000000000001E-3</v>
      </c>
      <c r="D26" s="282"/>
      <c r="E26" s="285"/>
      <c r="F26" s="283"/>
      <c r="G26" s="287"/>
    </row>
    <row r="27" spans="1:7" s="258" customFormat="1" ht="24.75">
      <c r="A27" s="299" t="s">
        <v>2376</v>
      </c>
      <c r="B27" s="288" t="s">
        <v>2377</v>
      </c>
      <c r="C27" s="289">
        <f ca="1">C28</f>
        <v>455222</v>
      </c>
      <c r="D27" s="279">
        <f ca="1">C29</f>
        <v>6.0000000000000001E-3</v>
      </c>
      <c r="E27" s="280" t="s">
        <v>2378</v>
      </c>
      <c r="F27" s="290">
        <f ca="1">IF(B1="",'数据-取费表'!Q16,INDIRECT("'数据-取费表'!q"&amp;$G$1))</f>
        <v>0.2</v>
      </c>
      <c r="G27" s="291" t="s">
        <v>2379</v>
      </c>
    </row>
    <row r="28" spans="1:7" s="258" customFormat="1" ht="13.5" customHeight="1">
      <c r="A28" s="951" t="s">
        <v>791</v>
      </c>
      <c r="B28" s="292" t="s">
        <v>2380</v>
      </c>
      <c r="C28" s="293">
        <f ca="1">ROUND((C5+C19+C20)*F27,0)</f>
        <v>455222</v>
      </c>
      <c r="D28" s="279"/>
      <c r="E28" s="280"/>
      <c r="F28" s="290"/>
      <c r="G28" s="291"/>
    </row>
    <row r="29" spans="1:7" s="258" customFormat="1" ht="13.5" customHeight="1">
      <c r="A29" s="951"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3181376</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21447967</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18881764</v>
      </c>
      <c r="D34" s="261"/>
      <c r="E34" s="264"/>
      <c r="F34" s="301"/>
      <c r="G34" s="263"/>
    </row>
    <row r="35" spans="1:7" ht="13.5" customHeight="1">
      <c r="A35" s="951" t="s">
        <v>796</v>
      </c>
      <c r="B35" s="259" t="s">
        <v>2391</v>
      </c>
      <c r="C35" s="264">
        <f ca="1">ROUND(C34*F35,0)</f>
        <v>566453</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1" t="s">
        <v>798</v>
      </c>
      <c r="B37" s="259" t="s">
        <v>2395</v>
      </c>
      <c r="C37" s="293">
        <f ca="1">ROUND(E37*D37,0)</f>
        <v>1716524</v>
      </c>
      <c r="D37" s="261">
        <f ca="1">D19</f>
        <v>8582.619999999999</v>
      </c>
      <c r="E37" s="293">
        <f>'数据-取费表'!B35</f>
        <v>200</v>
      </c>
      <c r="F37" s="303"/>
      <c r="G37" s="305"/>
    </row>
    <row r="38" spans="1:7" ht="13.5" customHeight="1">
      <c r="A38" s="951" t="s">
        <v>799</v>
      </c>
      <c r="B38" s="259" t="s">
        <v>2397</v>
      </c>
      <c r="C38" s="264">
        <f ca="1">ROUND(C34*F38,0)</f>
        <v>283226</v>
      </c>
      <c r="D38" s="264"/>
      <c r="E38" s="264"/>
      <c r="F38" s="303">
        <f>'数据-取费表'!B36</f>
        <v>1.4999999999999999E-2</v>
      </c>
      <c r="G38" s="263" t="s">
        <v>2392</v>
      </c>
    </row>
    <row r="39" spans="1:7" s="258" customFormat="1" ht="13.5" customHeight="1">
      <c r="A39" s="299" t="s">
        <v>2398</v>
      </c>
      <c r="B39" s="254" t="s">
        <v>2399</v>
      </c>
      <c r="C39" s="276">
        <f ca="1">ROUND(C33*F20,0)</f>
        <v>428959</v>
      </c>
      <c r="D39" s="276"/>
      <c r="E39" s="276"/>
      <c r="F39" s="277"/>
      <c r="G39" s="278" t="s">
        <v>2400</v>
      </c>
    </row>
    <row r="40" spans="1:7" s="258" customFormat="1" ht="13.5" customHeight="1">
      <c r="A40" s="299" t="s">
        <v>2401</v>
      </c>
      <c r="B40" s="254" t="s">
        <v>2402</v>
      </c>
      <c r="C40" s="1728">
        <f>F21</f>
        <v>0.03</v>
      </c>
      <c r="D40" s="280" t="s">
        <v>2403</v>
      </c>
      <c r="E40" s="276"/>
      <c r="F40" s="277"/>
      <c r="G40" s="278" t="s">
        <v>2404</v>
      </c>
    </row>
    <row r="41" spans="1:7" s="258" customFormat="1" ht="13.5" customHeight="1">
      <c r="A41" s="299" t="s">
        <v>2405</v>
      </c>
      <c r="B41" s="254" t="s">
        <v>2406</v>
      </c>
      <c r="C41" s="276">
        <f ca="1">ROUND(SUM(C42:C43),0)</f>
        <v>774828</v>
      </c>
      <c r="D41" s="279">
        <f ca="1">C44</f>
        <v>1.1000000000000001E-3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759635</v>
      </c>
      <c r="D42" s="282"/>
      <c r="E42" s="282"/>
      <c r="F42" s="283"/>
      <c r="G42" s="3154" t="s">
        <v>2455</v>
      </c>
    </row>
    <row r="43" spans="1:7" ht="13.5" customHeight="1">
      <c r="A43" s="951" t="s">
        <v>792</v>
      </c>
      <c r="B43" s="259" t="s">
        <v>2409</v>
      </c>
      <c r="C43" s="282">
        <f ca="1">ROUND(IF('数据-取费表'!B22&lt;=1,C39*F22*'数据-取费表'!B20/2,C39*(POWER((1+F22),'数据-取费表'!B20/2)-1)),0)</f>
        <v>15193</v>
      </c>
      <c r="D43" s="282"/>
      <c r="E43" s="282"/>
      <c r="F43" s="283"/>
      <c r="G43" s="3155"/>
    </row>
    <row r="44" spans="1:7" ht="13.5" customHeight="1">
      <c r="A44" s="951" t="s">
        <v>793</v>
      </c>
      <c r="B44" s="259" t="s">
        <v>2410</v>
      </c>
      <c r="C44" s="282">
        <f ca="1">ROUND(IF('数据-取费表'!B22&lt;=1,C40*F22*'数据-取费表'!B20/2,C40*(POWER((1+F22),'数据-取费表'!B20/2)-1)),4)</f>
        <v>1.1000000000000001E-3</v>
      </c>
      <c r="D44" s="282"/>
      <c r="E44" s="282"/>
      <c r="F44" s="283"/>
      <c r="G44" s="3156"/>
    </row>
    <row r="45" spans="1:7" s="258" customFormat="1" ht="13.5" customHeight="1">
      <c r="A45" s="299" t="s">
        <v>2411</v>
      </c>
      <c r="B45" s="288" t="s">
        <v>2377</v>
      </c>
      <c r="C45" s="289">
        <f ca="1">C46</f>
        <v>4375385</v>
      </c>
      <c r="D45" s="279">
        <f ca="1">C47</f>
        <v>6.0000000000000001E-3</v>
      </c>
      <c r="E45" s="280" t="s">
        <v>2403</v>
      </c>
      <c r="F45" s="290"/>
      <c r="G45" s="291" t="s">
        <v>2412</v>
      </c>
    </row>
    <row r="46" spans="1:7" s="258" customFormat="1" ht="13.5" customHeight="1">
      <c r="A46" s="951" t="s">
        <v>791</v>
      </c>
      <c r="B46" s="292" t="s">
        <v>2413</v>
      </c>
      <c r="C46" s="293">
        <f ca="1">ROUND((C33+C39)*F27,0)</f>
        <v>4375385</v>
      </c>
      <c r="D46" s="307"/>
      <c r="E46" s="280"/>
      <c r="F46" s="290"/>
      <c r="G46" s="291"/>
    </row>
    <row r="47" spans="1:7" s="258" customFormat="1" ht="13.5" customHeight="1">
      <c r="A47" s="951"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29713214</v>
      </c>
      <c r="D49" s="276"/>
      <c r="E49" s="276"/>
      <c r="F49" s="308"/>
      <c r="G49" s="278" t="s">
        <v>2418</v>
      </c>
    </row>
    <row r="50" spans="1:7" s="302" customFormat="1">
      <c r="A50" s="299" t="s">
        <v>2419</v>
      </c>
      <c r="B50" s="254" t="s">
        <v>2420</v>
      </c>
      <c r="C50" s="276"/>
      <c r="D50" s="276"/>
      <c r="E50" s="276"/>
      <c r="F50" s="308">
        <f>IF('数据-取费表'!B24=0,'数据-取费表'!N16,1)</f>
        <v>0.98</v>
      </c>
      <c r="G50" s="291"/>
    </row>
    <row r="51" spans="1:7" ht="16.5" customHeight="1">
      <c r="A51" s="299" t="s">
        <v>2422</v>
      </c>
      <c r="B51" s="254" t="s">
        <v>2457</v>
      </c>
      <c r="C51" s="276">
        <f ca="1">ROUND(C49*F50,0)</f>
        <v>29118950</v>
      </c>
      <c r="D51" s="276"/>
      <c r="E51" s="276"/>
      <c r="F51" s="308"/>
      <c r="G51" s="278" t="s">
        <v>2424</v>
      </c>
    </row>
    <row r="52" spans="1:7" s="252" customFormat="1" ht="16.5" thickBot="1">
      <c r="A52" s="309" t="s">
        <v>2425</v>
      </c>
      <c r="B52" s="310"/>
      <c r="C52" s="311">
        <f ca="1">C31+C51</f>
        <v>32300326</v>
      </c>
      <c r="D52" s="310"/>
      <c r="E52" s="310"/>
      <c r="F52" s="310"/>
      <c r="G52" s="312"/>
    </row>
    <row r="55" spans="1:7" ht="15">
      <c r="B55" s="314" t="s">
        <v>2426</v>
      </c>
      <c r="C55" s="315"/>
    </row>
    <row r="56" spans="1:7">
      <c r="B56" s="317" t="s">
        <v>1513</v>
      </c>
      <c r="C56" s="319">
        <f ca="1">1-C57</f>
        <v>9.7999999999999976E-2</v>
      </c>
    </row>
    <row r="57" spans="1:7">
      <c r="B57" s="317" t="s">
        <v>1514</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-60</v>
      </c>
      <c r="C2" s="320" t="s">
        <v>2459</v>
      </c>
      <c r="D2" s="320"/>
      <c r="E2" s="320"/>
      <c r="F2" s="320"/>
      <c r="G2" s="320"/>
      <c r="H2" s="320"/>
      <c r="I2" s="320"/>
      <c r="J2" s="320"/>
      <c r="K2" s="320"/>
    </row>
    <row r="3" spans="1:33" ht="18" customHeight="1" thickBot="1">
      <c r="A3" s="247" t="s">
        <v>2328</v>
      </c>
      <c r="B3" s="248">
        <f ca="1">ROUND(B2*10000/IF(C1="",'数据-汇总表'!E3,INDIRECT("'数据-取费表'!K"&amp;$K$1)),0)</f>
        <v>-70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3" t="s">
        <v>2464</v>
      </c>
      <c r="D5" s="2553" t="s">
        <v>2465</v>
      </c>
      <c r="E5" s="2553" t="s">
        <v>2466</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1334</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1335</v>
      </c>
      <c r="B12" s="972" t="s">
        <v>2480</v>
      </c>
      <c r="C12" s="24">
        <f ca="1">ROUND(C11*F12,0)</f>
        <v>0</v>
      </c>
      <c r="D12" s="973"/>
      <c r="E12" s="375"/>
      <c r="F12" s="976">
        <f>'数据-取费表'!B33</f>
        <v>0.03</v>
      </c>
      <c r="G12" s="8" t="s">
        <v>2481</v>
      </c>
      <c r="H12" s="968"/>
      <c r="I12" s="968"/>
      <c r="J12" s="968"/>
      <c r="K12" s="969"/>
    </row>
    <row r="13" spans="1:33" s="975" customFormat="1" ht="13.5" customHeight="1">
      <c r="A13" s="971" t="s">
        <v>1336</v>
      </c>
      <c r="B13" s="972" t="s">
        <v>2482</v>
      </c>
      <c r="C13" s="24">
        <f ca="1">ROUND(IF(C1="",SUMIF('数据-取费表'!C:C,"住宅",'数据-取费表'!P:P)*F13,IF(INDIRECT("'数据-取费表'!c"&amp;$K$1)="住宅",INDIRECT("'数据-取费表'!P"&amp;$K$1)*F13,0)),0)</f>
        <v>0</v>
      </c>
      <c r="D13" s="1033"/>
      <c r="E13" s="375"/>
      <c r="F13" s="976">
        <f>'数据-取费表'!B34</f>
        <v>0.05</v>
      </c>
      <c r="G13" s="8" t="s">
        <v>2483</v>
      </c>
      <c r="H13" s="968"/>
      <c r="I13" s="968"/>
      <c r="J13" s="968"/>
      <c r="K13" s="969"/>
    </row>
    <row r="14" spans="1:33" s="977" customFormat="1" ht="13.5" customHeight="1">
      <c r="A14" s="971" t="s">
        <v>1337</v>
      </c>
      <c r="B14" s="972" t="s">
        <v>2484</v>
      </c>
      <c r="C14" s="24">
        <f ca="1">ROUND(D14*E14*F11/10000,0)</f>
        <v>0</v>
      </c>
      <c r="D14" s="1033">
        <f ca="1">IF(C1="",'数据-汇总表'!E3,INDIRECT("'数据-取费表'!K"&amp;$K$1)+INDIRECT("'数据-取费表'!S"&amp;$K$1))</f>
        <v>8582.619999999999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1338</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8582.619999999999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1339</v>
      </c>
      <c r="B18" s="972" t="s">
        <v>2491</v>
      </c>
      <c r="C18" s="24">
        <f ca="1">C19+C20-IF(C1="",'数据-取费表'!B29,IF(G18="已全部缴纳",C19+C20,H18))</f>
        <v>51</v>
      </c>
      <c r="D18" s="1033"/>
      <c r="E18" s="24"/>
      <c r="F18" s="976"/>
      <c r="G18" s="2555"/>
      <c r="H18" s="1577"/>
      <c r="I18" s="2556"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60</v>
      </c>
      <c r="F19" s="976"/>
      <c r="G19" s="15"/>
      <c r="H19" s="1579"/>
      <c r="I19" s="981"/>
      <c r="J19" s="981"/>
      <c r="K19" s="982"/>
    </row>
    <row r="20" spans="1:33" s="975" customFormat="1" ht="13.5" customHeight="1">
      <c r="A20" s="971" t="s">
        <v>806</v>
      </c>
      <c r="B20" s="972" t="s">
        <v>2494</v>
      </c>
      <c r="C20" s="24">
        <f ca="1">ROUND(D20*E20/10000,0)</f>
        <v>51</v>
      </c>
      <c r="D20" s="1033">
        <f ca="1">IF(C1="",'数据-汇总表'!E6,IF(INDIRECT("'数据-取费表'!c"&amp;$K$1)="住宅",INDIRECT("'数据-取费表'!s"&amp;$K$1),INDIRECT("'数据-取费表'!k"&amp;$K$1)+INDIRECT("'数据-取费表'!s"&amp;$K$1)))</f>
        <v>8582.619999999999</v>
      </c>
      <c r="E20" s="24">
        <f>'数据-取费表'!B28</f>
        <v>60</v>
      </c>
      <c r="F20" s="976"/>
      <c r="G20" s="15"/>
      <c r="H20" s="981"/>
      <c r="I20" s="981"/>
      <c r="J20" s="981"/>
      <c r="K20" s="982"/>
    </row>
    <row r="21" spans="1:33" s="975" customFormat="1" ht="13.5" customHeight="1">
      <c r="A21" s="961" t="s">
        <v>802</v>
      </c>
      <c r="B21" s="985" t="s">
        <v>2495</v>
      </c>
      <c r="C21" s="986">
        <f ca="1">C16+C17+C18</f>
        <v>51</v>
      </c>
      <c r="D21" s="987"/>
      <c r="E21" s="325"/>
      <c r="F21" s="325"/>
      <c r="G21" s="140" t="s">
        <v>2496</v>
      </c>
      <c r="H21" s="979"/>
      <c r="I21" s="979"/>
      <c r="J21" s="979"/>
      <c r="K21" s="980"/>
    </row>
    <row r="22" spans="1:33" s="975" customFormat="1" ht="13.5" customHeight="1">
      <c r="A22" s="961" t="s">
        <v>2468</v>
      </c>
      <c r="B22" s="985" t="s">
        <v>2497</v>
      </c>
      <c r="C22" s="986">
        <f ca="1">ROUND(C21*F22,0)</f>
        <v>1</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0.03</v>
      </c>
      <c r="G23" s="8" t="s">
        <v>2500</v>
      </c>
      <c r="H23" s="968"/>
      <c r="I23" s="968"/>
      <c r="J23" s="968"/>
      <c r="K23" s="969"/>
    </row>
    <row r="24" spans="1:33" s="975" customFormat="1" ht="13.5" customHeight="1">
      <c r="A24" s="961" t="s">
        <v>2501</v>
      </c>
      <c r="B24" s="985" t="s">
        <v>2502</v>
      </c>
      <c r="C24" s="324">
        <f>ROUND(F24/(1+'数据-取费表'!C42),4)</f>
        <v>3.8600000000000002E-2</v>
      </c>
      <c r="D24" s="325" t="s">
        <v>15</v>
      </c>
      <c r="E24" s="325"/>
      <c r="F24" s="988">
        <f>'数据-取费表'!B48+'数据-取费表'!B49</f>
        <v>4.0500000000000001E-2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2508</v>
      </c>
      <c r="B28" s="2558" t="s">
        <v>2509</v>
      </c>
      <c r="C28" s="331">
        <f ca="1">C30</f>
        <v>10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10</v>
      </c>
      <c r="D30" s="328"/>
      <c r="E30" s="329"/>
      <c r="F30" s="334"/>
      <c r="G30" s="140"/>
      <c r="H30" s="979"/>
      <c r="I30" s="979"/>
      <c r="J30" s="979"/>
      <c r="K30" s="980"/>
    </row>
    <row r="31" spans="1:33" s="975" customFormat="1" ht="13.5" customHeight="1" thickBot="1">
      <c r="A31" s="2559"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-60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79"/>
      <c r="C1" s="1837"/>
      <c r="D1" s="1820"/>
      <c r="E1" s="1821" t="s">
        <v>1387</v>
      </c>
      <c r="F1" s="1283" t="b">
        <f>J53</f>
        <v>0</v>
      </c>
      <c r="G1" s="1836">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1515</v>
      </c>
      <c r="B2" s="1844" t="e">
        <f ca="1">C40+J29+L46</f>
        <v>#DIV/0!</v>
      </c>
      <c r="C2" s="1845" t="s">
        <v>1516</v>
      </c>
      <c r="D2" s="1845"/>
      <c r="E2" s="1846"/>
      <c r="F2" s="1847"/>
      <c r="G2" s="1848"/>
      <c r="H2" s="1840"/>
      <c r="I2" s="1840"/>
      <c r="J2" s="1840"/>
      <c r="K2" s="1841"/>
      <c r="L2" s="1840"/>
      <c r="M2" s="1840"/>
    </row>
    <row r="3" spans="1:37" ht="18" customHeight="1" thickBot="1">
      <c r="A3" s="1849" t="s">
        <v>1517</v>
      </c>
      <c r="B3" s="1850">
        <f ca="1">IF(ISERROR(B2*10000/F43),0,ROUND(B2*10000/F43,0))</f>
        <v>0</v>
      </c>
      <c r="C3" s="1845" t="s">
        <v>1518</v>
      </c>
      <c r="D3" s="1845"/>
      <c r="E3" s="1846"/>
      <c r="F3" s="1847"/>
      <c r="G3" s="1848"/>
      <c r="H3" s="741"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2">
        <f ca="1">C6+C10+C12</f>
        <v>0</v>
      </c>
      <c r="D5" s="1822" t="s">
        <v>1402</v>
      </c>
      <c r="E5" s="1293"/>
      <c r="F5" s="1294"/>
      <c r="G5" s="1851"/>
      <c r="H5" s="344">
        <v>1</v>
      </c>
      <c r="I5" s="345" t="s">
        <v>1401</v>
      </c>
      <c r="J5" s="1292">
        <f ca="1">J6+J10+J12</f>
        <v>0</v>
      </c>
      <c r="K5" s="1822" t="s">
        <v>1402</v>
      </c>
      <c r="L5" s="1293"/>
      <c r="M5" s="1294"/>
    </row>
    <row r="6" spans="1:37" ht="18" customHeight="1">
      <c r="A6" s="1291" t="s">
        <v>1035</v>
      </c>
      <c r="B6" s="3159" t="s">
        <v>1403</v>
      </c>
      <c r="C6" s="1296">
        <f ca="1">ROUND(F6*F8*F7*(1-F9)/10000,0)</f>
        <v>0</v>
      </c>
      <c r="D6" s="164" t="s">
        <v>3028</v>
      </c>
      <c r="E6" s="347" t="s">
        <v>1405</v>
      </c>
      <c r="F6" s="348">
        <f ca="1">INDIRECT("'数据-取费表'!u"&amp;$G$1)</f>
        <v>0</v>
      </c>
      <c r="G6" s="1851"/>
      <c r="H6" s="1291" t="s">
        <v>1035</v>
      </c>
      <c r="I6" s="3159" t="s">
        <v>1403</v>
      </c>
      <c r="J6" s="346">
        <f ca="1">ROUND(M6*M8*M7*(1-M9)/10000,0)</f>
        <v>0</v>
      </c>
      <c r="K6" s="164" t="s">
        <v>3027</v>
      </c>
      <c r="L6" s="347" t="s">
        <v>1405</v>
      </c>
      <c r="M6" s="348">
        <f ca="1">INDIRECT("'数据-取费表'!z"&amp;$G$1)</f>
        <v>0</v>
      </c>
    </row>
    <row r="7" spans="1:37" ht="18" customHeight="1">
      <c r="A7" s="1295"/>
      <c r="B7" s="3160"/>
      <c r="C7" s="1297"/>
      <c r="D7" s="352"/>
      <c r="E7" s="1298" t="s">
        <v>1406</v>
      </c>
      <c r="F7" s="348">
        <f ca="1">IF(INDIRECT("'数据-取费表'!ah"&amp;$G$1)="",INDIRECT("'数据-取费表'!k"&amp;$G$1),INDIRECT("'数据-取费表'!ah"&amp;$G$1))</f>
        <v>0</v>
      </c>
      <c r="G7" s="1851"/>
      <c r="H7" s="349"/>
      <c r="I7" s="3160"/>
      <c r="J7" s="351"/>
      <c r="K7" s="352"/>
      <c r="L7" s="347" t="s">
        <v>1406</v>
      </c>
      <c r="M7" s="348">
        <f ca="1">F7</f>
        <v>0</v>
      </c>
    </row>
    <row r="8" spans="1:37" ht="18" customHeight="1">
      <c r="A8" s="349"/>
      <c r="B8" s="3160"/>
      <c r="C8" s="351"/>
      <c r="D8" s="352"/>
      <c r="E8" s="347" t="s">
        <v>1407</v>
      </c>
      <c r="F8" s="348">
        <f ca="1">INDIRECT("'数据-取费表'!ai"&amp;$G$1)</f>
        <v>0</v>
      </c>
      <c r="G8" s="1851"/>
      <c r="H8" s="349"/>
      <c r="I8" s="3160"/>
      <c r="J8" s="351"/>
      <c r="K8" s="352"/>
      <c r="L8" s="347" t="s">
        <v>1407</v>
      </c>
      <c r="M8" s="348">
        <f ca="1">INDIRECT("'数据-取费表'!ai"&amp;$G$1)</f>
        <v>0</v>
      </c>
    </row>
    <row r="9" spans="1:37" ht="18" customHeight="1">
      <c r="A9" s="349"/>
      <c r="B9" s="3161"/>
      <c r="C9" s="351"/>
      <c r="D9" s="352"/>
      <c r="E9" s="347" t="s">
        <v>1408</v>
      </c>
      <c r="F9" s="357">
        <f ca="1">INDIRECT("'数据-取费表'!w"&amp;$G$1)</f>
        <v>0</v>
      </c>
      <c r="G9" s="1851"/>
      <c r="H9" s="349"/>
      <c r="I9" s="3161"/>
      <c r="J9" s="351"/>
      <c r="K9" s="352"/>
      <c r="L9" s="358" t="s">
        <v>1408</v>
      </c>
      <c r="M9" s="359">
        <f ca="1">INDIRECT("'数据-取费表'!ab"&amp;$G$1)</f>
        <v>0</v>
      </c>
    </row>
    <row r="10" spans="1:37" ht="18" customHeight="1">
      <c r="A10" s="1291" t="s">
        <v>1039</v>
      </c>
      <c r="B10" s="1823" t="s">
        <v>1409</v>
      </c>
      <c r="C10" s="361">
        <f ca="1">ROUND(IF(F10="押一",C6/12*F11,IF(F10="押二",C6/12*2*F11,IF(F10="押三",C6/12*3*F11,C11*F11))),0)</f>
        <v>0</v>
      </c>
      <c r="D10" s="1824" t="s">
        <v>3037</v>
      </c>
      <c r="E10" s="358" t="s">
        <v>1410</v>
      </c>
      <c r="F10" s="1366"/>
      <c r="G10" s="1851"/>
      <c r="H10" s="1291" t="s">
        <v>1039</v>
      </c>
      <c r="I10" s="1823" t="s">
        <v>1409</v>
      </c>
      <c r="J10" s="346">
        <f ca="1">ROUND(IF(M10="押一",J6/12*M11,IF(M10="押二",J6/12*2*M11,IF(M10="押三",J6/12*3*M11,J11*M11))),0)</f>
        <v>0</v>
      </c>
      <c r="K10" s="1824" t="s">
        <v>3036</v>
      </c>
      <c r="L10" s="358" t="s">
        <v>1410</v>
      </c>
      <c r="M10" s="1366" t="s">
        <v>1411</v>
      </c>
    </row>
    <row r="11" spans="1:37" ht="18" customHeight="1">
      <c r="A11" s="353"/>
      <c r="B11" s="1825" t="s">
        <v>1388</v>
      </c>
      <c r="C11" s="1178"/>
      <c r="D11" s="1826"/>
      <c r="E11" s="358" t="s">
        <v>1412</v>
      </c>
      <c r="F11" s="359">
        <f ca="1">'数据-取费表'!B39</f>
        <v>1.4999999999999999E-2</v>
      </c>
      <c r="G11" s="1851"/>
      <c r="H11" s="1299"/>
      <c r="I11" s="1825" t="s">
        <v>1388</v>
      </c>
      <c r="J11" s="1178"/>
      <c r="K11" s="745"/>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0</v>
      </c>
      <c r="D13" s="1331" t="s">
        <v>1415</v>
      </c>
      <c r="E13" s="1331" t="s">
        <v>1416</v>
      </c>
      <c r="F13" s="1332">
        <f ca="1">INDIRECT("'数据-取费表'!y"&amp;$G$1)</f>
        <v>0</v>
      </c>
      <c r="G13" s="1851"/>
      <c r="H13" s="1329">
        <v>2</v>
      </c>
      <c r="I13" s="1330" t="s">
        <v>1414</v>
      </c>
      <c r="J13" s="1290">
        <f ca="1">ROUND(J14*J15,0)</f>
        <v>0</v>
      </c>
      <c r="K13" s="1337" t="s">
        <v>1415</v>
      </c>
      <c r="L13" s="1852"/>
      <c r="M13" s="1853"/>
    </row>
    <row r="14" spans="1:37" ht="18" customHeight="1">
      <c r="A14" s="1201" t="s">
        <v>1034</v>
      </c>
      <c r="B14" s="347" t="s">
        <v>1417</v>
      </c>
      <c r="C14" s="363">
        <f ca="1">INDIRECT("'数据-取费表'!m"&amp;$G$1)+INDIRECT("'数据-取费表'!t"&amp;$G$1)</f>
        <v>0</v>
      </c>
      <c r="D14" s="1800" t="s">
        <v>1418</v>
      </c>
      <c r="E14" s="1794"/>
      <c r="F14" s="364"/>
      <c r="G14" s="1851"/>
      <c r="H14" s="1201" t="s">
        <v>1035</v>
      </c>
      <c r="I14" s="347" t="s">
        <v>1419</v>
      </c>
      <c r="J14" s="24">
        <f ca="1">C29</f>
        <v>0</v>
      </c>
      <c r="K14" s="15"/>
      <c r="L14" s="979"/>
      <c r="M14" s="980"/>
    </row>
    <row r="15" spans="1:37" s="1858" customFormat="1" ht="18" customHeight="1" thickBot="1">
      <c r="A15" s="1201" t="s">
        <v>1036</v>
      </c>
      <c r="B15" s="347" t="s">
        <v>1420</v>
      </c>
      <c r="C15" s="24">
        <f ca="1">ROUND(C14*F15,0)</f>
        <v>0</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ROUND(INDIRECT("'数据-取费表'!m"&amp;$G$1)*F16,0)</f>
        <v>0</v>
      </c>
      <c r="D16" s="347" t="s">
        <v>1421</v>
      </c>
      <c r="E16" s="347" t="s">
        <v>1422</v>
      </c>
      <c r="F16" s="367">
        <f ca="1">IF(INDIRECT("'数据-取费表'!c"&amp;$G$1)="住宅",'数据-取费表'!B34,0)</f>
        <v>0</v>
      </c>
      <c r="G16" s="1851"/>
      <c r="H16" s="1329" t="s">
        <v>1030</v>
      </c>
      <c r="I16" s="1330" t="s">
        <v>1424</v>
      </c>
      <c r="J16" s="355">
        <f ca="1">ROUND(J17+J22+J23+J24,0)</f>
        <v>0</v>
      </c>
      <c r="K16" s="1337" t="s">
        <v>1425</v>
      </c>
      <c r="L16" s="1338"/>
      <c r="M16" s="1294"/>
    </row>
    <row r="17" spans="1:37" s="1858" customFormat="1" ht="18" customHeight="1">
      <c r="A17" s="1201" t="s">
        <v>1390</v>
      </c>
      <c r="B17" s="347" t="s">
        <v>1426</v>
      </c>
      <c r="C17" s="24">
        <f ca="1">ROUND(F17*(F43+INDIRECT("'数据-取费表'!S"&amp;$G$1))/10000,0)</f>
        <v>0</v>
      </c>
      <c r="D17" s="347" t="s">
        <v>1427</v>
      </c>
      <c r="E17" s="347" t="s">
        <v>1428</v>
      </c>
      <c r="F17" s="26">
        <f>'数据-取费表'!B35</f>
        <v>200</v>
      </c>
      <c r="G17" s="1854"/>
      <c r="H17" s="1201" t="s">
        <v>1035</v>
      </c>
      <c r="I17" s="347" t="s">
        <v>1429</v>
      </c>
      <c r="J17" s="24">
        <f ca="1">ROUND(IF(项目基本情况!B11="自然人",J5*M17,J18+J19+J20),1)</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0</v>
      </c>
      <c r="D18" s="347" t="s">
        <v>1421</v>
      </c>
      <c r="E18" s="347" t="s">
        <v>1422</v>
      </c>
      <c r="F18" s="367">
        <f>'数据-取费表'!B36</f>
        <v>1.4999999999999999E-2</v>
      </c>
      <c r="G18" s="1854"/>
      <c r="H18" s="1201" t="s">
        <v>1034</v>
      </c>
      <c r="I18" s="347" t="s">
        <v>1433</v>
      </c>
      <c r="J18" s="24">
        <f ca="1">ROUND(J5*M18/(1+'数据-取费表'!C42),2)</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0</v>
      </c>
      <c r="D19" s="140" t="s">
        <v>1436</v>
      </c>
      <c r="E19" s="1818"/>
      <c r="F19" s="26"/>
      <c r="G19" s="1851"/>
      <c r="H19" s="1201" t="s">
        <v>1036</v>
      </c>
      <c r="I19" s="347" t="s">
        <v>1437</v>
      </c>
      <c r="J19" s="24">
        <f ca="1">IF(K19="按租金收入计税",ROUND(J5*M19,2),ROUND(C29*M19*0.7,2))</f>
        <v>0</v>
      </c>
      <c r="K19" s="1828" t="s">
        <v>1438</v>
      </c>
      <c r="L19" s="347" t="s">
        <v>1422</v>
      </c>
      <c r="M19" s="367">
        <f>IF(K19="按租金收入计税",'数据-取费表'!B51,'数据-取费表'!B50)</f>
        <v>1.2E-2</v>
      </c>
    </row>
    <row r="20" spans="1:37" s="1858" customFormat="1" ht="18" customHeight="1">
      <c r="A20" s="1201" t="s">
        <v>1039</v>
      </c>
      <c r="B20" s="347" t="s">
        <v>1439</v>
      </c>
      <c r="C20" s="24">
        <f ca="1">ROUND(C19*F20,0)</f>
        <v>0</v>
      </c>
      <c r="D20" s="369" t="s">
        <v>1440</v>
      </c>
      <c r="E20" s="347" t="s">
        <v>1422</v>
      </c>
      <c r="F20" s="367">
        <f>'数据-取费表'!B37</f>
        <v>0.02</v>
      </c>
      <c r="G20" s="1854"/>
      <c r="H20" s="1201" t="s">
        <v>1389</v>
      </c>
      <c r="I20" s="164" t="s">
        <v>1441</v>
      </c>
      <c r="J20" s="25">
        <f ca="1">ROUND(M20*M21/10000,2)</f>
        <v>0</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ROUND(J14*M22,1)</f>
        <v>0</v>
      </c>
      <c r="K22" s="1798" t="s">
        <v>1450</v>
      </c>
      <c r="L22" s="347" t="s">
        <v>1422</v>
      </c>
      <c r="M22" s="374">
        <f ca="1">INDIRECT("'数据-取费表'!Ak"&amp;$G$1)</f>
        <v>0</v>
      </c>
    </row>
    <row r="23" spans="1:37" s="1858" customFormat="1" ht="18" customHeight="1">
      <c r="A23" s="1201"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4"/>
      <c r="H23" s="1201" t="s">
        <v>1075</v>
      </c>
      <c r="I23" s="347" t="s">
        <v>1453</v>
      </c>
      <c r="J23" s="24">
        <f ca="1">ROUND(J13*M23,1)</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ROUND(J5*M24,1)</f>
        <v>0</v>
      </c>
      <c r="K24" s="1342" t="s">
        <v>1459</v>
      </c>
      <c r="L24" s="1340" t="s">
        <v>1455</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1460</v>
      </c>
      <c r="B25" s="347" t="s">
        <v>1461</v>
      </c>
      <c r="C25" s="24"/>
      <c r="D25" s="140" t="s">
        <v>1462</v>
      </c>
      <c r="E25" s="1818"/>
      <c r="F25" s="26"/>
      <c r="G25" s="1851"/>
      <c r="H25" s="1329" t="s">
        <v>1031</v>
      </c>
      <c r="I25" s="1344" t="s">
        <v>1463</v>
      </c>
      <c r="J25" s="355">
        <f ca="1">J5-J16</f>
        <v>0</v>
      </c>
      <c r="K25" s="1345" t="s">
        <v>1464</v>
      </c>
      <c r="L25" s="1346"/>
      <c r="M25" s="1347"/>
    </row>
    <row r="26" spans="1:37">
      <c r="A26" s="1201"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1"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0</v>
      </c>
      <c r="D29" s="1342"/>
      <c r="E29" s="1340"/>
      <c r="F29" s="1343"/>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0</v>
      </c>
      <c r="D30" s="1337" t="s">
        <v>1425</v>
      </c>
      <c r="E30" s="1338"/>
      <c r="F30" s="1294"/>
      <c r="G30" s="1851"/>
      <c r="H30" s="742"/>
      <c r="I30" s="743"/>
      <c r="J30" s="744"/>
      <c r="K30" s="745"/>
      <c r="L30" s="746"/>
      <c r="M30" s="747"/>
    </row>
    <row r="31" spans="1:37" ht="18" customHeight="1">
      <c r="A31" s="1201" t="s">
        <v>1035</v>
      </c>
      <c r="B31" s="347" t="s">
        <v>1429</v>
      </c>
      <c r="C31" s="24">
        <f ca="1">ROUND(IF(项目基本情况!B11="自然人",C5*F31,C32+C33+C34),1)</f>
        <v>0</v>
      </c>
      <c r="D31" s="1800" t="s">
        <v>1430</v>
      </c>
      <c r="E31" s="1798" t="s">
        <v>1481</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7" t="s">
        <v>1433</v>
      </c>
      <c r="C32" s="24">
        <f ca="1">IF(项目基本情况!B11="自然人","——",ROUND(C5*F32/(1+'数据-取费表'!C42),2))</f>
        <v>0</v>
      </c>
      <c r="D32" s="1798" t="s">
        <v>1434</v>
      </c>
      <c r="E32" s="347" t="s">
        <v>1422</v>
      </c>
      <c r="F32" s="377">
        <f>'数据-取费表'!B41</f>
        <v>5.6000000000000001E-2</v>
      </c>
      <c r="G32" s="1851"/>
      <c r="H32" s="742"/>
      <c r="I32" s="743"/>
      <c r="J32" s="744"/>
      <c r="K32" s="745"/>
      <c r="L32" s="746"/>
      <c r="M32" s="747"/>
    </row>
    <row r="33" spans="1:18" ht="18" customHeight="1">
      <c r="A33" s="1201" t="s">
        <v>1036</v>
      </c>
      <c r="B33" s="347" t="s">
        <v>1437</v>
      </c>
      <c r="C33" s="24">
        <f ca="1">IF(项目基本情况!B11="自然人","——",IF(D33="按租金收入计税",ROUND(C5*F33,2),IF(D33="按房产原值计税",ROUND(C29*F33*0.7,2),INDIRECT("'数据-取费表'!Aj"&amp;$G$1))))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1" t="s">
        <v>1389</v>
      </c>
      <c r="B34" s="164" t="s">
        <v>1441</v>
      </c>
      <c r="C34" s="25">
        <f ca="1">IF(项目基本情况!B11="自然人","——",ROUND(F34*F35/10000,2))</f>
        <v>0</v>
      </c>
      <c r="D34" s="370" t="s">
        <v>1442</v>
      </c>
      <c r="E34" s="347" t="s">
        <v>1443</v>
      </c>
      <c r="F34" s="371">
        <f>'数据-取费表'!B52</f>
        <v>4</v>
      </c>
      <c r="G34" s="1851"/>
      <c r="H34" s="742"/>
      <c r="I34" s="1860"/>
      <c r="J34" s="1861"/>
      <c r="K34" s="1863"/>
      <c r="L34" s="1864"/>
      <c r="M34" s="1864"/>
    </row>
    <row r="35" spans="1:18" ht="18" customHeight="1">
      <c r="A35" s="1353"/>
      <c r="B35" s="1351"/>
      <c r="C35" s="29"/>
      <c r="D35" s="373"/>
      <c r="E35" s="347" t="s">
        <v>1447</v>
      </c>
      <c r="F35" s="348">
        <f ca="1">INDIRECT("'数据-取费表'!r"&amp;$G$1)</f>
        <v>0</v>
      </c>
      <c r="G35" s="1851"/>
      <c r="H35" s="742"/>
      <c r="I35" s="1860"/>
      <c r="J35" s="1861"/>
      <c r="K35" s="1862"/>
      <c r="L35" s="1859"/>
      <c r="M35" s="1859"/>
    </row>
    <row r="36" spans="1:18" ht="18" customHeight="1">
      <c r="A36" s="1352" t="s">
        <v>1039</v>
      </c>
      <c r="B36" s="347" t="s">
        <v>1449</v>
      </c>
      <c r="C36" s="24">
        <f ca="1">ROUND(C29*F36,1)</f>
        <v>0</v>
      </c>
      <c r="D36" s="1798" t="s">
        <v>1482</v>
      </c>
      <c r="E36" s="347" t="s">
        <v>1422</v>
      </c>
      <c r="F36" s="374">
        <f ca="1">INDIRECT("'数据-取费表'!Ak"&amp;$G$1)</f>
        <v>0</v>
      </c>
      <c r="G36" s="1851"/>
      <c r="H36" s="1859"/>
      <c r="I36" s="1860"/>
      <c r="J36" s="1861"/>
      <c r="K36" s="748"/>
      <c r="L36" s="1859"/>
      <c r="M36" s="1859"/>
    </row>
    <row r="37" spans="1:18" ht="18" customHeight="1">
      <c r="A37" s="1201" t="s">
        <v>1075</v>
      </c>
      <c r="B37" s="347" t="s">
        <v>1453</v>
      </c>
      <c r="C37" s="24">
        <f ca="1">ROUND(C13*F37,1)</f>
        <v>0</v>
      </c>
      <c r="D37" s="1798" t="s">
        <v>1454</v>
      </c>
      <c r="E37" s="347" t="s">
        <v>1455</v>
      </c>
      <c r="F37" s="376">
        <f ca="1">INDIRECT("'数据-取费表'!Al"&amp;$G$1)</f>
        <v>0</v>
      </c>
      <c r="G37" s="1851"/>
      <c r="H37" s="1859"/>
      <c r="I37" s="1860"/>
      <c r="J37" s="1861"/>
      <c r="K37" s="748"/>
      <c r="L37" s="1859"/>
      <c r="M37" s="1859"/>
    </row>
    <row r="38" spans="1:18" ht="18" customHeight="1" thickBot="1">
      <c r="A38" s="1339" t="s">
        <v>1393</v>
      </c>
      <c r="B38" s="1340" t="s">
        <v>1439</v>
      </c>
      <c r="C38" s="1341">
        <f ca="1">ROUND(C5*F38,1)</f>
        <v>0</v>
      </c>
      <c r="D38" s="1342" t="s">
        <v>1459</v>
      </c>
      <c r="E38" s="1340" t="s">
        <v>1455</v>
      </c>
      <c r="F38" s="1336">
        <f ca="1">INDIRECT("'数据-取费表'!Am"&amp;$G$1)</f>
        <v>0</v>
      </c>
      <c r="G38" s="1851"/>
      <c r="H38" s="1859"/>
      <c r="I38" s="1860"/>
      <c r="J38" s="1861"/>
      <c r="K38" s="1865"/>
      <c r="L38" s="1859"/>
      <c r="M38" s="1859"/>
    </row>
    <row r="39" spans="1:18" ht="24.6" customHeight="1" thickTop="1">
      <c r="A39" s="1329" t="s">
        <v>1031</v>
      </c>
      <c r="B39" s="1344" t="s">
        <v>1483</v>
      </c>
      <c r="C39" s="355">
        <f ca="1">C5-C30</f>
        <v>0</v>
      </c>
      <c r="D39" s="1345" t="s">
        <v>1484</v>
      </c>
      <c r="E39" s="1346"/>
      <c r="F39" s="1347"/>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29"/>
      <c r="I41" s="1860"/>
      <c r="J41" s="1861"/>
      <c r="K41" s="748"/>
      <c r="L41" s="729"/>
      <c r="M41" s="729"/>
    </row>
    <row r="42" spans="1:18" ht="18" customHeight="1">
      <c r="A42" s="353"/>
      <c r="B42" s="354"/>
      <c r="C42" s="355"/>
      <c r="D42" s="373"/>
      <c r="E42" s="347" t="s">
        <v>1477</v>
      </c>
      <c r="F42" s="357">
        <f ca="1">INDIRECT("'数据-取费表'!v"&amp;$G$1)</f>
        <v>0</v>
      </c>
      <c r="G42" s="1851"/>
      <c r="H42" s="729"/>
      <c r="I42" s="1860"/>
      <c r="J42" s="1861"/>
      <c r="K42" s="748"/>
      <c r="L42" s="729"/>
      <c r="M42" s="729"/>
    </row>
    <row r="43" spans="1:18" ht="18" customHeight="1" thickBot="1">
      <c r="A43" s="380" t="s">
        <v>1033</v>
      </c>
      <c r="B43" s="381" t="s">
        <v>1487</v>
      </c>
      <c r="C43" s="382" t="e">
        <f ca="1">ROUND(C40*10000/F43,0)</f>
        <v>#DIV/0!</v>
      </c>
      <c r="D43" s="383" t="s">
        <v>1488</v>
      </c>
      <c r="E43" s="384" t="s">
        <v>1489</v>
      </c>
      <c r="F43" s="385">
        <f ca="1">INDIRECT("'数据-取费表'!k"&amp;$G$1)</f>
        <v>0</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3"/>
      <c r="O45" s="1869" t="s">
        <v>1519</v>
      </c>
      <c r="P45" s="1839"/>
      <c r="Q45" s="1839"/>
      <c r="R45" s="1839"/>
    </row>
    <row r="46" spans="1:18" s="1842" customFormat="1" ht="13.5" thickBot="1">
      <c r="A46" s="1870" t="s">
        <v>1520</v>
      </c>
      <c r="C46" s="1871" t="e">
        <f ca="1">C68-C40</f>
        <v>#DIV/0!</v>
      </c>
      <c r="D46" s="1872" t="str">
        <f>C2</f>
        <v>万元</v>
      </c>
      <c r="E46" s="1866"/>
      <c r="F46" s="1866"/>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5" t="s">
        <v>1396</v>
      </c>
      <c r="B47" s="1197" t="s">
        <v>1397</v>
      </c>
      <c r="C47" s="1367" t="s">
        <v>1398</v>
      </c>
      <c r="D47" s="1197" t="s">
        <v>1399</v>
      </c>
      <c r="E47" s="1279" t="s">
        <v>1400</v>
      </c>
      <c r="F47" s="1280"/>
      <c r="G47" s="789"/>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0" t="s">
        <v>1135</v>
      </c>
      <c r="B48" s="345" t="s">
        <v>1401</v>
      </c>
      <c r="C48" s="1817">
        <f ca="1">C49+C53+C55</f>
        <v>0</v>
      </c>
      <c r="D48" s="1362"/>
      <c r="E48" s="1363"/>
      <c r="F48" s="1181"/>
      <c r="G48" s="789"/>
      <c r="H48" s="790"/>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4" t="s">
        <v>1136</v>
      </c>
      <c r="B49" s="1829" t="s">
        <v>1490</v>
      </c>
      <c r="C49" s="1364">
        <f ca="1">ROUND(F49*F51*F50*(1-F52)/10000,0)</f>
        <v>0</v>
      </c>
      <c r="D49" s="1276" t="s">
        <v>3029</v>
      </c>
      <c r="E49" s="1830" t="s">
        <v>1491</v>
      </c>
      <c r="F49" s="1281"/>
      <c r="G49" s="1891"/>
      <c r="H49" s="790"/>
      <c r="I49" s="1887" t="s">
        <v>1534</v>
      </c>
      <c r="J49" s="1892"/>
      <c r="K49" s="1889" t="s">
        <v>1535</v>
      </c>
      <c r="L49" s="1893"/>
      <c r="O49" s="1894" t="s">
        <v>1042</v>
      </c>
      <c r="P49" s="1885" t="s">
        <v>1536</v>
      </c>
      <c r="Q49" s="1886">
        <f ca="1">C29</f>
        <v>0</v>
      </c>
      <c r="R49" s="1886" t="s">
        <v>1529</v>
      </c>
    </row>
    <row r="50" spans="1:18" s="1842" customFormat="1" ht="13.5" thickBot="1">
      <c r="A50" s="1195"/>
      <c r="B50" s="1198"/>
      <c r="C50" s="1368"/>
      <c r="D50" s="1172"/>
      <c r="E50" s="1277" t="s">
        <v>1406</v>
      </c>
      <c r="F50" s="1278">
        <f ca="1">F7</f>
        <v>0</v>
      </c>
      <c r="H50" s="790"/>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6"/>
      <c r="B51" s="1198"/>
      <c r="C51" s="1199"/>
      <c r="D51" s="1172"/>
      <c r="E51" s="1200"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6"/>
      <c r="B52" s="1198"/>
      <c r="C52" s="1199"/>
      <c r="D52" s="1172"/>
      <c r="E52" s="1200" t="s">
        <v>1408</v>
      </c>
      <c r="F52" s="1275"/>
      <c r="I52" s="1903" t="s">
        <v>1543</v>
      </c>
      <c r="J52" s="1904"/>
      <c r="K52" s="1903" t="s">
        <v>1544</v>
      </c>
      <c r="L52" s="1904"/>
      <c r="O52" s="1894" t="s">
        <v>1045</v>
      </c>
      <c r="P52" s="1885" t="s">
        <v>1545</v>
      </c>
      <c r="Q52" s="1886" t="b">
        <f>J53</f>
        <v>0</v>
      </c>
      <c r="R52" s="1886" t="s">
        <v>1546</v>
      </c>
    </row>
    <row r="53" spans="1:18" s="1842" customFormat="1" ht="24.75" thickBot="1">
      <c r="A53" s="1405" t="s">
        <v>1137</v>
      </c>
      <c r="B53" s="1831" t="s">
        <v>1409</v>
      </c>
      <c r="C53" s="361">
        <f ca="1">ROUND(IF(F53="押一",C49/12*F11,IF(F53="押二",C49/12*2*F11,IF(F53="押三",C49/12*3*F11,C54*F11))),0)</f>
        <v>0</v>
      </c>
      <c r="D53" s="1824" t="s">
        <v>3036</v>
      </c>
      <c r="E53" s="358" t="s">
        <v>1410</v>
      </c>
      <c r="F53" s="1366"/>
      <c r="I53" s="1905" t="s">
        <v>1547</v>
      </c>
      <c r="J53" s="1906" t="b">
        <f>IF(M47="住宅",IF(D1="——",MAX(J51,L48),IF(D1="在建（套用方法）",MAX(J51,L48-'数据-取费表'!B24),MAX(J51,L48-'数据-取费表'!B20))),IF(D1="——",MIN(J51,L48),IF(D1="在建（套用方法）",MIN(J51,L48-'数据-取费表'!B24),IF(D1="土地（套用方法）",MIN(J51,L48-'数据-取费表'!B20)))))</f>
        <v>0</v>
      </c>
      <c r="K53" s="3157" t="s">
        <v>1548</v>
      </c>
      <c r="L53" s="3158"/>
      <c r="O53" s="1884" t="s">
        <v>1046</v>
      </c>
      <c r="P53" s="1885" t="s">
        <v>1549</v>
      </c>
      <c r="Q53" s="1886" t="e">
        <f ca="1">Q47+Q48</f>
        <v>#DIV/0!</v>
      </c>
      <c r="R53" s="1886" t="s">
        <v>1047</v>
      </c>
    </row>
    <row r="54" spans="1:18" s="1842" customFormat="1" ht="13.5" thickBot="1">
      <c r="A54" s="1406"/>
      <c r="B54" s="1825" t="s">
        <v>1388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t="e">
        <f ca="1">ROUND(IF(J47="钢混",J57/J50,1-(1-2%)*(J50-J57)/J50),3)</f>
        <v>#DIV/0!</v>
      </c>
      <c r="K55" s="1912" t="s">
        <v>1552</v>
      </c>
      <c r="L55" s="1913" t="s">
        <v>1553</v>
      </c>
      <c r="O55" s="1877" t="s">
        <v>1522</v>
      </c>
      <c r="P55" s="1878" t="s">
        <v>1523</v>
      </c>
      <c r="Q55" s="1879" t="s">
        <v>1524</v>
      </c>
      <c r="R55" s="1879" t="s">
        <v>1525</v>
      </c>
    </row>
    <row r="56" spans="1:18" s="1842" customFormat="1" ht="25.5" thickTop="1" thickBot="1">
      <c r="A56" s="1176">
        <v>2</v>
      </c>
      <c r="B56" s="1177" t="s">
        <v>1414</v>
      </c>
      <c r="C56" s="276">
        <f ca="1">C13</f>
        <v>0</v>
      </c>
      <c r="D56" s="1914"/>
      <c r="E56" s="1915"/>
      <c r="F56" s="1907"/>
      <c r="I56" s="1916" t="s">
        <v>1554</v>
      </c>
      <c r="J56" s="1917"/>
      <c r="K56" s="1887" t="s">
        <v>1555</v>
      </c>
      <c r="L56" s="1890">
        <f ca="1">IF(L48&lt;J51,"——",L48-J53)</f>
        <v>0</v>
      </c>
      <c r="O56" s="1884" t="s">
        <v>1040</v>
      </c>
      <c r="P56" s="1885" t="s">
        <v>1528</v>
      </c>
      <c r="Q56" s="1886" t="e">
        <f ca="1">C40+J29</f>
        <v>#DIV/0!</v>
      </c>
      <c r="R56" s="1886" t="s">
        <v>1529</v>
      </c>
    </row>
    <row r="57" spans="1:18" s="1842" customFormat="1" ht="24.75" thickBot="1">
      <c r="A57" s="1918"/>
      <c r="B57" s="1169" t="s">
        <v>1478</v>
      </c>
      <c r="C57" s="282">
        <f ca="1">C29</f>
        <v>0</v>
      </c>
      <c r="D57" s="1919"/>
      <c r="E57" s="1920"/>
      <c r="F57" s="1921"/>
      <c r="I57" s="1922" t="s">
        <v>1556</v>
      </c>
      <c r="J57" s="1923">
        <f ca="1">IF(OR(M47="住宅",J51&lt;L48,J56="是"),"——",J51-L48)</f>
        <v>0</v>
      </c>
      <c r="K57" s="1887" t="s">
        <v>1557</v>
      </c>
      <c r="L57" s="1890">
        <f ca="1">IF(L48&lt;J51,"——",IF(L55="比较法",L49,IF(L55="基准地价",L50,L51)))</f>
        <v>0</v>
      </c>
      <c r="O57" s="1884" t="s">
        <v>1041</v>
      </c>
      <c r="P57" s="1885" t="s">
        <v>1558</v>
      </c>
      <c r="Q57" s="1886" t="e">
        <f ca="1">L60</f>
        <v>#DIV/0!</v>
      </c>
      <c r="R57" s="1886" t="s">
        <v>1559</v>
      </c>
    </row>
    <row r="58" spans="1:18" s="1842" customFormat="1" ht="24.75" thickBot="1">
      <c r="A58" s="360" t="s">
        <v>1030</v>
      </c>
      <c r="B58" s="1177" t="s">
        <v>1424</v>
      </c>
      <c r="C58" s="361">
        <f ca="1">ROUND(C59+C64+C65+C66,0)</f>
        <v>0</v>
      </c>
      <c r="D58" s="1179" t="s">
        <v>1425</v>
      </c>
      <c r="E58" s="1180"/>
      <c r="F58" s="1181"/>
      <c r="I58" s="1922" t="s">
        <v>1560</v>
      </c>
      <c r="J58" s="1924" t="e">
        <f ca="1">IF(J55&lt;0.4,0.4,J55)</f>
        <v>#DIV/0!</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ROUND(IF(项目基本情况!B11="自然人",C48*F59,C60+C61+C62),1)</f>
        <v>0</v>
      </c>
      <c r="D59" s="1182" t="s">
        <v>1430</v>
      </c>
      <c r="E59" s="1183"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IF(项目基本情况!B11="自然人","——",ROUND(C48*F60/(1+'数据-取费表'!C42),2))</f>
        <v>0</v>
      </c>
      <c r="D60" s="1183" t="s">
        <v>1434</v>
      </c>
      <c r="E60" s="1169" t="s">
        <v>1422</v>
      </c>
      <c r="F60" s="377">
        <f t="shared" ref="F60:F66" si="0">F32</f>
        <v>5.6000000000000001E-2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IF(项目基本情况!B11="自然人","——",IF(D61="按租金收入计税",ROUND(C48*F61,2),IF(D61="按房产原值计税",ROUND(C57*F61*0.7,2),INDIRECT("'数据-取费表'!Aj"&amp;$G$1))))</f>
        <v>0</v>
      </c>
      <c r="D61" s="1828" t="s">
        <v>1438</v>
      </c>
      <c r="E61" s="1169"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1" t="s">
        <v>1495</v>
      </c>
      <c r="B62" s="1168" t="s">
        <v>1496</v>
      </c>
      <c r="C62" s="25">
        <f ca="1">IF(项目基本情况!B11="自然人","——",ROUND(F62*F63/10000,2))</f>
        <v>0</v>
      </c>
      <c r="D62" s="1184" t="s">
        <v>1497</v>
      </c>
      <c r="E62" s="1169" t="s">
        <v>1498</v>
      </c>
      <c r="F62" s="371">
        <f t="shared" si="0"/>
        <v>4</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5"/>
      <c r="C63" s="29"/>
      <c r="D63" s="1185"/>
      <c r="E63" s="1169"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ROUND(C57*F64,1)</f>
        <v>0</v>
      </c>
      <c r="D64" s="1183" t="s">
        <v>1502</v>
      </c>
      <c r="E64" s="1169"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ROUND(C56*F65,1)</f>
        <v>0</v>
      </c>
      <c r="D65" s="1183" t="s">
        <v>1454</v>
      </c>
      <c r="E65" s="1169"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1" t="s">
        <v>1504</v>
      </c>
      <c r="B66" s="1169" t="s">
        <v>1439</v>
      </c>
      <c r="C66" s="24">
        <f ca="1">ROUND(C48*F66,1)</f>
        <v>0</v>
      </c>
      <c r="D66" s="1183" t="s">
        <v>1505</v>
      </c>
      <c r="E66" s="1169" t="s">
        <v>1422</v>
      </c>
      <c r="F66" s="357">
        <f t="shared" ca="1" si="0"/>
        <v>0</v>
      </c>
      <c r="O66" s="1884" t="s">
        <v>1041</v>
      </c>
      <c r="P66" s="1885" t="s">
        <v>1558</v>
      </c>
      <c r="Q66" s="1886" t="e">
        <f ca="1">L60</f>
        <v>#DIV/0!</v>
      </c>
      <c r="R66" s="1886" t="s">
        <v>1581</v>
      </c>
    </row>
    <row r="67" spans="1:18" s="1842" customFormat="1" ht="16.5" thickBot="1">
      <c r="A67" s="1176" t="s">
        <v>1031</v>
      </c>
      <c r="B67" s="1186" t="s">
        <v>1463</v>
      </c>
      <c r="C67" s="361">
        <f ca="1">C48-C58</f>
        <v>0</v>
      </c>
      <c r="D67" s="1182" t="s">
        <v>1464</v>
      </c>
      <c r="E67" s="1187"/>
      <c r="F67" s="1188"/>
      <c r="O67" s="1894" t="s">
        <v>1042</v>
      </c>
      <c r="P67" s="1885" t="s">
        <v>1562</v>
      </c>
      <c r="Q67" s="1933">
        <f ca="1">L51</f>
        <v>0</v>
      </c>
      <c r="R67" s="1886" t="s">
        <v>1582</v>
      </c>
    </row>
    <row r="68" spans="1:18" s="1842" customFormat="1" ht="16.5" thickBot="1">
      <c r="A68" s="1166" t="s">
        <v>1032</v>
      </c>
      <c r="B68" s="1167" t="s">
        <v>1485</v>
      </c>
      <c r="C68" s="346" t="e">
        <f ca="1">ROUND(C67*(1-((1+F70)/(1+F68))^F69)/(F68-F70),0)</f>
        <v>#DIV/0!</v>
      </c>
      <c r="D68" s="1184" t="s">
        <v>1469</v>
      </c>
      <c r="E68" s="1169" t="s">
        <v>1470</v>
      </c>
      <c r="F68" s="357">
        <f ca="1">F40</f>
        <v>0</v>
      </c>
      <c r="O68" s="1894" t="s">
        <v>1043</v>
      </c>
      <c r="P68" s="1934" t="s">
        <v>1583</v>
      </c>
      <c r="Q68" s="1886">
        <f ca="1">ROUND(Q69-Q70*Q71,0)</f>
        <v>0</v>
      </c>
      <c r="R68" s="1886" t="s">
        <v>1051</v>
      </c>
    </row>
    <row r="69" spans="1:18" s="1842" customFormat="1" ht="13.5" thickBot="1">
      <c r="A69" s="1170"/>
      <c r="B69" s="1171"/>
      <c r="C69" s="351"/>
      <c r="D69" s="1189" t="s">
        <v>1473</v>
      </c>
      <c r="E69" s="1169" t="s">
        <v>1474</v>
      </c>
      <c r="F69" s="379">
        <f ca="1">F41</f>
        <v>0</v>
      </c>
      <c r="O69" s="1894" t="s">
        <v>1048</v>
      </c>
      <c r="P69" s="1934" t="s">
        <v>1584</v>
      </c>
      <c r="Q69" s="1886">
        <f ca="1">C39</f>
        <v>0</v>
      </c>
      <c r="R69" s="1886" t="s">
        <v>1529</v>
      </c>
    </row>
    <row r="70" spans="1:18" s="1842" customFormat="1" ht="13.5" thickBot="1">
      <c r="A70" s="1173"/>
      <c r="B70" s="1174"/>
      <c r="C70" s="355"/>
      <c r="D70" s="1185"/>
      <c r="E70" s="1169" t="s">
        <v>1477</v>
      </c>
      <c r="F70" s="1275"/>
      <c r="O70" s="1894" t="s">
        <v>1049</v>
      </c>
      <c r="P70" s="1934" t="s">
        <v>1585</v>
      </c>
      <c r="Q70" s="1886">
        <f ca="1">C13</f>
        <v>0</v>
      </c>
      <c r="R70" s="1886" t="s">
        <v>1529</v>
      </c>
    </row>
    <row r="71" spans="1:18" s="1842" customFormat="1" ht="13.5" thickBot="1">
      <c r="A71" s="1190" t="s">
        <v>1033</v>
      </c>
      <c r="B71" s="1191" t="s">
        <v>1487</v>
      </c>
      <c r="C71" s="382" t="e">
        <f ca="1">ROUND(C68*10000/F71,0)</f>
        <v>#DIV/0!</v>
      </c>
      <c r="D71" s="1192" t="s">
        <v>1488</v>
      </c>
      <c r="E71" s="1193" t="s">
        <v>1489</v>
      </c>
      <c r="F71" s="385">
        <f ca="1">F43</f>
        <v>0</v>
      </c>
      <c r="O71" s="1894" t="s">
        <v>1050</v>
      </c>
      <c r="P71" s="1934" t="s">
        <v>1586</v>
      </c>
      <c r="Q71" s="1897">
        <f ca="1">C76</f>
        <v>0</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F0"/>
    <pageSetUpPr fitToPage="1"/>
  </sheetPr>
  <dimension ref="A1:AC132"/>
  <sheetViews>
    <sheetView topLeftCell="A21" zoomScale="90" zoomScaleNormal="90" workbookViewId="0">
      <selection activeCell="E47" sqref="E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2641</v>
      </c>
      <c r="C1" s="1634" t="s">
        <v>2529</v>
      </c>
      <c r="D1" s="1621" t="s">
        <v>3145</v>
      </c>
      <c r="E1" s="2656"/>
      <c r="F1" s="2583" t="s">
        <v>3149</v>
      </c>
      <c r="G1" s="1631" t="s">
        <v>2642</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2326</v>
      </c>
      <c r="B2" s="1418">
        <f>IF(C2="——",ROUND(C49*D3/10000,0),ROUND(C49*D3/10000,0)-D2)</f>
        <v>153</v>
      </c>
      <c r="C2" s="2585" t="s">
        <v>70</v>
      </c>
      <c r="D2" s="1365" t="e">
        <f ca="1">SUMIF(INDIRECT("'"&amp;F2&amp;"'"&amp;"!A:A"),"承租人权益价值",INDIRECT("'"&amp;F2&amp;"'"&amp;"!c:c"))</f>
        <v>#REF!</v>
      </c>
      <c r="E2" s="2586" t="s">
        <v>2327</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2328</v>
      </c>
      <c r="B3" s="609">
        <f>IF(C2="——",C49,ROUND(B2*10000/D3,0))</f>
        <v>28047</v>
      </c>
      <c r="C3" s="400" t="s">
        <v>2643</v>
      </c>
      <c r="D3" s="399">
        <f>IF(D1="",'数据-汇总表'!E3,SUMIF('数据-汇总表'!$C19:$C33,D1,'数据-汇总表'!$E19:$E33))</f>
        <v>54.53</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2644</v>
      </c>
      <c r="B4" s="402"/>
      <c r="C4" s="3183" t="s">
        <v>2645</v>
      </c>
      <c r="D4" s="3184"/>
      <c r="E4" s="3185" t="s">
        <v>2646</v>
      </c>
      <c r="F4" s="3186"/>
      <c r="G4" s="3183" t="s">
        <v>2647</v>
      </c>
      <c r="H4" s="3184"/>
      <c r="I4" s="3183" t="s">
        <v>2648</v>
      </c>
      <c r="J4" s="3184"/>
      <c r="K4" s="610" t="s">
        <v>2649</v>
      </c>
      <c r="L4" s="1130"/>
      <c r="M4" s="1131"/>
      <c r="N4" s="1131"/>
      <c r="O4" s="1131"/>
      <c r="P4" s="3187" t="s">
        <v>2650</v>
      </c>
      <c r="Q4" s="3188"/>
      <c r="R4" s="3168" t="s">
        <v>2646</v>
      </c>
      <c r="S4" s="3169"/>
      <c r="T4" s="3168" t="s">
        <v>2647</v>
      </c>
      <c r="U4" s="3169"/>
      <c r="V4" s="3165" t="s">
        <v>2648</v>
      </c>
      <c r="W4" s="3165"/>
      <c r="X4" s="1813"/>
      <c r="Y4" s="3168" t="s">
        <v>2650</v>
      </c>
      <c r="Z4" s="3169"/>
      <c r="AA4" s="3162" t="s">
        <v>2646</v>
      </c>
      <c r="AB4" s="3165" t="s">
        <v>2647</v>
      </c>
      <c r="AC4" s="3162" t="s">
        <v>2648</v>
      </c>
    </row>
    <row r="5" spans="1:29" ht="15">
      <c r="A5" s="404"/>
      <c r="B5" s="405"/>
      <c r="C5" s="3174" t="s">
        <v>2541</v>
      </c>
      <c r="D5" s="3175"/>
      <c r="E5" s="3172" t="s">
        <v>3257</v>
      </c>
      <c r="F5" s="3173"/>
      <c r="G5" s="3178" t="s">
        <v>3296</v>
      </c>
      <c r="H5" s="3175"/>
      <c r="I5" s="3178" t="s">
        <v>3300</v>
      </c>
      <c r="J5" s="3175"/>
      <c r="K5" s="610"/>
      <c r="L5" s="1130"/>
      <c r="M5" s="1131"/>
      <c r="N5" s="1131"/>
      <c r="O5" s="1131"/>
      <c r="P5" s="3189"/>
      <c r="Q5" s="3190"/>
      <c r="R5" s="3170"/>
      <c r="S5" s="3171"/>
      <c r="T5" s="3170"/>
      <c r="U5" s="3171"/>
      <c r="V5" s="3165"/>
      <c r="W5" s="3165"/>
      <c r="X5" s="1813"/>
      <c r="Y5" s="3170"/>
      <c r="Z5" s="3171"/>
      <c r="AA5" s="3163"/>
      <c r="AB5" s="3165"/>
      <c r="AC5" s="3163"/>
    </row>
    <row r="6" spans="1:29" ht="15.75" thickBot="1">
      <c r="A6" s="406"/>
      <c r="B6" s="407"/>
      <c r="C6" s="3176" t="s">
        <v>2545</v>
      </c>
      <c r="D6" s="3177"/>
      <c r="E6" s="3179" t="s">
        <v>3255</v>
      </c>
      <c r="F6" s="3180"/>
      <c r="G6" s="3181" t="s">
        <v>3298</v>
      </c>
      <c r="H6" s="3177"/>
      <c r="I6" s="3181" t="s">
        <v>3256</v>
      </c>
      <c r="J6" s="3177"/>
      <c r="K6" s="610" t="s">
        <v>2546</v>
      </c>
      <c r="L6" s="1130"/>
      <c r="M6" s="1131"/>
      <c r="N6" s="1131"/>
      <c r="O6" s="1131"/>
      <c r="P6" s="3191"/>
      <c r="Q6" s="3192"/>
      <c r="R6" s="3170"/>
      <c r="S6" s="3171"/>
      <c r="T6" s="3193"/>
      <c r="U6" s="3194"/>
      <c r="V6" s="3165"/>
      <c r="W6" s="3165"/>
      <c r="X6" s="1813"/>
      <c r="Y6" s="3193"/>
      <c r="Z6" s="3194"/>
      <c r="AA6" s="3164"/>
      <c r="AB6" s="3165"/>
      <c r="AC6" s="3164"/>
    </row>
    <row r="7" spans="1:29" s="117" customFormat="1" ht="15.75" thickBot="1">
      <c r="A7" s="408" t="s">
        <v>2547</v>
      </c>
      <c r="B7" s="409"/>
      <c r="C7" s="410">
        <f>'数据-取费表'!B2</f>
        <v>43262</v>
      </c>
      <c r="D7" s="411">
        <v>100</v>
      </c>
      <c r="E7" s="412">
        <f>C7</f>
        <v>43262</v>
      </c>
      <c r="F7" s="413">
        <f>SUMIF(58:58,YEAR(E7)&amp;"-"&amp;MONTH(E7),59:59)</f>
        <v>100</v>
      </c>
      <c r="G7" s="412">
        <f>C7</f>
        <v>43262</v>
      </c>
      <c r="H7" s="411">
        <f>SUMIF(58:58,YEAR(G7)&amp;"-"&amp;MONTH(G7),59:59)</f>
        <v>100</v>
      </c>
      <c r="I7" s="412">
        <f>C7</f>
        <v>43262</v>
      </c>
      <c r="J7" s="411">
        <f>SUMIF(58:58,YEAR(I7)&amp;"-"&amp;MONTH(I7),59:59)</f>
        <v>100</v>
      </c>
      <c r="K7" s="611"/>
      <c r="L7" s="1132"/>
      <c r="M7" s="1133"/>
      <c r="N7" s="1133"/>
      <c r="O7" s="1133"/>
      <c r="P7" s="3166" t="s">
        <v>2548</v>
      </c>
      <c r="Q7" s="3195"/>
      <c r="R7" s="767" t="s">
        <v>17</v>
      </c>
      <c r="S7" s="768">
        <f t="shared" ref="S7:S15" si="0">F7</f>
        <v>100</v>
      </c>
      <c r="T7" s="767" t="s">
        <v>17</v>
      </c>
      <c r="U7" s="768">
        <f t="shared" ref="U7:U15" si="1">H7</f>
        <v>100</v>
      </c>
      <c r="V7" s="767" t="s">
        <v>17</v>
      </c>
      <c r="W7" s="768">
        <f t="shared" ref="W7:W15" si="2">J7</f>
        <v>100</v>
      </c>
      <c r="X7" s="769"/>
      <c r="Y7" s="3166" t="s">
        <v>2548</v>
      </c>
      <c r="Z7" s="3167"/>
      <c r="AA7" s="770">
        <f>D7/F7</f>
        <v>1</v>
      </c>
      <c r="AB7" s="770">
        <f>D7/H7</f>
        <v>1</v>
      </c>
      <c r="AC7" s="770">
        <f>D7/J7</f>
        <v>1</v>
      </c>
    </row>
    <row r="8" spans="1:29" s="117" customFormat="1" ht="15.75" thickBot="1">
      <c r="A8" s="408" t="s">
        <v>2549</v>
      </c>
      <c r="B8" s="409"/>
      <c r="C8" s="414" t="s">
        <v>2651</v>
      </c>
      <c r="D8" s="411">
        <v>100</v>
      </c>
      <c r="E8" s="414" t="s">
        <v>3151</v>
      </c>
      <c r="F8" s="413">
        <f>SUMIF(61:61,E8,62:62)-SUMIF(61:61,C8,62:62)+100</f>
        <v>100</v>
      </c>
      <c r="G8" s="414" t="s">
        <v>3151</v>
      </c>
      <c r="H8" s="411">
        <f>SUMIF(61:61,G8,62:62)-SUMIF(61:61,C8,62:62)+100</f>
        <v>100</v>
      </c>
      <c r="I8" s="414" t="s">
        <v>3151</v>
      </c>
      <c r="J8" s="411">
        <f>SUMIF(61:61,I8,62:62)-SUMIF(61:61,C8,62:62)+100</f>
        <v>100</v>
      </c>
      <c r="K8" s="611"/>
      <c r="L8" s="1132"/>
      <c r="M8" s="1133"/>
      <c r="N8" s="1133"/>
      <c r="O8" s="1133"/>
      <c r="P8" s="3166" t="s">
        <v>2551</v>
      </c>
      <c r="Q8" s="3167"/>
      <c r="R8" s="767" t="s">
        <v>17</v>
      </c>
      <c r="S8" s="768">
        <f t="shared" si="0"/>
        <v>100</v>
      </c>
      <c r="T8" s="767" t="s">
        <v>17</v>
      </c>
      <c r="U8" s="768">
        <f t="shared" si="1"/>
        <v>100</v>
      </c>
      <c r="V8" s="767" t="s">
        <v>17</v>
      </c>
      <c r="W8" s="768">
        <f t="shared" si="2"/>
        <v>100</v>
      </c>
      <c r="X8" s="769"/>
      <c r="Y8" s="3166" t="s">
        <v>2551</v>
      </c>
      <c r="Z8" s="3167"/>
      <c r="AA8" s="770">
        <f t="shared" ref="AA8:AA46" si="3">D8/F8</f>
        <v>1</v>
      </c>
      <c r="AB8" s="770">
        <f t="shared" ref="AB8:AB46" si="4">D8/H8</f>
        <v>1</v>
      </c>
      <c r="AC8" s="770">
        <f t="shared" ref="AC8:AC46" si="5">D8/J8</f>
        <v>1</v>
      </c>
    </row>
    <row r="9" spans="1:29" s="117" customFormat="1">
      <c r="A9" s="415" t="s">
        <v>2552</v>
      </c>
      <c r="B9" s="71" t="s">
        <v>2553</v>
      </c>
      <c r="C9" s="2950" t="s">
        <v>3150</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182" t="s">
        <v>2554</v>
      </c>
      <c r="Q9" s="1795" t="str">
        <f t="shared" ref="Q9:Q15" si="6">B9</f>
        <v>用途</v>
      </c>
      <c r="R9" s="767" t="s">
        <v>17</v>
      </c>
      <c r="S9" s="768">
        <f t="shared" si="0"/>
        <v>100</v>
      </c>
      <c r="T9" s="767" t="s">
        <v>17</v>
      </c>
      <c r="U9" s="768">
        <f t="shared" si="1"/>
        <v>100</v>
      </c>
      <c r="V9" s="767" t="s">
        <v>17</v>
      </c>
      <c r="W9" s="768">
        <f t="shared" si="2"/>
        <v>100</v>
      </c>
      <c r="X9" s="769"/>
      <c r="Y9" s="3034" t="s">
        <v>2555</v>
      </c>
      <c r="Z9" s="55" t="str">
        <f t="shared" ref="Z9:Z15" si="7">Q9</f>
        <v>用途</v>
      </c>
      <c r="AA9" s="770">
        <f t="shared" si="3"/>
        <v>1</v>
      </c>
      <c r="AB9" s="770">
        <f t="shared" si="4"/>
        <v>1</v>
      </c>
      <c r="AC9" s="770">
        <f t="shared" si="5"/>
        <v>1</v>
      </c>
    </row>
    <row r="10" spans="1:29" s="427" customFormat="1" ht="27">
      <c r="A10" s="421"/>
      <c r="B10" s="422" t="s">
        <v>2556</v>
      </c>
      <c r="C10" s="423" t="s">
        <v>3152</v>
      </c>
      <c r="D10" s="136">
        <v>100</v>
      </c>
      <c r="E10" s="424" t="s">
        <v>3153</v>
      </c>
      <c r="F10" s="425">
        <f>SUMIF(65:65,E10,66:66)-SUMIF(65:65,C10,66:66)+100</f>
        <v>103</v>
      </c>
      <c r="G10" s="423" t="s">
        <v>3153</v>
      </c>
      <c r="H10" s="136">
        <f>SUMIF(65:65,G10,66:66)-SUMIF(65:65,C10,66:66)+100</f>
        <v>103</v>
      </c>
      <c r="I10" s="423" t="s">
        <v>3153</v>
      </c>
      <c r="J10" s="136">
        <f>SUMIF(65:65,I10,66:66)-SUMIF(65:65,C10,66:66)+100</f>
        <v>103</v>
      </c>
      <c r="K10" s="612">
        <v>3</v>
      </c>
      <c r="L10" s="1135"/>
      <c r="M10" s="1136"/>
      <c r="N10" s="1136"/>
      <c r="O10" s="1136"/>
      <c r="P10" s="3182"/>
      <c r="Q10" s="1795" t="str">
        <f t="shared" si="6"/>
        <v>土地使用年限（年）</v>
      </c>
      <c r="R10" s="767" t="s">
        <v>17</v>
      </c>
      <c r="S10" s="768">
        <f t="shared" si="0"/>
        <v>103</v>
      </c>
      <c r="T10" s="767" t="s">
        <v>17</v>
      </c>
      <c r="U10" s="768">
        <f t="shared" si="1"/>
        <v>103</v>
      </c>
      <c r="V10" s="767" t="s">
        <v>17</v>
      </c>
      <c r="W10" s="768">
        <f t="shared" si="2"/>
        <v>103</v>
      </c>
      <c r="X10" s="769"/>
      <c r="Y10" s="3034"/>
      <c r="Z10" s="55" t="str">
        <f t="shared" si="7"/>
        <v>土地使用年限（年）</v>
      </c>
      <c r="AA10" s="770">
        <f t="shared" si="3"/>
        <v>0.970873786407767</v>
      </c>
      <c r="AB10" s="770">
        <f t="shared" si="4"/>
        <v>0.970873786407767</v>
      </c>
      <c r="AC10" s="770">
        <f t="shared" si="5"/>
        <v>0.970873786407767</v>
      </c>
    </row>
    <row r="11" spans="1:29" ht="15.75" thickBot="1">
      <c r="A11" s="428"/>
      <c r="B11" s="422" t="s">
        <v>2557</v>
      </c>
      <c r="C11" s="429">
        <f>'数据-汇总表'!I4</f>
        <v>8.39</v>
      </c>
      <c r="D11" s="136">
        <v>100</v>
      </c>
      <c r="E11" s="430">
        <v>3.66</v>
      </c>
      <c r="F11" s="425">
        <f>LOOKUP(E11,68:68,69:69)-LOOKUP(C11,68:68,69:69)+100</f>
        <v>106</v>
      </c>
      <c r="G11" s="429">
        <v>2.44</v>
      </c>
      <c r="H11" s="136">
        <f>LOOKUP(G11,68:68,69:69)-LOOKUP(C11,68:68,69:69)+100</f>
        <v>106</v>
      </c>
      <c r="I11" s="429">
        <v>4.45</v>
      </c>
      <c r="J11" s="136">
        <f>LOOKUP(I11,68:68,69:69)-LOOKUP(C11,68:68,69:69)+100</f>
        <v>104</v>
      </c>
      <c r="K11" s="612">
        <v>2</v>
      </c>
      <c r="L11" s="1138"/>
      <c r="M11" s="1131"/>
      <c r="N11" s="1131"/>
      <c r="O11" s="1131"/>
      <c r="P11" s="3182"/>
      <c r="Q11" s="1795" t="str">
        <f t="shared" si="6"/>
        <v>容积率</v>
      </c>
      <c r="R11" s="767" t="s">
        <v>17</v>
      </c>
      <c r="S11" s="768">
        <f t="shared" si="0"/>
        <v>106</v>
      </c>
      <c r="T11" s="767" t="s">
        <v>17</v>
      </c>
      <c r="U11" s="768">
        <f t="shared" si="1"/>
        <v>106</v>
      </c>
      <c r="V11" s="767" t="s">
        <v>17</v>
      </c>
      <c r="W11" s="768">
        <f t="shared" si="2"/>
        <v>104</v>
      </c>
      <c r="X11" s="769"/>
      <c r="Y11" s="3034"/>
      <c r="Z11" s="55" t="str">
        <f t="shared" si="7"/>
        <v>容积率</v>
      </c>
      <c r="AA11" s="770">
        <f t="shared" si="3"/>
        <v>0.94339622641509435</v>
      </c>
      <c r="AB11" s="770">
        <f t="shared" si="4"/>
        <v>0.94339622641509435</v>
      </c>
      <c r="AC11" s="770">
        <f t="shared" si="5"/>
        <v>0.96153846153846156</v>
      </c>
    </row>
    <row r="12" spans="1:29" s="117" customFormat="1" ht="15" hidden="1">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2"/>
      <c r="Q12" s="1795">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hidden="1">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2"/>
      <c r="Q13" s="1795">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hidden="1"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2"/>
      <c r="Q14" s="1795">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71.25">
      <c r="A15" s="440" t="s">
        <v>2558</v>
      </c>
      <c r="B15" s="69" t="s">
        <v>2652</v>
      </c>
      <c r="C15" s="2602" t="str">
        <f>估价对象房地状况!C4</f>
        <v>估价对象位于XX商圈，周边商业氛围成熟，人流量大，商业繁华度好</v>
      </c>
      <c r="D15" s="441">
        <v>100</v>
      </c>
      <c r="E15" s="442"/>
      <c r="F15" s="443">
        <f>SUMIF(76:76,E16,77:77)-SUMIF(76:76,C16,77:77)+100</f>
        <v>105</v>
      </c>
      <c r="G15" s="444"/>
      <c r="H15" s="441">
        <f>SUMIF(76:76,G16,77:77)-SUMIF(76:76,C16,77:77)+100</f>
        <v>105</v>
      </c>
      <c r="I15" s="442"/>
      <c r="J15" s="441">
        <f>SUMIF(76:76,I16,77:77)-SUMIF(76:76,C16,77:77)+100</f>
        <v>105</v>
      </c>
      <c r="K15" s="614">
        <v>5</v>
      </c>
      <c r="L15" s="1140"/>
      <c r="M15" s="1131"/>
      <c r="N15" s="1131"/>
      <c r="O15" s="1131"/>
      <c r="P15" s="3196" t="s">
        <v>2559</v>
      </c>
      <c r="Q15" s="1810" t="str">
        <f t="shared" si="6"/>
        <v>商业繁华度</v>
      </c>
      <c r="R15" s="771" t="s">
        <v>17</v>
      </c>
      <c r="S15" s="772">
        <f t="shared" si="0"/>
        <v>105</v>
      </c>
      <c r="T15" s="771" t="s">
        <v>17</v>
      </c>
      <c r="U15" s="772">
        <f t="shared" si="1"/>
        <v>105</v>
      </c>
      <c r="V15" s="771" t="s">
        <v>17</v>
      </c>
      <c r="W15" s="772">
        <f t="shared" si="2"/>
        <v>105</v>
      </c>
      <c r="X15" s="1813"/>
      <c r="Y15" s="3198" t="s">
        <v>2559</v>
      </c>
      <c r="Z15" s="1814" t="str">
        <f t="shared" si="7"/>
        <v>商业繁华度</v>
      </c>
      <c r="AA15" s="1811">
        <f t="shared" si="3"/>
        <v>0.95238095238095233</v>
      </c>
      <c r="AB15" s="1811">
        <f t="shared" si="4"/>
        <v>0.95238095238095233</v>
      </c>
      <c r="AC15" s="1811">
        <f t="shared" si="5"/>
        <v>0.95238095238095233</v>
      </c>
    </row>
    <row r="16" spans="1:29" ht="15">
      <c r="A16" s="428"/>
      <c r="B16" s="446"/>
      <c r="C16" s="447" t="s">
        <v>3154</v>
      </c>
      <c r="D16" s="448"/>
      <c r="E16" s="447" t="s">
        <v>3155</v>
      </c>
      <c r="F16" s="449"/>
      <c r="G16" s="447" t="s">
        <v>3155</v>
      </c>
      <c r="H16" s="450"/>
      <c r="I16" s="447" t="s">
        <v>3155</v>
      </c>
      <c r="J16" s="448"/>
      <c r="K16" s="615"/>
      <c r="L16" s="1140"/>
      <c r="M16" s="1131"/>
      <c r="N16" s="1131"/>
      <c r="O16" s="1131"/>
      <c r="P16" s="3197"/>
      <c r="Q16" s="1810"/>
      <c r="R16" s="771"/>
      <c r="S16" s="772"/>
      <c r="T16" s="771"/>
      <c r="U16" s="772"/>
      <c r="V16" s="771"/>
      <c r="W16" s="772"/>
      <c r="X16" s="1813"/>
      <c r="Y16" s="3199"/>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0"/>
      <c r="M17" s="1131"/>
      <c r="N17" s="1131"/>
      <c r="O17" s="1131"/>
      <c r="P17" s="3197"/>
      <c r="Q17" s="1810" t="str">
        <f>B17</f>
        <v>交通便捷度</v>
      </c>
      <c r="R17" s="771" t="s">
        <v>17</v>
      </c>
      <c r="S17" s="772">
        <f>F17</f>
        <v>100</v>
      </c>
      <c r="T17" s="771" t="s">
        <v>17</v>
      </c>
      <c r="U17" s="772">
        <f>H17</f>
        <v>100</v>
      </c>
      <c r="V17" s="771" t="s">
        <v>17</v>
      </c>
      <c r="W17" s="772">
        <f>J17</f>
        <v>100</v>
      </c>
      <c r="X17" s="1813"/>
      <c r="Y17" s="3199"/>
      <c r="Z17" s="1814" t="str">
        <f>Q17</f>
        <v>交通便捷度</v>
      </c>
      <c r="AA17" s="1811">
        <f t="shared" si="3"/>
        <v>1</v>
      </c>
      <c r="AB17" s="1811">
        <f t="shared" si="4"/>
        <v>1</v>
      </c>
      <c r="AC17" s="1811">
        <f t="shared" si="5"/>
        <v>1</v>
      </c>
    </row>
    <row r="18" spans="1:29" ht="15">
      <c r="A18" s="428"/>
      <c r="B18" s="456"/>
      <c r="C18" s="2607" t="s">
        <v>3156</v>
      </c>
      <c r="D18" s="450"/>
      <c r="E18" s="2609" t="s">
        <v>3156</v>
      </c>
      <c r="F18" s="453"/>
      <c r="G18" s="2608" t="s">
        <v>3156</v>
      </c>
      <c r="H18" s="448"/>
      <c r="I18" s="2609" t="s">
        <v>3156</v>
      </c>
      <c r="J18" s="448"/>
      <c r="K18" s="615"/>
      <c r="L18" s="1140"/>
      <c r="M18" s="1131"/>
      <c r="N18" s="1131"/>
      <c r="O18" s="1131"/>
      <c r="P18" s="3197"/>
      <c r="Q18" s="1810"/>
      <c r="R18" s="771"/>
      <c r="S18" s="772"/>
      <c r="T18" s="771"/>
      <c r="U18" s="772"/>
      <c r="V18" s="771"/>
      <c r="W18" s="772"/>
      <c r="X18" s="1813"/>
      <c r="Y18" s="3199"/>
      <c r="Z18" s="1814"/>
      <c r="AA18" s="1811">
        <v>1</v>
      </c>
      <c r="AB18" s="1811">
        <v>1</v>
      </c>
      <c r="AC18" s="1811">
        <v>1</v>
      </c>
    </row>
    <row r="19" spans="1:29" ht="42.75">
      <c r="A19" s="428"/>
      <c r="B19" s="451" t="s">
        <v>2653</v>
      </c>
      <c r="C19" s="2606" t="str">
        <f>估价对象房地状况!C7</f>
        <v>估价对象所在区域公共配套设施齐备情况</v>
      </c>
      <c r="D19" s="455">
        <v>100</v>
      </c>
      <c r="E19" s="457"/>
      <c r="F19" s="458">
        <f>SUMIF(80:80,E20,81:81)-SUMIF(80:80,C20,81:81)+100</f>
        <v>100</v>
      </c>
      <c r="G19" s="459"/>
      <c r="H19" s="450">
        <f>SUMIF(80:80,G20,81:81)-SUMIF(80:80,C20,81:81)+100</f>
        <v>105</v>
      </c>
      <c r="I19" s="457"/>
      <c r="J19" s="450">
        <f>SUMIF(80:80,I20,81:81)-SUMIF(80:80,C20,81:81)+100</f>
        <v>105</v>
      </c>
      <c r="K19" s="614">
        <v>5</v>
      </c>
      <c r="L19" s="1140"/>
      <c r="M19" s="1131"/>
      <c r="N19" s="1131"/>
      <c r="O19" s="1131"/>
      <c r="P19" s="3197"/>
      <c r="Q19" s="1810" t="str">
        <f>B19</f>
        <v>公共配套设施</v>
      </c>
      <c r="R19" s="771" t="s">
        <v>17</v>
      </c>
      <c r="S19" s="772">
        <f>F19</f>
        <v>100</v>
      </c>
      <c r="T19" s="771" t="s">
        <v>17</v>
      </c>
      <c r="U19" s="772">
        <f>H19</f>
        <v>105</v>
      </c>
      <c r="V19" s="771" t="s">
        <v>17</v>
      </c>
      <c r="W19" s="772">
        <f>J19</f>
        <v>105</v>
      </c>
      <c r="X19" s="1813"/>
      <c r="Y19" s="3199"/>
      <c r="Z19" s="1814" t="str">
        <f>Q19</f>
        <v>公共配套设施</v>
      </c>
      <c r="AA19" s="1811">
        <f t="shared" si="3"/>
        <v>1</v>
      </c>
      <c r="AB19" s="1811">
        <f t="shared" si="4"/>
        <v>0.95238095238095233</v>
      </c>
      <c r="AC19" s="1811">
        <f t="shared" si="5"/>
        <v>0.95238095238095233</v>
      </c>
    </row>
    <row r="20" spans="1:29" ht="15">
      <c r="A20" s="428"/>
      <c r="B20" s="456"/>
      <c r="C20" s="447" t="s">
        <v>3154</v>
      </c>
      <c r="D20" s="448"/>
      <c r="E20" s="2604" t="s">
        <v>3154</v>
      </c>
      <c r="F20" s="449"/>
      <c r="G20" s="2603" t="s">
        <v>3155</v>
      </c>
      <c r="H20" s="448"/>
      <c r="I20" s="2604" t="s">
        <v>3155</v>
      </c>
      <c r="J20" s="448"/>
      <c r="K20" s="615"/>
      <c r="L20" s="1140"/>
      <c r="M20" s="1131"/>
      <c r="N20" s="1131"/>
      <c r="O20" s="1131"/>
      <c r="P20" s="3197"/>
      <c r="Q20" s="1810"/>
      <c r="R20" s="771"/>
      <c r="S20" s="772"/>
      <c r="T20" s="771"/>
      <c r="U20" s="772"/>
      <c r="V20" s="771"/>
      <c r="W20" s="772"/>
      <c r="X20" s="1813"/>
      <c r="Y20" s="3199"/>
      <c r="Z20" s="1814"/>
      <c r="AA20" s="1811">
        <v>1</v>
      </c>
      <c r="AB20" s="1811">
        <v>1</v>
      </c>
      <c r="AC20" s="1811">
        <v>1</v>
      </c>
    </row>
    <row r="21" spans="1:29" ht="28.5">
      <c r="A21" s="428"/>
      <c r="B21" s="1384" t="s">
        <v>2654</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97"/>
      <c r="Q21" s="1810" t="str">
        <f>B21</f>
        <v>基础设施水平</v>
      </c>
      <c r="R21" s="771" t="s">
        <v>17</v>
      </c>
      <c r="S21" s="772">
        <f>F21</f>
        <v>100</v>
      </c>
      <c r="T21" s="771" t="s">
        <v>17</v>
      </c>
      <c r="U21" s="772">
        <f>H21</f>
        <v>100</v>
      </c>
      <c r="V21" s="771" t="s">
        <v>17</v>
      </c>
      <c r="W21" s="772">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07" t="s">
        <v>3157</v>
      </c>
      <c r="D22" s="448"/>
      <c r="E22" s="447" t="s">
        <v>3157</v>
      </c>
      <c r="F22" s="449"/>
      <c r="G22" s="447" t="s">
        <v>3157</v>
      </c>
      <c r="H22" s="448"/>
      <c r="I22" s="447" t="s">
        <v>3157</v>
      </c>
      <c r="J22" s="448"/>
      <c r="K22" s="1383"/>
      <c r="L22" s="1140"/>
      <c r="M22" s="1131"/>
      <c r="N22" s="1131"/>
      <c r="O22" s="1131"/>
      <c r="P22" s="3197"/>
      <c r="Q22" s="1810"/>
      <c r="R22" s="771"/>
      <c r="S22" s="772"/>
      <c r="T22" s="771"/>
      <c r="U22" s="772"/>
      <c r="V22" s="771"/>
      <c r="W22" s="772"/>
      <c r="X22" s="1813"/>
      <c r="Y22" s="3199"/>
      <c r="Z22" s="1814"/>
      <c r="AA22" s="1811">
        <v>1</v>
      </c>
      <c r="AB22" s="1811">
        <v>1</v>
      </c>
      <c r="AC22" s="1811">
        <v>1</v>
      </c>
    </row>
    <row r="23" spans="1:29" ht="57">
      <c r="A23" s="428"/>
      <c r="B23" s="451" t="s">
        <v>2100</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197"/>
      <c r="Q23" s="1810" t="str">
        <f>B23</f>
        <v>自然及人文环境</v>
      </c>
      <c r="R23" s="771" t="s">
        <v>17</v>
      </c>
      <c r="S23" s="772">
        <f>F23</f>
        <v>100</v>
      </c>
      <c r="T23" s="771" t="s">
        <v>17</v>
      </c>
      <c r="U23" s="772">
        <f>H23</f>
        <v>100</v>
      </c>
      <c r="V23" s="771" t="s">
        <v>17</v>
      </c>
      <c r="W23" s="772">
        <f>J23</f>
        <v>100</v>
      </c>
      <c r="X23" s="1813"/>
      <c r="Y23" s="3199"/>
      <c r="Z23" s="1814" t="str">
        <f>Q23</f>
        <v>自然及人文环境</v>
      </c>
      <c r="AA23" s="1811">
        <f t="shared" si="3"/>
        <v>1</v>
      </c>
      <c r="AB23" s="1811">
        <f t="shared" si="4"/>
        <v>1</v>
      </c>
      <c r="AC23" s="1811">
        <f t="shared" si="5"/>
        <v>1</v>
      </c>
    </row>
    <row r="24" spans="1:29" ht="15">
      <c r="A24" s="428"/>
      <c r="B24" s="456"/>
      <c r="C24" s="447" t="s">
        <v>3155</v>
      </c>
      <c r="D24" s="448"/>
      <c r="E24" s="2604" t="s">
        <v>3155</v>
      </c>
      <c r="F24" s="449"/>
      <c r="G24" s="2603" t="s">
        <v>3155</v>
      </c>
      <c r="H24" s="448"/>
      <c r="I24" s="2604" t="s">
        <v>3155</v>
      </c>
      <c r="J24" s="448"/>
      <c r="K24" s="615"/>
      <c r="L24" s="1140"/>
      <c r="M24" s="1131"/>
      <c r="N24" s="1131"/>
      <c r="O24" s="1131"/>
      <c r="P24" s="3197"/>
      <c r="Q24" s="1810"/>
      <c r="R24" s="771"/>
      <c r="S24" s="772"/>
      <c r="T24" s="771"/>
      <c r="U24" s="772"/>
      <c r="V24" s="771"/>
      <c r="W24" s="772"/>
      <c r="X24" s="1813"/>
      <c r="Y24" s="3199"/>
      <c r="Z24" s="1814"/>
      <c r="AA24" s="1811">
        <v>1</v>
      </c>
      <c r="AB24" s="1811">
        <v>1</v>
      </c>
      <c r="AC24" s="1811">
        <v>1</v>
      </c>
    </row>
    <row r="25" spans="1:29" ht="15">
      <c r="A25" s="428"/>
      <c r="B25" s="422" t="s">
        <v>2655</v>
      </c>
      <c r="C25" s="616" t="s">
        <v>3196</v>
      </c>
      <c r="D25" s="435">
        <v>100</v>
      </c>
      <c r="E25" s="616" t="s">
        <v>3196</v>
      </c>
      <c r="F25" s="461">
        <f>SUMIF(86:86,E25,87:87)-SUMIF(86:86,C25,87:87)+100</f>
        <v>100</v>
      </c>
      <c r="G25" s="616" t="s">
        <v>3196</v>
      </c>
      <c r="H25" s="435">
        <f>SUMIF(86:86,G25,87:87)-SUMIF(86:86,C25,87:87)+100</f>
        <v>100</v>
      </c>
      <c r="I25" s="616" t="s">
        <v>3196</v>
      </c>
      <c r="J25" s="435">
        <f>SUMIF(86:86,I25,87:87)-SUMIF(86:86,C25,87:87)+100</f>
        <v>100</v>
      </c>
      <c r="K25" s="612">
        <v>5</v>
      </c>
      <c r="L25" s="1140"/>
      <c r="M25" s="1131"/>
      <c r="N25" s="1131"/>
      <c r="O25" s="1131"/>
      <c r="P25" s="3197"/>
      <c r="Q25" s="1810" t="str">
        <f t="shared" ref="Q25:Q46" si="11">B25</f>
        <v>临街状况</v>
      </c>
      <c r="R25" s="771" t="s">
        <v>17</v>
      </c>
      <c r="S25" s="772">
        <f>F25</f>
        <v>100</v>
      </c>
      <c r="T25" s="771" t="s">
        <v>17</v>
      </c>
      <c r="U25" s="772">
        <f>H25</f>
        <v>100</v>
      </c>
      <c r="V25" s="771" t="s">
        <v>17</v>
      </c>
      <c r="W25" s="772">
        <f>J25</f>
        <v>100</v>
      </c>
      <c r="X25" s="1813"/>
      <c r="Y25" s="3199"/>
      <c r="Z25" s="1814" t="str">
        <f>Q25</f>
        <v>临街状况</v>
      </c>
      <c r="AA25" s="1811">
        <f t="shared" si="3"/>
        <v>1</v>
      </c>
      <c r="AB25" s="1811">
        <f t="shared" si="4"/>
        <v>1</v>
      </c>
      <c r="AC25" s="1811">
        <f t="shared" si="5"/>
        <v>1</v>
      </c>
    </row>
    <row r="26" spans="1:29" ht="15">
      <c r="A26" s="428"/>
      <c r="B26" s="2951" t="s">
        <v>3158</v>
      </c>
      <c r="C26" s="2957" t="s">
        <v>3164</v>
      </c>
      <c r="D26" s="435">
        <v>100</v>
      </c>
      <c r="E26" s="2957" t="s">
        <v>3200</v>
      </c>
      <c r="F26" s="461">
        <f>SUMIF(88:88,E26,89:89)-SUMIF(88:88,C26,89:89)+100</f>
        <v>100</v>
      </c>
      <c r="G26" s="2957" t="s">
        <v>3164</v>
      </c>
      <c r="H26" s="435">
        <f>SUMIF(88:88,G26,89:89)-SUMIF(88:88,C26,89:89)+100</f>
        <v>100</v>
      </c>
      <c r="I26" s="2957" t="s">
        <v>3164</v>
      </c>
      <c r="J26" s="435">
        <f>SUMIF(88:88,I26,89:89)-SUMIF(88:88,C26,89:89)+100</f>
        <v>100</v>
      </c>
      <c r="K26" s="613"/>
      <c r="L26" s="1140"/>
      <c r="M26" s="1131"/>
      <c r="N26" s="1131"/>
      <c r="O26" s="1131"/>
      <c r="P26" s="3197"/>
      <c r="Q26" s="1810" t="str">
        <f t="shared" si="11"/>
        <v>可视性</v>
      </c>
      <c r="R26" s="771" t="s">
        <v>17</v>
      </c>
      <c r="S26" s="772">
        <f>F26</f>
        <v>100</v>
      </c>
      <c r="T26" s="771" t="s">
        <v>17</v>
      </c>
      <c r="U26" s="772">
        <f>H26</f>
        <v>100</v>
      </c>
      <c r="V26" s="771" t="s">
        <v>17</v>
      </c>
      <c r="W26" s="772">
        <f>J26</f>
        <v>100</v>
      </c>
      <c r="X26" s="1813"/>
      <c r="Y26" s="3199"/>
      <c r="Z26" s="1814" t="str">
        <f>Q26</f>
        <v>可视性</v>
      </c>
      <c r="AA26" s="1811">
        <f t="shared" si="3"/>
        <v>1</v>
      </c>
      <c r="AB26" s="1811">
        <f t="shared" si="4"/>
        <v>1</v>
      </c>
      <c r="AC26" s="1811">
        <f t="shared" si="5"/>
        <v>1</v>
      </c>
    </row>
    <row r="27" spans="1:29" s="117" customFormat="1" ht="15">
      <c r="A27" s="431"/>
      <c r="B27" s="451" t="s">
        <v>2656</v>
      </c>
      <c r="C27" s="2664" t="s">
        <v>3154</v>
      </c>
      <c r="D27" s="462">
        <v>100</v>
      </c>
      <c r="E27" s="2664" t="s">
        <v>3154</v>
      </c>
      <c r="F27" s="464">
        <f>SUMIF(90:90,E27,91:91)-SUMIF(90:90,C27,91:91)+100</f>
        <v>100</v>
      </c>
      <c r="G27" s="2664" t="s">
        <v>3155</v>
      </c>
      <c r="H27" s="462">
        <f>SUMIF(90:90,G27,91:91)-SUMIF(90:90,C27,91:91)+100</f>
        <v>105</v>
      </c>
      <c r="I27" s="2664" t="s">
        <v>3154</v>
      </c>
      <c r="J27" s="462">
        <f>SUMIF(90:90,I27,91:91)-SUMIF(90:90,C27,91:91)+100</f>
        <v>100</v>
      </c>
      <c r="K27" s="612">
        <v>5</v>
      </c>
      <c r="L27" s="1132"/>
      <c r="M27" s="1133"/>
      <c r="N27" s="1133"/>
      <c r="O27" s="1133"/>
      <c r="P27" s="3197"/>
      <c r="Q27" s="1795" t="str">
        <f t="shared" si="11"/>
        <v>人流量</v>
      </c>
      <c r="R27" s="767" t="s">
        <v>17</v>
      </c>
      <c r="S27" s="768">
        <f>F27</f>
        <v>100</v>
      </c>
      <c r="T27" s="767" t="s">
        <v>17</v>
      </c>
      <c r="U27" s="768">
        <f>H27</f>
        <v>105</v>
      </c>
      <c r="V27" s="767" t="s">
        <v>17</v>
      </c>
      <c r="W27" s="768">
        <f>J27</f>
        <v>100</v>
      </c>
      <c r="X27" s="769"/>
      <c r="Y27" s="3199"/>
      <c r="Z27" s="55" t="str">
        <f>Q27</f>
        <v>人流量</v>
      </c>
      <c r="AA27" s="1811">
        <f>D27/F27</f>
        <v>1</v>
      </c>
      <c r="AB27" s="1811">
        <f>D27/H27</f>
        <v>0.95238095238095233</v>
      </c>
      <c r="AC27" s="1811">
        <f>D27/J27</f>
        <v>1</v>
      </c>
    </row>
    <row r="28" spans="1:29" ht="15.75" thickBot="1">
      <c r="A28" s="428"/>
      <c r="B28" s="422" t="s">
        <v>2657</v>
      </c>
      <c r="C28" s="616" t="s">
        <v>3199</v>
      </c>
      <c r="D28" s="435">
        <v>100</v>
      </c>
      <c r="E28" s="616" t="s">
        <v>3198</v>
      </c>
      <c r="F28" s="461">
        <f>SUMIF(92:92,E28,93:93)-SUMIF(92:92,C28,93:93)+100</f>
        <v>80</v>
      </c>
      <c r="G28" s="616" t="s">
        <v>3199</v>
      </c>
      <c r="H28" s="435">
        <f>SUMIF(92:92,G28,93:93)-SUMIF(92:92,C28,93:93)+100</f>
        <v>100</v>
      </c>
      <c r="I28" s="616" t="s">
        <v>3199</v>
      </c>
      <c r="J28" s="435">
        <f>SUMIF(92:92,I28,93:93)-SUMIF(92:92,C28,93:93)+100</f>
        <v>100</v>
      </c>
      <c r="K28" s="613"/>
      <c r="L28" s="1140"/>
      <c r="M28" s="1131"/>
      <c r="N28" s="1131"/>
      <c r="O28" s="1131"/>
      <c r="P28" s="3197"/>
      <c r="Q28" s="1810" t="str">
        <f t="shared" si="11"/>
        <v>楼层</v>
      </c>
      <c r="R28" s="771" t="s">
        <v>17</v>
      </c>
      <c r="S28" s="772">
        <f t="shared" ref="S28:S46" si="12">F28</f>
        <v>80</v>
      </c>
      <c r="T28" s="771" t="s">
        <v>17</v>
      </c>
      <c r="U28" s="772">
        <f t="shared" ref="U28:U46" si="13">H28</f>
        <v>100</v>
      </c>
      <c r="V28" s="771" t="s">
        <v>17</v>
      </c>
      <c r="W28" s="772">
        <f t="shared" ref="W28:W46" si="14">J28</f>
        <v>100</v>
      </c>
      <c r="X28" s="1813"/>
      <c r="Y28" s="3199"/>
      <c r="Z28" s="1814" t="str">
        <f t="shared" ref="Z28:Z46" si="15">Q28</f>
        <v>楼层</v>
      </c>
      <c r="AA28" s="1811">
        <f t="shared" si="3"/>
        <v>1.25</v>
      </c>
      <c r="AB28" s="1811">
        <f t="shared" si="4"/>
        <v>1</v>
      </c>
      <c r="AC28" s="1811">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97"/>
      <c r="Q29" s="1810">
        <f t="shared" si="11"/>
        <v>111</v>
      </c>
      <c r="R29" s="771" t="s">
        <v>17</v>
      </c>
      <c r="S29" s="772">
        <f t="shared" si="12"/>
        <v>100</v>
      </c>
      <c r="T29" s="771" t="s">
        <v>17</v>
      </c>
      <c r="U29" s="772">
        <f t="shared" si="13"/>
        <v>100</v>
      </c>
      <c r="V29" s="771" t="s">
        <v>17</v>
      </c>
      <c r="W29" s="772">
        <f t="shared" si="14"/>
        <v>100</v>
      </c>
      <c r="X29" s="1813"/>
      <c r="Y29" s="3199"/>
      <c r="Z29" s="1814">
        <f t="shared" si="15"/>
        <v>111</v>
      </c>
      <c r="AA29" s="1811">
        <f t="shared" si="3"/>
        <v>1</v>
      </c>
      <c r="AB29" s="1811">
        <f t="shared" si="4"/>
        <v>1</v>
      </c>
      <c r="AC29" s="1811">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97"/>
      <c r="Q30" s="1810">
        <f t="shared" si="11"/>
        <v>111</v>
      </c>
      <c r="R30" s="771" t="s">
        <v>17</v>
      </c>
      <c r="S30" s="772">
        <f t="shared" si="12"/>
        <v>100</v>
      </c>
      <c r="T30" s="771" t="s">
        <v>17</v>
      </c>
      <c r="U30" s="772">
        <f t="shared" si="13"/>
        <v>100</v>
      </c>
      <c r="V30" s="771" t="s">
        <v>17</v>
      </c>
      <c r="W30" s="772">
        <f t="shared" si="14"/>
        <v>100</v>
      </c>
      <c r="X30" s="1813"/>
      <c r="Y30" s="3199"/>
      <c r="Z30" s="1814">
        <f t="shared" si="15"/>
        <v>111</v>
      </c>
      <c r="AA30" s="1811">
        <f t="shared" si="3"/>
        <v>1</v>
      </c>
      <c r="AB30" s="1811">
        <f t="shared" si="4"/>
        <v>1</v>
      </c>
      <c r="AC30" s="1811">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97"/>
      <c r="Q31" s="1810">
        <f t="shared" si="11"/>
        <v>111</v>
      </c>
      <c r="R31" s="771" t="s">
        <v>17</v>
      </c>
      <c r="S31" s="772">
        <f t="shared" si="12"/>
        <v>100</v>
      </c>
      <c r="T31" s="771" t="s">
        <v>17</v>
      </c>
      <c r="U31" s="772">
        <f t="shared" si="13"/>
        <v>100</v>
      </c>
      <c r="V31" s="771" t="s">
        <v>17</v>
      </c>
      <c r="W31" s="772">
        <f t="shared" si="14"/>
        <v>100</v>
      </c>
      <c r="X31" s="1813"/>
      <c r="Y31" s="3199"/>
      <c r="Z31" s="1814">
        <f t="shared" si="15"/>
        <v>111</v>
      </c>
      <c r="AA31" s="1811">
        <f t="shared" si="3"/>
        <v>1</v>
      </c>
      <c r="AB31" s="1811">
        <f t="shared" si="4"/>
        <v>1</v>
      </c>
      <c r="AC31" s="1811">
        <f t="shared" si="5"/>
        <v>1</v>
      </c>
    </row>
    <row r="32" spans="1:29" ht="15">
      <c r="A32" s="440" t="s">
        <v>2562</v>
      </c>
      <c r="B32" s="71" t="s">
        <v>2658</v>
      </c>
      <c r="C32" s="2616" t="s">
        <v>3173</v>
      </c>
      <c r="D32" s="467">
        <v>100</v>
      </c>
      <c r="E32" s="2616" t="s">
        <v>3173</v>
      </c>
      <c r="F32" s="461">
        <f>SUMIF(100:100,E32,101:101)-SUMIF(100:100,C32,101:101)+100</f>
        <v>100</v>
      </c>
      <c r="G32" s="2616" t="s">
        <v>3173</v>
      </c>
      <c r="H32" s="435">
        <f>SUMIF(100:100,G32,101:101)-SUMIF(100:100,C32,101:101)+100</f>
        <v>100</v>
      </c>
      <c r="I32" s="2616" t="s">
        <v>3173</v>
      </c>
      <c r="J32" s="467">
        <f>SUMIF(100:100,I32,101:101)-SUMIF(100:100,C32,101:101)+100</f>
        <v>100</v>
      </c>
      <c r="K32" s="612">
        <v>5</v>
      </c>
      <c r="L32" s="1140"/>
      <c r="M32" s="1131"/>
      <c r="N32" s="1131"/>
      <c r="O32" s="1131"/>
      <c r="P32" s="3200" t="s">
        <v>2564</v>
      </c>
      <c r="Q32" s="1810" t="str">
        <f t="shared" si="11"/>
        <v>商业类型</v>
      </c>
      <c r="R32" s="771" t="s">
        <v>17</v>
      </c>
      <c r="S32" s="772">
        <f t="shared" si="12"/>
        <v>100</v>
      </c>
      <c r="T32" s="771" t="s">
        <v>17</v>
      </c>
      <c r="U32" s="772">
        <f t="shared" si="13"/>
        <v>100</v>
      </c>
      <c r="V32" s="771" t="s">
        <v>17</v>
      </c>
      <c r="W32" s="772">
        <f t="shared" si="14"/>
        <v>100</v>
      </c>
      <c r="X32" s="1813"/>
      <c r="Y32" s="3203" t="s">
        <v>2564</v>
      </c>
      <c r="Z32" s="1814" t="str">
        <f t="shared" si="15"/>
        <v>商业类型</v>
      </c>
      <c r="AA32" s="1811">
        <f t="shared" si="3"/>
        <v>1</v>
      </c>
      <c r="AB32" s="1811">
        <f t="shared" si="4"/>
        <v>1</v>
      </c>
      <c r="AC32" s="1811">
        <f t="shared" si="5"/>
        <v>1</v>
      </c>
    </row>
    <row r="33" spans="1:29" s="471" customFormat="1" ht="15" hidden="1">
      <c r="A33" s="468"/>
      <c r="B33" s="422" t="s">
        <v>2565</v>
      </c>
      <c r="C33" s="469">
        <f>'数据-基础表'!B3</f>
        <v>8582.619999999999</v>
      </c>
      <c r="D33" s="136">
        <v>100</v>
      </c>
      <c r="E33" s="469">
        <v>8500</v>
      </c>
      <c r="F33" s="425">
        <f>LOOKUP(E33,103:103,104:104)-LOOKUP(C33,103:103,104:104)+100</f>
        <v>100</v>
      </c>
      <c r="G33" s="469">
        <v>8500</v>
      </c>
      <c r="H33" s="136">
        <f>LOOKUP(G33,103:103,104:104)-LOOKUP(C33,103:103,104:104)+100</f>
        <v>100</v>
      </c>
      <c r="I33" s="469">
        <v>8500</v>
      </c>
      <c r="J33" s="136">
        <f>LOOKUP(I33,103:103,104:104)-LOOKUP(C33,103:103,104:104)+100</f>
        <v>100</v>
      </c>
      <c r="K33" s="613"/>
      <c r="L33" s="1138"/>
      <c r="M33" s="1141"/>
      <c r="N33" s="1141"/>
      <c r="O33" s="1141"/>
      <c r="P33" s="3201"/>
      <c r="Q33" s="773" t="str">
        <f t="shared" si="11"/>
        <v>项目建筑规模</v>
      </c>
      <c r="R33" s="774" t="s">
        <v>17</v>
      </c>
      <c r="S33" s="775">
        <f t="shared" si="12"/>
        <v>100</v>
      </c>
      <c r="T33" s="774" t="s">
        <v>17</v>
      </c>
      <c r="U33" s="775">
        <f t="shared" si="13"/>
        <v>100</v>
      </c>
      <c r="V33" s="774" t="s">
        <v>17</v>
      </c>
      <c r="W33" s="775">
        <f t="shared" si="14"/>
        <v>100</v>
      </c>
      <c r="X33" s="776"/>
      <c r="Y33" s="3203"/>
      <c r="Z33" s="777" t="str">
        <f t="shared" si="15"/>
        <v>项目建筑规模</v>
      </c>
      <c r="AA33" s="1811">
        <f t="shared" si="3"/>
        <v>1</v>
      </c>
      <c r="AB33" s="1811">
        <f t="shared" si="4"/>
        <v>1</v>
      </c>
      <c r="AC33" s="1811">
        <f t="shared" si="5"/>
        <v>1</v>
      </c>
    </row>
    <row r="34" spans="1:29" ht="15">
      <c r="A34" s="472"/>
      <c r="B34" s="422" t="s">
        <v>2566</v>
      </c>
      <c r="C34" s="2618" t="s">
        <v>3147</v>
      </c>
      <c r="D34" s="435">
        <v>100</v>
      </c>
      <c r="E34" s="2618" t="s">
        <v>3147</v>
      </c>
      <c r="F34" s="461">
        <f>SUMIF(105:105,E34,106:106)-SUMIF(105:105,C34,106:106)+100</f>
        <v>100</v>
      </c>
      <c r="G34" s="2618" t="s">
        <v>3147</v>
      </c>
      <c r="H34" s="435">
        <f>SUMIF(105:105,G34,106:106)-SUMIF(105:105,C34,106:106)+100</f>
        <v>100</v>
      </c>
      <c r="I34" s="2618" t="s">
        <v>3147</v>
      </c>
      <c r="J34" s="435">
        <f>SUMIF(105:105,I34,106:106)-SUMIF(105:105,C34,106:106)+100</f>
        <v>100</v>
      </c>
      <c r="K34" s="612"/>
      <c r="L34" s="1140"/>
      <c r="M34" s="1131"/>
      <c r="N34" s="1131"/>
      <c r="O34" s="1131"/>
      <c r="P34" s="3201"/>
      <c r="Q34" s="1810" t="str">
        <f t="shared" si="11"/>
        <v>建筑结构</v>
      </c>
      <c r="R34" s="771" t="s">
        <v>17</v>
      </c>
      <c r="S34" s="772">
        <f t="shared" si="12"/>
        <v>100</v>
      </c>
      <c r="T34" s="771" t="s">
        <v>17</v>
      </c>
      <c r="U34" s="772">
        <f t="shared" si="13"/>
        <v>100</v>
      </c>
      <c r="V34" s="771" t="s">
        <v>17</v>
      </c>
      <c r="W34" s="772">
        <f t="shared" si="14"/>
        <v>100</v>
      </c>
      <c r="X34" s="1813"/>
      <c r="Y34" s="3203"/>
      <c r="Z34" s="1814" t="str">
        <f t="shared" si="15"/>
        <v>建筑结构</v>
      </c>
      <c r="AA34" s="1811">
        <f t="shared" si="3"/>
        <v>1</v>
      </c>
      <c r="AB34" s="1811">
        <f t="shared" si="4"/>
        <v>1</v>
      </c>
      <c r="AC34" s="1811">
        <f t="shared" si="5"/>
        <v>1</v>
      </c>
    </row>
    <row r="35" spans="1:29" ht="15">
      <c r="A35" s="472"/>
      <c r="B35" s="422" t="s">
        <v>2659</v>
      </c>
      <c r="C35" s="2612" t="s">
        <v>3178</v>
      </c>
      <c r="D35" s="435">
        <v>100</v>
      </c>
      <c r="E35" s="2612" t="s">
        <v>3178</v>
      </c>
      <c r="F35" s="461">
        <f>SUMIF(107:107,E35,108:108)-SUMIF(107:107,C35,108:108)+100</f>
        <v>100</v>
      </c>
      <c r="G35" s="2612" t="s">
        <v>3178</v>
      </c>
      <c r="H35" s="435">
        <f>SUMIF(107:107,G35,108:108)-SUMIF(107:107,C35,108:108)+100</f>
        <v>100</v>
      </c>
      <c r="I35" s="2612" t="s">
        <v>3178</v>
      </c>
      <c r="J35" s="435">
        <f>SUMIF(107:107,I35,108:108)-SUMIF(107:107,C35,108:108)+100</f>
        <v>100</v>
      </c>
      <c r="K35" s="612"/>
      <c r="L35" s="1140"/>
      <c r="M35" s="1131"/>
      <c r="N35" s="1131"/>
      <c r="O35" s="1131"/>
      <c r="P35" s="3201"/>
      <c r="Q35" s="1810" t="str">
        <f t="shared" si="11"/>
        <v>公共部分装修</v>
      </c>
      <c r="R35" s="771" t="s">
        <v>17</v>
      </c>
      <c r="S35" s="772">
        <f t="shared" si="12"/>
        <v>100</v>
      </c>
      <c r="T35" s="771" t="s">
        <v>17</v>
      </c>
      <c r="U35" s="772">
        <f t="shared" si="13"/>
        <v>100</v>
      </c>
      <c r="V35" s="771" t="s">
        <v>17</v>
      </c>
      <c r="W35" s="772">
        <f t="shared" si="14"/>
        <v>100</v>
      </c>
      <c r="X35" s="1813"/>
      <c r="Y35" s="3203"/>
      <c r="Z35" s="1814" t="str">
        <f t="shared" si="15"/>
        <v>公共部分装修</v>
      </c>
      <c r="AA35" s="1811">
        <f t="shared" si="3"/>
        <v>1</v>
      </c>
      <c r="AB35" s="1811">
        <f t="shared" si="4"/>
        <v>1</v>
      </c>
      <c r="AC35" s="1811">
        <f t="shared" si="5"/>
        <v>1</v>
      </c>
    </row>
    <row r="36" spans="1:29" ht="15">
      <c r="A36" s="472"/>
      <c r="B36" s="422" t="s">
        <v>2660</v>
      </c>
      <c r="C36" s="474">
        <f>'数据-取费表'!Y6</f>
        <v>0.98</v>
      </c>
      <c r="D36" s="435">
        <v>100</v>
      </c>
      <c r="E36" s="474">
        <v>0.95</v>
      </c>
      <c r="F36" s="461">
        <f>LOOKUP(E36,110:110,111:111)-LOOKUP(C36,110:110,111:111)+100</f>
        <v>100</v>
      </c>
      <c r="G36" s="474">
        <v>0.95</v>
      </c>
      <c r="H36" s="461">
        <f>LOOKUP(G36,110:110,111:111)-LOOKUP(C36,110:110,111:111)+100</f>
        <v>100</v>
      </c>
      <c r="I36" s="474">
        <v>0.95</v>
      </c>
      <c r="J36" s="435">
        <f>LOOKUP(I36,110:110,111:111)-LOOKUP(C36,110:110,111:111)+100</f>
        <v>100</v>
      </c>
      <c r="K36" s="612"/>
      <c r="L36" s="1140"/>
      <c r="M36" s="1131"/>
      <c r="N36" s="1131"/>
      <c r="O36" s="1131"/>
      <c r="P36" s="3201"/>
      <c r="Q36" s="1810" t="str">
        <f t="shared" si="11"/>
        <v>成新度</v>
      </c>
      <c r="R36" s="771" t="s">
        <v>17</v>
      </c>
      <c r="S36" s="772">
        <f t="shared" si="12"/>
        <v>100</v>
      </c>
      <c r="T36" s="771" t="s">
        <v>17</v>
      </c>
      <c r="U36" s="772">
        <f t="shared" si="13"/>
        <v>100</v>
      </c>
      <c r="V36" s="771" t="s">
        <v>17</v>
      </c>
      <c r="W36" s="772">
        <f t="shared" si="14"/>
        <v>100</v>
      </c>
      <c r="X36" s="1813"/>
      <c r="Y36" s="3203"/>
      <c r="Z36" s="1814" t="str">
        <f t="shared" si="15"/>
        <v>成新度</v>
      </c>
      <c r="AA36" s="1811">
        <f t="shared" si="3"/>
        <v>1</v>
      </c>
      <c r="AB36" s="1811">
        <f t="shared" si="4"/>
        <v>1</v>
      </c>
      <c r="AC36" s="1811">
        <f t="shared" si="5"/>
        <v>1</v>
      </c>
    </row>
    <row r="37" spans="1:29" s="117" customFormat="1" ht="15">
      <c r="A37" s="473"/>
      <c r="B37" s="422" t="s">
        <v>2661</v>
      </c>
      <c r="C37" s="2612" t="s">
        <v>3157</v>
      </c>
      <c r="D37" s="136">
        <v>100</v>
      </c>
      <c r="E37" s="2612" t="s">
        <v>3157</v>
      </c>
      <c r="F37" s="461">
        <f>SUMIF(112:112,E37,113:113)-SUMIF(112:112,C37,113:113)+100</f>
        <v>100</v>
      </c>
      <c r="G37" s="2612" t="s">
        <v>3157</v>
      </c>
      <c r="H37" s="435">
        <f>SUMIF(112:112,G37,113:113)-SUMIF(112:112,C37,113:113)+100</f>
        <v>100</v>
      </c>
      <c r="I37" s="2612" t="s">
        <v>3157</v>
      </c>
      <c r="J37" s="435">
        <f>SUMIF(112:112,I37,113:113)-SUMIF(112:112,C37,113:113)+100</f>
        <v>100</v>
      </c>
      <c r="K37" s="612"/>
      <c r="L37" s="1132"/>
      <c r="M37" s="1133"/>
      <c r="N37" s="1133"/>
      <c r="O37" s="1133"/>
      <c r="P37" s="3201"/>
      <c r="Q37" s="1795" t="str">
        <f t="shared" si="11"/>
        <v>市政基础设施</v>
      </c>
      <c r="R37" s="767" t="s">
        <v>17</v>
      </c>
      <c r="S37" s="768">
        <f t="shared" si="12"/>
        <v>100</v>
      </c>
      <c r="T37" s="767" t="s">
        <v>17</v>
      </c>
      <c r="U37" s="768">
        <f t="shared" si="13"/>
        <v>100</v>
      </c>
      <c r="V37" s="767" t="s">
        <v>17</v>
      </c>
      <c r="W37" s="768">
        <f t="shared" si="14"/>
        <v>100</v>
      </c>
      <c r="X37" s="769"/>
      <c r="Y37" s="3203"/>
      <c r="Z37" s="55" t="str">
        <f t="shared" si="15"/>
        <v>市政基础设施</v>
      </c>
      <c r="AA37" s="770">
        <f t="shared" si="3"/>
        <v>1</v>
      </c>
      <c r="AB37" s="770">
        <f t="shared" si="4"/>
        <v>1</v>
      </c>
      <c r="AC37" s="770">
        <f t="shared" si="5"/>
        <v>1</v>
      </c>
    </row>
    <row r="38" spans="1:29" ht="15">
      <c r="A38" s="472"/>
      <c r="B38" s="422" t="s">
        <v>2662</v>
      </c>
      <c r="C38" s="2612" t="s">
        <v>3187</v>
      </c>
      <c r="D38" s="435">
        <v>100</v>
      </c>
      <c r="E38" s="2612" t="s">
        <v>3187</v>
      </c>
      <c r="F38" s="461">
        <f>SUMIF(114:114,E38,115:115)-SUMIF(114:114,C38,115:115)+100</f>
        <v>100</v>
      </c>
      <c r="G38" s="2612" t="s">
        <v>3189</v>
      </c>
      <c r="H38" s="435">
        <f>SUMIF(114:114,G38,115:115)-SUMIF(114:114,C38,115:115)+100</f>
        <v>95</v>
      </c>
      <c r="I38" s="2612" t="s">
        <v>3189</v>
      </c>
      <c r="J38" s="435">
        <f>SUMIF(114:114,I38,115:115)-SUMIF(114:114,C38,115:115)+100</f>
        <v>95</v>
      </c>
      <c r="K38" s="612">
        <v>5</v>
      </c>
      <c r="L38" s="1140"/>
      <c r="M38" s="1131"/>
      <c r="N38" s="1131"/>
      <c r="O38" s="1131"/>
      <c r="P38" s="3201" t="s">
        <v>2564</v>
      </c>
      <c r="Q38" s="1810" t="str">
        <f t="shared" si="11"/>
        <v>业态</v>
      </c>
      <c r="R38" s="771" t="s">
        <v>17</v>
      </c>
      <c r="S38" s="772">
        <f t="shared" si="12"/>
        <v>100</v>
      </c>
      <c r="T38" s="771" t="s">
        <v>17</v>
      </c>
      <c r="U38" s="772">
        <f t="shared" si="13"/>
        <v>95</v>
      </c>
      <c r="V38" s="771" t="s">
        <v>17</v>
      </c>
      <c r="W38" s="772">
        <f t="shared" si="14"/>
        <v>95</v>
      </c>
      <c r="X38" s="1813"/>
      <c r="Y38" s="3203" t="s">
        <v>2564</v>
      </c>
      <c r="Z38" s="1814" t="str">
        <f t="shared" si="15"/>
        <v>业态</v>
      </c>
      <c r="AA38" s="1811">
        <f t="shared" si="3"/>
        <v>1</v>
      </c>
      <c r="AB38" s="1811">
        <f t="shared" si="4"/>
        <v>1.0526315789473684</v>
      </c>
      <c r="AC38" s="1811">
        <f t="shared" si="5"/>
        <v>1.0526315789473684</v>
      </c>
    </row>
    <row r="39" spans="1:29" ht="15">
      <c r="A39" s="472"/>
      <c r="B39" s="422" t="s">
        <v>2663</v>
      </c>
      <c r="C39" s="2612" t="s">
        <v>3191</v>
      </c>
      <c r="D39" s="435">
        <v>100</v>
      </c>
      <c r="E39" s="2612" t="s">
        <v>3191</v>
      </c>
      <c r="F39" s="461">
        <f>SUMIF(116:116,E39,117:117)-SUMIF(116:116,C39,117:117)+100</f>
        <v>100</v>
      </c>
      <c r="G39" s="2612" t="s">
        <v>3191</v>
      </c>
      <c r="H39" s="435">
        <f>SUMIF(116:116,G39,117:117)-SUMIF(116:116,C39,117:117)+100</f>
        <v>100</v>
      </c>
      <c r="I39" s="2612" t="s">
        <v>3191</v>
      </c>
      <c r="J39" s="435">
        <f>SUMIF(116:116,I39,117:117)-SUMIF(116:116,C39,117:117)+100</f>
        <v>100</v>
      </c>
      <c r="K39" s="612">
        <v>5</v>
      </c>
      <c r="L39" s="1140"/>
      <c r="M39" s="1131"/>
      <c r="N39" s="1131"/>
      <c r="O39" s="1131"/>
      <c r="P39" s="3201"/>
      <c r="Q39" s="1810" t="str">
        <f t="shared" si="11"/>
        <v>层高</v>
      </c>
      <c r="R39" s="771" t="s">
        <v>17</v>
      </c>
      <c r="S39" s="772">
        <f t="shared" si="12"/>
        <v>100</v>
      </c>
      <c r="T39" s="771" t="s">
        <v>17</v>
      </c>
      <c r="U39" s="772">
        <f t="shared" si="13"/>
        <v>100</v>
      </c>
      <c r="V39" s="771" t="s">
        <v>17</v>
      </c>
      <c r="W39" s="772">
        <f t="shared" si="14"/>
        <v>100</v>
      </c>
      <c r="X39" s="1813"/>
      <c r="Y39" s="3203"/>
      <c r="Z39" s="1814" t="str">
        <f t="shared" si="15"/>
        <v>层高</v>
      </c>
      <c r="AA39" s="1811">
        <f t="shared" si="3"/>
        <v>1</v>
      </c>
      <c r="AB39" s="1811">
        <f t="shared" si="4"/>
        <v>1</v>
      </c>
      <c r="AC39" s="1811">
        <f t="shared" si="5"/>
        <v>1</v>
      </c>
    </row>
    <row r="40" spans="1:29" ht="15">
      <c r="A40" s="472"/>
      <c r="B40" s="422" t="s">
        <v>2664</v>
      </c>
      <c r="C40" s="2952">
        <f>Sheet1!I2</f>
        <v>54.53</v>
      </c>
      <c r="D40" s="435">
        <v>100</v>
      </c>
      <c r="E40" s="617">
        <v>49</v>
      </c>
      <c r="F40" s="461">
        <f>SUMIF(118:118,E40,119:119)-SUMIF(118:118,C40,119:119)+100</f>
        <v>100</v>
      </c>
      <c r="G40" s="617">
        <v>52</v>
      </c>
      <c r="H40" s="435">
        <f>SUMIF(118:118,G40,119:119)-SUMIF(118:118,C40,119:119)+100</f>
        <v>100</v>
      </c>
      <c r="I40" s="617">
        <v>50</v>
      </c>
      <c r="J40" s="435">
        <f>SUMIF(118:118,I40,119:119)-SUMIF(118:118,C40,119:119)+100</f>
        <v>100</v>
      </c>
      <c r="K40" s="613"/>
      <c r="L40" s="1140"/>
      <c r="M40" s="1131"/>
      <c r="N40" s="1131"/>
      <c r="O40" s="1131"/>
      <c r="P40" s="3201"/>
      <c r="Q40" s="1810" t="str">
        <f t="shared" si="11"/>
        <v>单套建筑面积</v>
      </c>
      <c r="R40" s="771" t="s">
        <v>17</v>
      </c>
      <c r="S40" s="772">
        <f t="shared" si="12"/>
        <v>100</v>
      </c>
      <c r="T40" s="771" t="s">
        <v>17</v>
      </c>
      <c r="U40" s="772">
        <f t="shared" si="13"/>
        <v>100</v>
      </c>
      <c r="V40" s="771" t="s">
        <v>17</v>
      </c>
      <c r="W40" s="772">
        <f t="shared" si="14"/>
        <v>100</v>
      </c>
      <c r="X40" s="1813"/>
      <c r="Y40" s="3203"/>
      <c r="Z40" s="1814" t="str">
        <f t="shared" si="15"/>
        <v>单套建筑面积</v>
      </c>
      <c r="AA40" s="1811">
        <f t="shared" si="3"/>
        <v>1</v>
      </c>
      <c r="AB40" s="1811">
        <f t="shared" si="4"/>
        <v>1</v>
      </c>
      <c r="AC40" s="1811">
        <f t="shared" si="5"/>
        <v>1</v>
      </c>
    </row>
    <row r="41" spans="1:29" s="471" customFormat="1" ht="15">
      <c r="A41" s="468"/>
      <c r="B41" s="1812" t="s">
        <v>2665</v>
      </c>
      <c r="C41" s="616" t="s">
        <v>3155</v>
      </c>
      <c r="D41" s="435">
        <v>100</v>
      </c>
      <c r="E41" s="616" t="s">
        <v>3155</v>
      </c>
      <c r="F41" s="461">
        <f>SUMIF(120:120,E41,121:121)-SUMIF(120:120,C41,121:121)+100</f>
        <v>100</v>
      </c>
      <c r="G41" s="616" t="s">
        <v>3155</v>
      </c>
      <c r="H41" s="435">
        <f>SUMIF(120:120,G41,121:121)-SUMIF(120:120,C41,121:121)+100</f>
        <v>100</v>
      </c>
      <c r="I41" s="616" t="s">
        <v>3155</v>
      </c>
      <c r="J41" s="435">
        <f>SUMIF(120:120,I41,121:121)-SUMIF(120:120,C41,121:121)+100</f>
        <v>100</v>
      </c>
      <c r="K41" s="612"/>
      <c r="L41" s="1138"/>
      <c r="M41" s="1141"/>
      <c r="N41" s="1141"/>
      <c r="O41" s="1141"/>
      <c r="P41" s="3201"/>
      <c r="Q41" s="773" t="str">
        <f t="shared" si="11"/>
        <v>进深比</v>
      </c>
      <c r="R41" s="774" t="s">
        <v>17</v>
      </c>
      <c r="S41" s="775">
        <f t="shared" si="12"/>
        <v>100</v>
      </c>
      <c r="T41" s="774" t="s">
        <v>17</v>
      </c>
      <c r="U41" s="775">
        <f t="shared" si="13"/>
        <v>100</v>
      </c>
      <c r="V41" s="774" t="s">
        <v>17</v>
      </c>
      <c r="W41" s="775">
        <f t="shared" si="14"/>
        <v>100</v>
      </c>
      <c r="X41" s="776"/>
      <c r="Y41" s="3203"/>
      <c r="Z41" s="777" t="str">
        <f t="shared" si="15"/>
        <v>进深比</v>
      </c>
      <c r="AA41" s="1811">
        <f t="shared" si="3"/>
        <v>1</v>
      </c>
      <c r="AB41" s="1811">
        <f t="shared" si="4"/>
        <v>1</v>
      </c>
      <c r="AC41" s="1811">
        <f t="shared" si="5"/>
        <v>1</v>
      </c>
    </row>
    <row r="42" spans="1:29" ht="15">
      <c r="A42" s="472"/>
      <c r="B42" s="422" t="s">
        <v>2666</v>
      </c>
      <c r="C42" s="2612" t="s">
        <v>3180</v>
      </c>
      <c r="D42" s="435">
        <v>100</v>
      </c>
      <c r="E42" s="2612" t="s">
        <v>3180</v>
      </c>
      <c r="F42" s="461">
        <f>SUMIF(122:122,E42,123:123)-SUMIF(122:122,C42,123:123)+100</f>
        <v>100</v>
      </c>
      <c r="G42" s="2612" t="s">
        <v>3180</v>
      </c>
      <c r="H42" s="435">
        <f>SUMIF(122:122,G42,123:123)-SUMIF(122:122,C42,123:123)+100</f>
        <v>100</v>
      </c>
      <c r="I42" s="2612" t="s">
        <v>3180</v>
      </c>
      <c r="J42" s="435">
        <f>SUMIF(122:122,I42,123:123)-SUMIF(122:122,C42,123:123)+100</f>
        <v>100</v>
      </c>
      <c r="K42" s="612"/>
      <c r="L42" s="1140"/>
      <c r="M42" s="1131"/>
      <c r="N42" s="1131"/>
      <c r="O42" s="1131"/>
      <c r="P42" s="3201"/>
      <c r="Q42" s="1810" t="str">
        <f t="shared" si="11"/>
        <v>内部装修</v>
      </c>
      <c r="R42" s="771" t="s">
        <v>17</v>
      </c>
      <c r="S42" s="772">
        <f t="shared" si="12"/>
        <v>100</v>
      </c>
      <c r="T42" s="771" t="s">
        <v>17</v>
      </c>
      <c r="U42" s="772">
        <f t="shared" si="13"/>
        <v>100</v>
      </c>
      <c r="V42" s="771" t="s">
        <v>17</v>
      </c>
      <c r="W42" s="772">
        <f t="shared" si="14"/>
        <v>100</v>
      </c>
      <c r="X42" s="1813"/>
      <c r="Y42" s="3203"/>
      <c r="Z42" s="1814" t="str">
        <f t="shared" si="15"/>
        <v>内部装修</v>
      </c>
      <c r="AA42" s="1811">
        <f t="shared" si="3"/>
        <v>1</v>
      </c>
      <c r="AB42" s="1811">
        <f t="shared" si="4"/>
        <v>1</v>
      </c>
      <c r="AC42" s="1811">
        <f t="shared" si="5"/>
        <v>1</v>
      </c>
    </row>
    <row r="43" spans="1:29" ht="15.75" thickBot="1">
      <c r="A43" s="472"/>
      <c r="B43" s="422" t="s">
        <v>2575</v>
      </c>
      <c r="C43" s="2612" t="s">
        <v>3155</v>
      </c>
      <c r="D43" s="435">
        <v>100</v>
      </c>
      <c r="E43" s="2612" t="s">
        <v>3155</v>
      </c>
      <c r="F43" s="461">
        <f>SUMIF(124:124,E43,125:125)-SUMIF(124:124,C43,125:125)+100</f>
        <v>100</v>
      </c>
      <c r="G43" s="2612" t="s">
        <v>3155</v>
      </c>
      <c r="H43" s="435">
        <f>SUMIF(124:124,G43,125:125)-SUMIF(124:124,C43,125:125)+100</f>
        <v>100</v>
      </c>
      <c r="I43" s="2612" t="s">
        <v>3155</v>
      </c>
      <c r="J43" s="435">
        <f>SUMIF(124:124,I43,125:125)-SUMIF(124:124,C43,125:125)+100</f>
        <v>100</v>
      </c>
      <c r="K43" s="612"/>
      <c r="L43" s="1140"/>
      <c r="M43" s="1131"/>
      <c r="N43" s="1131"/>
      <c r="O43" s="1131"/>
      <c r="P43" s="3201"/>
      <c r="Q43" s="1810" t="str">
        <f t="shared" si="11"/>
        <v>内部装修维护情况</v>
      </c>
      <c r="R43" s="771" t="s">
        <v>17</v>
      </c>
      <c r="S43" s="772">
        <f t="shared" si="12"/>
        <v>100</v>
      </c>
      <c r="T43" s="771" t="s">
        <v>17</v>
      </c>
      <c r="U43" s="772">
        <f t="shared" si="13"/>
        <v>100</v>
      </c>
      <c r="V43" s="771" t="s">
        <v>17</v>
      </c>
      <c r="W43" s="772">
        <f t="shared" si="14"/>
        <v>100</v>
      </c>
      <c r="X43" s="1813"/>
      <c r="Y43" s="3203"/>
      <c r="Z43" s="1814" t="str">
        <f t="shared" si="15"/>
        <v>内部装修维护情况</v>
      </c>
      <c r="AA43" s="1811">
        <f t="shared" si="3"/>
        <v>1</v>
      </c>
      <c r="AB43" s="1811">
        <f t="shared" si="4"/>
        <v>1</v>
      </c>
      <c r="AC43" s="1811">
        <f t="shared" si="5"/>
        <v>1</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1"/>
      <c r="Q44" s="1795">
        <f t="shared" si="11"/>
        <v>111</v>
      </c>
      <c r="R44" s="767" t="s">
        <v>17</v>
      </c>
      <c r="S44" s="768">
        <f t="shared" si="12"/>
        <v>100</v>
      </c>
      <c r="T44" s="767" t="s">
        <v>17</v>
      </c>
      <c r="U44" s="768">
        <f t="shared" si="13"/>
        <v>100</v>
      </c>
      <c r="V44" s="767" t="s">
        <v>17</v>
      </c>
      <c r="W44" s="768">
        <f t="shared" si="14"/>
        <v>100</v>
      </c>
      <c r="X44" s="769"/>
      <c r="Y44" s="3203"/>
      <c r="Z44" s="55">
        <f t="shared" si="15"/>
        <v>111</v>
      </c>
      <c r="AA44" s="770">
        <f t="shared" si="3"/>
        <v>1</v>
      </c>
      <c r="AB44" s="770">
        <f t="shared" si="4"/>
        <v>1</v>
      </c>
      <c r="AC44" s="770">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1"/>
      <c r="Q45" s="1810">
        <f t="shared" si="11"/>
        <v>111</v>
      </c>
      <c r="R45" s="771" t="s">
        <v>17</v>
      </c>
      <c r="S45" s="772">
        <f t="shared" si="12"/>
        <v>100</v>
      </c>
      <c r="T45" s="771" t="s">
        <v>17</v>
      </c>
      <c r="U45" s="772">
        <f t="shared" si="13"/>
        <v>100</v>
      </c>
      <c r="V45" s="771" t="s">
        <v>17</v>
      </c>
      <c r="W45" s="772">
        <f t="shared" si="14"/>
        <v>100</v>
      </c>
      <c r="X45" s="1813"/>
      <c r="Y45" s="3203"/>
      <c r="Z45" s="1814">
        <f t="shared" si="15"/>
        <v>111</v>
      </c>
      <c r="AA45" s="1811">
        <f t="shared" si="3"/>
        <v>1</v>
      </c>
      <c r="AB45" s="1811">
        <f t="shared" si="4"/>
        <v>1</v>
      </c>
      <c r="AC45" s="1811">
        <f t="shared" si="5"/>
        <v>1</v>
      </c>
    </row>
    <row r="46" spans="1:29" ht="15.75" hidden="1"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2"/>
      <c r="Q46" s="1810">
        <f t="shared" si="11"/>
        <v>111</v>
      </c>
      <c r="R46" s="771" t="s">
        <v>17</v>
      </c>
      <c r="S46" s="772">
        <f t="shared" si="12"/>
        <v>100</v>
      </c>
      <c r="T46" s="771" t="s">
        <v>17</v>
      </c>
      <c r="U46" s="772">
        <f t="shared" si="13"/>
        <v>100</v>
      </c>
      <c r="V46" s="771" t="s">
        <v>17</v>
      </c>
      <c r="W46" s="772">
        <f t="shared" si="14"/>
        <v>100</v>
      </c>
      <c r="X46" s="1813"/>
      <c r="Y46" s="3204"/>
      <c r="Z46" s="1814">
        <f t="shared" si="15"/>
        <v>111</v>
      </c>
      <c r="AA46" s="1811">
        <f t="shared" si="3"/>
        <v>1</v>
      </c>
      <c r="AB46" s="1811">
        <f t="shared" si="4"/>
        <v>1</v>
      </c>
      <c r="AC46" s="1811">
        <f t="shared" si="5"/>
        <v>1</v>
      </c>
    </row>
    <row r="47" spans="1:29" ht="15">
      <c r="A47" s="479" t="s">
        <v>2576</v>
      </c>
      <c r="B47" s="480"/>
      <c r="C47" s="1407" t="s">
        <v>1</v>
      </c>
      <c r="D47" s="1408"/>
      <c r="E47" s="1409">
        <f>ROUND(28500*0.95,0)</f>
        <v>27075</v>
      </c>
      <c r="F47" s="1410"/>
      <c r="G47" s="1411">
        <f>ROUND(36153*0.9,0)</f>
        <v>32538</v>
      </c>
      <c r="H47" s="1412"/>
      <c r="I47" s="1409">
        <f>ROUND(32500*0.95,0)</f>
        <v>30875</v>
      </c>
      <c r="J47" s="1412"/>
      <c r="K47" s="780"/>
      <c r="L47" s="1143"/>
      <c r="M47" s="1144"/>
      <c r="N47" s="1131"/>
      <c r="O47" s="1144"/>
      <c r="P47" s="3205" t="str">
        <f>A47</f>
        <v>成交单价（元/平方米）</v>
      </c>
      <c r="Q47" s="3205"/>
      <c r="R47" s="3165">
        <f>E47</f>
        <v>27075</v>
      </c>
      <c r="S47" s="3165"/>
      <c r="T47" s="3165">
        <f>G47</f>
        <v>32538</v>
      </c>
      <c r="U47" s="3165"/>
      <c r="V47" s="3165">
        <f>I47</f>
        <v>30875</v>
      </c>
      <c r="W47" s="3165"/>
      <c r="X47" s="756"/>
      <c r="Y47" s="778"/>
      <c r="Z47" s="756"/>
      <c r="AA47" s="756"/>
      <c r="AB47" s="756"/>
      <c r="AC47" s="756"/>
    </row>
    <row r="48" spans="1:29" ht="15.75" thickBot="1">
      <c r="A48" s="486" t="s">
        <v>2667</v>
      </c>
      <c r="B48" s="487"/>
      <c r="C48" s="1413">
        <f>R49</f>
        <v>28047</v>
      </c>
      <c r="D48" s="1414"/>
      <c r="E48" s="1415">
        <f>R48</f>
        <v>29522</v>
      </c>
      <c r="F48" s="1415"/>
      <c r="G48" s="1413">
        <f>T48</f>
        <v>27099</v>
      </c>
      <c r="H48" s="1414"/>
      <c r="I48" s="1415">
        <f>V48</f>
        <v>27519</v>
      </c>
      <c r="J48" s="1414"/>
      <c r="K48" s="781"/>
      <c r="L48" s="1143"/>
      <c r="M48" s="1144"/>
      <c r="N48" s="1131"/>
      <c r="O48" s="1144"/>
      <c r="P48" s="3205" t="str">
        <f>A48</f>
        <v>比较价值（元/平方米）</v>
      </c>
      <c r="Q48" s="3205"/>
      <c r="R48" s="3206">
        <f>IF(F1="售价",ROUND(PRODUCT(R47,AA7:AA46),0),ROUND(PRODUCT(R47,AA7:AA46),1))</f>
        <v>29522</v>
      </c>
      <c r="S48" s="3206"/>
      <c r="T48" s="3206">
        <f>IF(F1="售价",ROUND(PRODUCT(T47,AB7:AB46),0),ROUND(PRODUCT(T47,AB7:AB46),1))</f>
        <v>27099</v>
      </c>
      <c r="U48" s="3206"/>
      <c r="V48" s="3206">
        <f>IF(F1="售价",ROUND(PRODUCT(V47,AC7:AC46),0),ROUND(PRODUCT(V47,AC7:AC46),1))</f>
        <v>27519</v>
      </c>
      <c r="W48" s="3206"/>
      <c r="X48" s="756"/>
      <c r="Y48" s="756"/>
      <c r="Z48" s="756"/>
      <c r="AA48" s="756"/>
      <c r="AB48" s="756"/>
      <c r="AC48" s="756"/>
    </row>
    <row r="49" spans="1:29" ht="15.75" thickBot="1">
      <c r="A49" s="492" t="s">
        <v>2668</v>
      </c>
      <c r="B49" s="493"/>
      <c r="C49" s="1417">
        <f>R49</f>
        <v>28047</v>
      </c>
      <c r="D49" s="1417"/>
      <c r="E49" s="1417"/>
      <c r="F49" s="1417"/>
      <c r="G49" s="1417"/>
      <c r="H49" s="1417"/>
      <c r="I49" s="1417"/>
      <c r="J49" s="1417"/>
      <c r="K49" s="782"/>
      <c r="L49" s="1143"/>
      <c r="M49" s="1144"/>
      <c r="N49" s="1131"/>
      <c r="O49" s="1144"/>
      <c r="P49" s="3207" t="str">
        <f>A49</f>
        <v>估价对象XX用房的比较价值（楼面单价，元/平方米）</v>
      </c>
      <c r="Q49" s="3208"/>
      <c r="R49" s="3209">
        <f>IF(F1="售价",ROUND(AVERAGE(R48:V48),0),ROUND(AVERAGE(R48:V48),1))</f>
        <v>28047</v>
      </c>
      <c r="S49" s="3209"/>
      <c r="T49" s="3209"/>
      <c r="U49" s="3209"/>
      <c r="V49" s="3209"/>
      <c r="W49" s="320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c r="P50" s="674"/>
      <c r="Q50" s="756"/>
      <c r="R50" s="756"/>
      <c r="S50" s="756"/>
      <c r="T50" s="756"/>
      <c r="U50" s="756"/>
      <c r="V50" s="756"/>
      <c r="W50" s="756"/>
      <c r="X50" s="756"/>
      <c r="Y50" s="756"/>
      <c r="Z50" s="756"/>
      <c r="AA50" s="756"/>
      <c r="AB50" s="756"/>
      <c r="AC50" s="756"/>
    </row>
    <row r="51" spans="1:29">
      <c r="A51" s="1144"/>
      <c r="B51" s="1144"/>
      <c r="C51" s="1144"/>
      <c r="D51" s="1144"/>
      <c r="E51" s="1144"/>
      <c r="F51" s="1144"/>
      <c r="G51" s="1144"/>
      <c r="H51" s="1144"/>
      <c r="I51" s="1144"/>
      <c r="J51" s="1144"/>
      <c r="K51" s="1105"/>
      <c r="L51" s="1106"/>
      <c r="M51" s="1144"/>
      <c r="N51" s="1144"/>
      <c r="O51" s="1144"/>
      <c r="P51" s="674"/>
      <c r="Q51" s="756"/>
      <c r="R51" s="756"/>
      <c r="S51" s="756"/>
      <c r="T51" s="756"/>
      <c r="U51" s="756"/>
      <c r="V51" s="756"/>
      <c r="W51" s="756"/>
      <c r="X51" s="756"/>
      <c r="Y51" s="756"/>
      <c r="Z51" s="756"/>
      <c r="AA51" s="756"/>
      <c r="AB51" s="756"/>
      <c r="AC51" s="756"/>
    </row>
    <row r="52" spans="1:29" ht="13.5" customHeight="1">
      <c r="A52" s="1144"/>
      <c r="B52" s="1144"/>
      <c r="C52" s="497" t="s">
        <v>2669</v>
      </c>
      <c r="D52" s="498"/>
      <c r="E52" s="499">
        <f>IF(E47&lt;E48,E48/E47-1,E47/E48-1)</f>
        <v>9.0378578024007394E-2</v>
      </c>
      <c r="F52" s="500" t="str">
        <f>IF(OR(E52&gt;=0.3,E52&lt;=-0.3),"超过30%","")</f>
        <v/>
      </c>
      <c r="G52" s="499">
        <f>IF(G47&lt;G48,G48/G47-1,G47/G48-1)</f>
        <v>0.20070851322927052</v>
      </c>
      <c r="H52" s="500" t="str">
        <f>IF(OR(G52&gt;=0.3,G52&lt;=-0.3),"超过30%","")</f>
        <v/>
      </c>
      <c r="I52" s="499">
        <f>IF(I47&lt;I48,I48/I47-1,I47/I48-1)</f>
        <v>0.12195210581779858</v>
      </c>
      <c r="J52" s="500" t="str">
        <f>IF(OR(I52&gt;=0.3,I52&lt;=-0.3),"超过30%","")</f>
        <v/>
      </c>
      <c r="K52" s="1105"/>
      <c r="L52" s="1106"/>
      <c r="M52" s="1144"/>
      <c r="N52" s="1144"/>
      <c r="O52" s="1144"/>
      <c r="P52" s="674"/>
      <c r="Q52" s="756"/>
      <c r="R52" s="756"/>
      <c r="S52" s="756"/>
      <c r="T52" s="756"/>
      <c r="U52" s="756"/>
      <c r="V52" s="756"/>
      <c r="W52" s="756"/>
      <c r="X52" s="756"/>
      <c r="Y52" s="756"/>
      <c r="Z52" s="756"/>
      <c r="AA52" s="756"/>
      <c r="AB52" s="756"/>
      <c r="AC52" s="756"/>
    </row>
    <row r="53" spans="1:29" ht="13.5" customHeight="1">
      <c r="A53" s="1144"/>
      <c r="B53" s="1144"/>
      <c r="C53" s="497" t="s">
        <v>2670</v>
      </c>
      <c r="D53" s="501"/>
      <c r="E53" s="499">
        <f>IF(E48&lt;G48,G48/E48-1,E48/G48-1)</f>
        <v>8.9412893464703602E-2</v>
      </c>
      <c r="F53" s="500" t="str">
        <f>IF(OR(E53&gt;=0.2,E53&lt;=-0.2),"超过20%","")</f>
        <v/>
      </c>
      <c r="G53" s="499">
        <f>IF(G48&lt;I48,I48/G48-1,G48/I48-1)</f>
        <v>1.5498726890291081E-2</v>
      </c>
      <c r="H53" s="500" t="str">
        <f>IF(OR(G53&gt;=0.2,G53&lt;=-0.2),"超过20%","")</f>
        <v/>
      </c>
      <c r="I53" s="499">
        <f>IF(I48&lt;E48,E48/I48-1,I48/E48-1)</f>
        <v>7.2786075075402357E-2</v>
      </c>
      <c r="J53" s="500" t="str">
        <f>IF(OR(I53&gt;=0.2,I53&lt;=-0.2),"超过20%","")</f>
        <v/>
      </c>
      <c r="K53" s="1105"/>
      <c r="L53" s="1106"/>
      <c r="M53" s="1144"/>
      <c r="N53" s="1144"/>
      <c r="O53" s="1144"/>
      <c r="P53" s="674"/>
      <c r="Q53" s="756"/>
      <c r="R53" s="756"/>
      <c r="S53" s="756"/>
      <c r="T53" s="756"/>
      <c r="U53" s="756"/>
      <c r="V53" s="756"/>
      <c r="W53" s="756"/>
      <c r="X53" s="756"/>
      <c r="Y53" s="756"/>
      <c r="Z53" s="756"/>
      <c r="AA53" s="756"/>
      <c r="AB53" s="756"/>
      <c r="AC53" s="756"/>
    </row>
    <row r="54" spans="1:29" s="502" customFormat="1" ht="13.5" customHeight="1">
      <c r="A54" s="1145"/>
      <c r="B54" s="1145"/>
      <c r="C54" s="497" t="s">
        <v>2671</v>
      </c>
      <c r="D54" s="501"/>
      <c r="E54" s="499">
        <f>IF(E47&lt;G47,G47/E47-1,E47/G47-1)</f>
        <v>0.20177285318559557</v>
      </c>
      <c r="F54" s="500" t="str">
        <f>IF(OR(E54&gt;=0.3,E54&lt;=-0.3),"超过30%","")</f>
        <v/>
      </c>
      <c r="G54" s="499">
        <f>IF(G47&lt;I47,I47/G47-1,G47/I47-1)</f>
        <v>5.3862348178137731E-2</v>
      </c>
      <c r="H54" s="500" t="str">
        <f>IF(OR(G54&gt;=0.3,G54&lt;=-0.3),"超过30%","")</f>
        <v/>
      </c>
      <c r="I54" s="499">
        <f>IF(I47&lt;E47,E47/I47-1,I47/E47-1)</f>
        <v>0.14035087719298245</v>
      </c>
      <c r="J54" s="500" t="str">
        <f>IF(OR(I54&gt;=0.3,I54&lt;=-0.3),"超过30%","")</f>
        <v/>
      </c>
      <c r="K54" s="1148"/>
      <c r="L54" s="1149"/>
      <c r="M54" s="1145"/>
      <c r="N54" s="1145"/>
      <c r="O54" s="1145"/>
      <c r="P54" s="2665"/>
      <c r="Q54" s="757"/>
      <c r="R54" s="757"/>
      <c r="S54" s="757"/>
      <c r="T54" s="757"/>
      <c r="U54" s="757"/>
      <c r="V54" s="757"/>
      <c r="W54" s="757"/>
      <c r="X54" s="757"/>
      <c r="Y54" s="757"/>
      <c r="Z54" s="757"/>
      <c r="AA54" s="757"/>
      <c r="AB54" s="757"/>
      <c r="AC54" s="757"/>
    </row>
    <row r="55" spans="1:29" s="502" customFormat="1">
      <c r="A55" s="1145"/>
      <c r="B55" s="1146"/>
      <c r="C55" s="1150"/>
      <c r="D55" s="1145"/>
      <c r="E55" s="1145"/>
      <c r="F55" s="1145"/>
      <c r="G55" s="1145"/>
      <c r="H55" s="1145"/>
      <c r="I55" s="1145"/>
      <c r="J55" s="1145"/>
      <c r="K55" s="1148"/>
      <c r="L55" s="1149"/>
      <c r="M55" s="1145"/>
      <c r="N55" s="1145"/>
      <c r="O55" s="1145"/>
      <c r="P55" s="2665"/>
      <c r="Q55" s="757"/>
      <c r="R55" s="757"/>
      <c r="S55" s="757"/>
      <c r="T55" s="757"/>
      <c r="U55" s="757"/>
      <c r="V55" s="757"/>
      <c r="W55" s="757"/>
      <c r="X55" s="757"/>
      <c r="Y55" s="757"/>
      <c r="Z55" s="757"/>
      <c r="AA55" s="757"/>
      <c r="AB55" s="757"/>
      <c r="AC55" s="757"/>
    </row>
    <row r="56" spans="1:29">
      <c r="A56" s="1144"/>
      <c r="B56" s="1146"/>
      <c r="C56" s="1150"/>
      <c r="D56" s="1144"/>
      <c r="E56" s="1144"/>
      <c r="F56" s="1144"/>
      <c r="G56" s="1144"/>
      <c r="H56" s="1144"/>
      <c r="I56" s="1144"/>
      <c r="J56" s="1144"/>
      <c r="K56" s="1105"/>
      <c r="L56" s="1106"/>
      <c r="M56" s="1144"/>
      <c r="N56" s="1144"/>
      <c r="O56" s="1144"/>
      <c r="P56" s="674"/>
      <c r="Q56" s="756"/>
      <c r="R56" s="756"/>
      <c r="S56" s="756"/>
      <c r="T56" s="756"/>
      <c r="U56" s="756"/>
      <c r="V56" s="756"/>
      <c r="W56" s="756"/>
      <c r="X56" s="756"/>
      <c r="Y56" s="756"/>
      <c r="Z56" s="756"/>
      <c r="AA56" s="756"/>
      <c r="AB56" s="756"/>
      <c r="AC56" s="756"/>
    </row>
    <row r="57" spans="1:29" ht="21.75" thickBot="1">
      <c r="A57" s="760" t="s">
        <v>2672</v>
      </c>
      <c r="B57" s="756"/>
      <c r="C57" s="761"/>
      <c r="D57" s="761"/>
      <c r="E57" s="761"/>
      <c r="F57" s="762"/>
      <c r="G57" s="762"/>
      <c r="H57" s="761"/>
      <c r="I57" s="761"/>
      <c r="J57" s="761"/>
      <c r="K57" s="763"/>
      <c r="L57" s="1161"/>
      <c r="M57" s="1159"/>
      <c r="N57" s="1159"/>
      <c r="O57" s="1159"/>
      <c r="P57" s="2666"/>
      <c r="Q57" s="2667"/>
      <c r="R57" s="756"/>
      <c r="S57" s="756"/>
      <c r="T57" s="756"/>
      <c r="U57" s="756"/>
      <c r="V57" s="756"/>
      <c r="W57" s="756"/>
      <c r="X57" s="756"/>
      <c r="Y57" s="756"/>
      <c r="Z57" s="756"/>
      <c r="AA57" s="756"/>
      <c r="AB57" s="756"/>
      <c r="AC57" s="756"/>
    </row>
    <row r="58" spans="1:29" s="508" customFormat="1" ht="15">
      <c r="A58" s="505" t="s">
        <v>2547</v>
      </c>
      <c r="B58" s="506"/>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2549</v>
      </c>
      <c r="B61" s="510"/>
      <c r="C61" s="522" t="s">
        <v>2651</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t="str">
        <f>C9</f>
        <v>商业</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3"/>
      <c r="O66" s="1153"/>
      <c r="P66" s="2629"/>
      <c r="Q66" s="504"/>
    </row>
    <row r="67" spans="1:17" ht="15.75" thickTop="1">
      <c r="A67" s="534"/>
      <c r="B67" s="546" t="s">
        <v>2557</v>
      </c>
      <c r="C67" s="547" t="str">
        <f>C68&amp;"（含）"&amp;"-"&amp;D68</f>
        <v>0（含）-2</v>
      </c>
      <c r="D67" s="547" t="str">
        <f t="shared" ref="D67:L67" si="17">D68&amp;"（含）"&amp;"-"&amp;E68</f>
        <v>2（含）-4</v>
      </c>
      <c r="E67" s="547" t="str">
        <f t="shared" si="17"/>
        <v>4（含）-6</v>
      </c>
      <c r="F67" s="547" t="str">
        <f t="shared" si="17"/>
        <v>6（含）-8</v>
      </c>
      <c r="G67" s="547" t="str">
        <f t="shared" si="17"/>
        <v>8（含）-10</v>
      </c>
      <c r="H67" s="547" t="str">
        <f t="shared" si="17"/>
        <v>10（含）-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v>0</v>
      </c>
      <c r="D68" s="549">
        <v>2</v>
      </c>
      <c r="E68" s="549">
        <v>4</v>
      </c>
      <c r="F68" s="549">
        <v>6</v>
      </c>
      <c r="G68" s="549">
        <v>8</v>
      </c>
      <c r="H68" s="549">
        <v>10</v>
      </c>
      <c r="I68" s="549"/>
      <c r="J68" s="549"/>
      <c r="K68" s="550"/>
      <c r="L68" s="551"/>
      <c r="M68" s="552"/>
      <c r="N68" s="1152"/>
      <c r="O68" s="1152"/>
      <c r="P68" s="2629"/>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3"/>
      <c r="O69" s="1153"/>
      <c r="P69" s="2629"/>
      <c r="Q69" s="504"/>
    </row>
    <row r="70" spans="1:17" s="471" customFormat="1" ht="15.75" hidden="1" thickTop="1">
      <c r="A70" s="553"/>
      <c r="B70" s="538">
        <f>B12</f>
        <v>111</v>
      </c>
      <c r="C70" s="554"/>
      <c r="D70" s="554"/>
      <c r="E70" s="554"/>
      <c r="F70" s="554"/>
      <c r="G70" s="554"/>
      <c r="H70" s="555"/>
      <c r="I70" s="555"/>
      <c r="J70" s="555"/>
      <c r="K70" s="555"/>
      <c r="L70" s="556"/>
      <c r="M70" s="557"/>
      <c r="N70" s="1154"/>
      <c r="O70" s="1154"/>
      <c r="P70" s="2630"/>
      <c r="Q70" s="559"/>
    </row>
    <row r="71" spans="1:17" s="471" customFormat="1" ht="15.75" hidden="1" thickBot="1">
      <c r="A71" s="553"/>
      <c r="B71" s="543"/>
      <c r="C71" s="560"/>
      <c r="D71" s="536"/>
      <c r="E71" s="536"/>
      <c r="F71" s="536"/>
      <c r="G71" s="536"/>
      <c r="H71" s="536"/>
      <c r="I71" s="536"/>
      <c r="J71" s="536"/>
      <c r="K71" s="536"/>
      <c r="L71" s="536"/>
      <c r="M71" s="537"/>
      <c r="N71" s="1153"/>
      <c r="O71" s="1153"/>
      <c r="P71" s="2630"/>
      <c r="Q71" s="559"/>
    </row>
    <row r="72" spans="1:17" s="471" customFormat="1" ht="15.75" hidden="1" thickTop="1">
      <c r="A72" s="553"/>
      <c r="B72" s="538">
        <f>B13</f>
        <v>111</v>
      </c>
      <c r="C72" s="554"/>
      <c r="D72" s="554"/>
      <c r="E72" s="554"/>
      <c r="F72" s="554"/>
      <c r="G72" s="554"/>
      <c r="H72" s="555"/>
      <c r="I72" s="555"/>
      <c r="J72" s="555"/>
      <c r="K72" s="555"/>
      <c r="L72" s="556"/>
      <c r="M72" s="557"/>
      <c r="N72" s="1154"/>
      <c r="O72" s="1154"/>
      <c r="P72" s="2631"/>
      <c r="Q72" s="561"/>
    </row>
    <row r="73" spans="1:17" s="471" customFormat="1" ht="15.75" hidden="1" thickBot="1">
      <c r="A73" s="553"/>
      <c r="B73" s="543"/>
      <c r="C73" s="560"/>
      <c r="D73" s="536"/>
      <c r="E73" s="536"/>
      <c r="F73" s="536"/>
      <c r="G73" s="560"/>
      <c r="H73" s="562"/>
      <c r="I73" s="562"/>
      <c r="J73" s="562"/>
      <c r="K73" s="562"/>
      <c r="L73" s="562"/>
      <c r="M73" s="563"/>
      <c r="N73" s="1154"/>
      <c r="O73" s="1154"/>
      <c r="P73" s="2630"/>
      <c r="Q73" s="559"/>
    </row>
    <row r="74" spans="1:17" s="471" customFormat="1" ht="15.75" hidden="1" thickTop="1">
      <c r="A74" s="553"/>
      <c r="B74" s="546">
        <f>B14</f>
        <v>111</v>
      </c>
      <c r="C74" s="554"/>
      <c r="D74" s="554"/>
      <c r="E74" s="554"/>
      <c r="F74" s="554"/>
      <c r="G74" s="523"/>
      <c r="H74" s="564"/>
      <c r="I74" s="564"/>
      <c r="J74" s="564"/>
      <c r="K74" s="564"/>
      <c r="L74" s="565"/>
      <c r="M74" s="566"/>
      <c r="N74" s="1154"/>
      <c r="O74" s="1154"/>
      <c r="P74" s="2632"/>
      <c r="Q74" s="559"/>
    </row>
    <row r="75" spans="1:17" s="471" customFormat="1" ht="15.75" hidden="1" thickBot="1">
      <c r="A75" s="568"/>
      <c r="B75" s="569"/>
      <c r="C75" s="570"/>
      <c r="D75" s="570"/>
      <c r="E75" s="570"/>
      <c r="F75" s="570"/>
      <c r="G75" s="570"/>
      <c r="H75" s="571"/>
      <c r="I75" s="571"/>
      <c r="J75" s="571"/>
      <c r="K75" s="571"/>
      <c r="L75" s="571"/>
      <c r="M75" s="572"/>
      <c r="N75" s="1154"/>
      <c r="O75" s="1154"/>
      <c r="P75" s="2630"/>
      <c r="Q75" s="559"/>
    </row>
    <row r="76" spans="1:17" ht="15" thickTop="1">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29"/>
      <c r="Q81" s="504"/>
    </row>
    <row r="82" spans="1:17" ht="15.75" thickTop="1">
      <c r="A82" s="534"/>
      <c r="B82" s="546" t="s">
        <v>2654</v>
      </c>
      <c r="C82" s="659" t="s">
        <v>2673</v>
      </c>
      <c r="D82" s="659" t="s">
        <v>2674</v>
      </c>
      <c r="E82" s="659" t="s">
        <v>2675</v>
      </c>
      <c r="F82" s="659" t="s">
        <v>2676</v>
      </c>
      <c r="G82" s="659" t="s">
        <v>2677</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59"/>
      <c r="I83" s="659"/>
      <c r="J83" s="659"/>
      <c r="K83" s="659"/>
      <c r="L83" s="659"/>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9"/>
      <c r="Q85" s="504"/>
    </row>
    <row r="86" spans="1:17" s="117" customFormat="1" ht="15.75" thickTop="1">
      <c r="A86" s="579"/>
      <c r="B86" s="538" t="s">
        <v>2678</v>
      </c>
      <c r="C86" s="2953" t="s">
        <v>3159</v>
      </c>
      <c r="D86" s="2953" t="s">
        <v>3160</v>
      </c>
      <c r="E86" s="2953" t="s">
        <v>3197</v>
      </c>
      <c r="F86" s="2953" t="s">
        <v>3162</v>
      </c>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3"/>
      <c r="O87" s="1153"/>
      <c r="P87" s="2629"/>
      <c r="Q87" s="504"/>
    </row>
    <row r="88" spans="1:17" s="117" customFormat="1" ht="15.75" thickTop="1">
      <c r="A88" s="579"/>
      <c r="B88" s="538" t="str">
        <f>B26</f>
        <v>可视性</v>
      </c>
      <c r="C88" s="2953" t="s">
        <v>3163</v>
      </c>
      <c r="D88" s="2953" t="s">
        <v>3164</v>
      </c>
      <c r="E88" s="2953" t="s">
        <v>3165</v>
      </c>
      <c r="F88" s="2954" t="s">
        <v>3166</v>
      </c>
      <c r="G88" s="2953" t="s">
        <v>3167</v>
      </c>
      <c r="H88" s="554"/>
      <c r="I88" s="554"/>
      <c r="J88" s="554"/>
      <c r="K88" s="554"/>
      <c r="L88" s="554"/>
      <c r="M88" s="581"/>
      <c r="N88" s="1151"/>
      <c r="O88" s="1151"/>
      <c r="P88" s="2629"/>
      <c r="Q88" s="504"/>
    </row>
    <row r="89" spans="1:17" s="117" customFormat="1" ht="15.75" thickBot="1">
      <c r="A89" s="579"/>
      <c r="B89" s="543"/>
      <c r="C89" s="560">
        <v>100</v>
      </c>
      <c r="D89" s="536">
        <v>98</v>
      </c>
      <c r="E89" s="536">
        <v>96</v>
      </c>
      <c r="F89" s="536">
        <v>94</v>
      </c>
      <c r="G89" s="536">
        <v>92</v>
      </c>
      <c r="H89" s="536"/>
      <c r="I89" s="536"/>
      <c r="J89" s="536"/>
      <c r="K89" s="536"/>
      <c r="L89" s="536"/>
      <c r="M89" s="536"/>
      <c r="N89" s="1153"/>
      <c r="O89" s="1153"/>
      <c r="P89" s="2629"/>
      <c r="Q89" s="504"/>
    </row>
    <row r="90" spans="1:17" s="471" customFormat="1" ht="15.75" thickTop="1">
      <c r="A90" s="553"/>
      <c r="B90" s="538" t="str">
        <f>B27</f>
        <v>人流量</v>
      </c>
      <c r="C90" s="2953" t="s">
        <v>3163</v>
      </c>
      <c r="D90" s="2953" t="s">
        <v>3164</v>
      </c>
      <c r="E90" s="2953" t="s">
        <v>3165</v>
      </c>
      <c r="F90" s="2954" t="s">
        <v>3166</v>
      </c>
      <c r="G90" s="2953" t="s">
        <v>3167</v>
      </c>
      <c r="H90" s="555"/>
      <c r="I90" s="555"/>
      <c r="J90" s="555"/>
      <c r="K90" s="555"/>
      <c r="L90" s="556"/>
      <c r="M90" s="557"/>
      <c r="N90" s="1154"/>
      <c r="O90" s="1154"/>
      <c r="P90" s="2630"/>
      <c r="Q90" s="559"/>
    </row>
    <row r="91" spans="1:17" s="471" customFormat="1" ht="15.75" thickBot="1">
      <c r="A91" s="553"/>
      <c r="B91" s="543"/>
      <c r="C91" s="582">
        <v>100</v>
      </c>
      <c r="D91" s="544">
        <f>C91-$K27</f>
        <v>95</v>
      </c>
      <c r="E91" s="544">
        <f t="shared" ref="E91:M91" si="21">D91-$K27</f>
        <v>90</v>
      </c>
      <c r="F91" s="544">
        <f t="shared" si="21"/>
        <v>85</v>
      </c>
      <c r="G91" s="544">
        <f t="shared" si="21"/>
        <v>80</v>
      </c>
      <c r="H91" s="544">
        <f t="shared" si="21"/>
        <v>75</v>
      </c>
      <c r="I91" s="544">
        <f t="shared" si="21"/>
        <v>70</v>
      </c>
      <c r="J91" s="544">
        <f t="shared" si="21"/>
        <v>65</v>
      </c>
      <c r="K91" s="544">
        <f t="shared" si="21"/>
        <v>60</v>
      </c>
      <c r="L91" s="544">
        <f t="shared" si="21"/>
        <v>55</v>
      </c>
      <c r="M91" s="544">
        <f t="shared" si="21"/>
        <v>50</v>
      </c>
      <c r="N91" s="1154"/>
      <c r="O91" s="1154"/>
      <c r="P91" s="2630"/>
      <c r="Q91" s="559"/>
    </row>
    <row r="92" spans="1:17" ht="15.75" thickTop="1">
      <c r="A92" s="534"/>
      <c r="B92" s="538" t="str">
        <f>B28</f>
        <v>楼层</v>
      </c>
      <c r="C92" s="554" t="s">
        <v>3168</v>
      </c>
      <c r="D92" s="554" t="s">
        <v>3169</v>
      </c>
      <c r="E92" s="554" t="s">
        <v>3170</v>
      </c>
      <c r="F92" s="554"/>
      <c r="G92" s="554"/>
      <c r="H92" s="554"/>
      <c r="I92" s="554"/>
      <c r="J92" s="554"/>
      <c r="K92" s="554"/>
      <c r="L92" s="580"/>
      <c r="M92" s="581"/>
      <c r="N92" s="1152"/>
      <c r="O92" s="1152"/>
      <c r="P92" s="2629"/>
      <c r="Q92" s="504"/>
    </row>
    <row r="93" spans="1:17" ht="15.75" thickBot="1">
      <c r="A93" s="534"/>
      <c r="B93" s="543"/>
      <c r="C93" s="536">
        <v>100</v>
      </c>
      <c r="D93" s="536">
        <v>80</v>
      </c>
      <c r="E93" s="536">
        <v>60</v>
      </c>
      <c r="F93" s="536"/>
      <c r="G93" s="536"/>
      <c r="H93" s="536"/>
      <c r="I93" s="536"/>
      <c r="J93" s="536"/>
      <c r="K93" s="536"/>
      <c r="L93" s="536"/>
      <c r="M93" s="537"/>
      <c r="N93" s="1153"/>
      <c r="O93" s="1153"/>
      <c r="P93" s="2629"/>
      <c r="Q93" s="504"/>
    </row>
    <row r="94" spans="1:17" ht="15.75" hidden="1" thickTop="1">
      <c r="A94" s="534"/>
      <c r="B94" s="538">
        <f>B29</f>
        <v>111</v>
      </c>
      <c r="C94" s="554"/>
      <c r="D94" s="554"/>
      <c r="E94" s="554"/>
      <c r="F94" s="554"/>
      <c r="G94" s="583"/>
      <c r="H94" s="583"/>
      <c r="I94" s="583"/>
      <c r="J94" s="583"/>
      <c r="K94" s="584"/>
      <c r="L94" s="585"/>
      <c r="M94" s="586"/>
      <c r="N94" s="1152"/>
      <c r="O94" s="1152"/>
      <c r="P94" s="2629"/>
      <c r="Q94" s="504"/>
    </row>
    <row r="95" spans="1:17" ht="15.75" hidden="1" thickBot="1">
      <c r="A95" s="534"/>
      <c r="B95" s="543"/>
      <c r="C95" s="560"/>
      <c r="D95" s="536"/>
      <c r="E95" s="536"/>
      <c r="F95" s="536"/>
      <c r="G95" s="536"/>
      <c r="H95" s="536"/>
      <c r="I95" s="536"/>
      <c r="J95" s="536"/>
      <c r="K95" s="536"/>
      <c r="L95" s="536"/>
      <c r="M95" s="537"/>
      <c r="N95" s="1153"/>
      <c r="O95" s="1153"/>
      <c r="P95" s="2629"/>
      <c r="Q95" s="504"/>
    </row>
    <row r="96" spans="1:17" ht="15.75" hidden="1" thickTop="1">
      <c r="A96" s="534"/>
      <c r="B96" s="538">
        <f>B30</f>
        <v>111</v>
      </c>
      <c r="C96" s="554"/>
      <c r="D96" s="554"/>
      <c r="E96" s="554"/>
      <c r="F96" s="554"/>
      <c r="G96" s="583"/>
      <c r="H96" s="583"/>
      <c r="I96" s="583"/>
      <c r="J96" s="583"/>
      <c r="K96" s="584"/>
      <c r="L96" s="585"/>
      <c r="M96" s="586"/>
      <c r="N96" s="1152"/>
      <c r="O96" s="1152"/>
      <c r="P96" s="2629"/>
      <c r="Q96" s="504"/>
    </row>
    <row r="97" spans="1:17" ht="15.75" hidden="1" thickBot="1">
      <c r="A97" s="534"/>
      <c r="B97" s="543"/>
      <c r="C97" s="560"/>
      <c r="D97" s="536"/>
      <c r="E97" s="536"/>
      <c r="F97" s="536"/>
      <c r="G97" s="536"/>
      <c r="H97" s="536"/>
      <c r="I97" s="536"/>
      <c r="J97" s="536"/>
      <c r="K97" s="536"/>
      <c r="L97" s="536"/>
      <c r="M97" s="537"/>
      <c r="N97" s="1153"/>
      <c r="O97" s="1153"/>
      <c r="P97" s="2629"/>
      <c r="Q97" s="504"/>
    </row>
    <row r="98" spans="1:17" ht="15.75" hidden="1" thickTop="1">
      <c r="A98" s="534"/>
      <c r="B98" s="546">
        <f>B31</f>
        <v>111</v>
      </c>
      <c r="C98" s="554"/>
      <c r="D98" s="554"/>
      <c r="E98" s="554"/>
      <c r="F98" s="554"/>
      <c r="G98" s="587"/>
      <c r="H98" s="587"/>
      <c r="I98" s="587"/>
      <c r="J98" s="587"/>
      <c r="K98" s="588"/>
      <c r="L98" s="589"/>
      <c r="M98" s="590"/>
      <c r="N98" s="1152"/>
      <c r="O98" s="1152"/>
      <c r="P98" s="2629"/>
      <c r="Q98" s="504"/>
    </row>
    <row r="99" spans="1:17" ht="15.75" hidden="1" thickBot="1">
      <c r="A99" s="2635"/>
      <c r="B99" s="569"/>
      <c r="C99" s="570"/>
      <c r="D99" s="570"/>
      <c r="E99" s="570"/>
      <c r="F99" s="570"/>
      <c r="G99" s="591"/>
      <c r="H99" s="591"/>
      <c r="I99" s="591"/>
      <c r="J99" s="591"/>
      <c r="K99" s="591"/>
      <c r="L99" s="591"/>
      <c r="M99" s="592"/>
      <c r="N99" s="1153"/>
      <c r="O99" s="1153"/>
      <c r="P99" s="2629"/>
      <c r="Q99" s="504"/>
    </row>
    <row r="100" spans="1:17" ht="15" thickTop="1">
      <c r="A100" s="527" t="s">
        <v>2562</v>
      </c>
      <c r="B100" s="528" t="s">
        <v>2679</v>
      </c>
      <c r="C100" s="2955" t="s">
        <v>3171</v>
      </c>
      <c r="D100" s="2955" t="s">
        <v>3172</v>
      </c>
      <c r="E100" s="2955" t="s">
        <v>3174</v>
      </c>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3"/>
      <c r="O101" s="1153"/>
      <c r="P101" s="2629"/>
      <c r="Q101" s="504"/>
    </row>
    <row r="102" spans="1:17" ht="29.25" hidden="1" thickTop="1">
      <c r="A102" s="534"/>
      <c r="B102" s="538" t="s">
        <v>2612</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1"/>
      <c r="O102" s="1151"/>
      <c r="P102" s="2629"/>
      <c r="Q102" s="504"/>
    </row>
    <row r="103" spans="1:17" s="471" customFormat="1" hidden="1">
      <c r="A103" s="593"/>
      <c r="B103" s="594"/>
      <c r="C103" s="595">
        <v>0</v>
      </c>
      <c r="D103" s="595">
        <v>100000</v>
      </c>
      <c r="E103" s="595">
        <v>200000</v>
      </c>
      <c r="F103" s="595">
        <v>300000</v>
      </c>
      <c r="G103" s="595">
        <v>400000</v>
      </c>
      <c r="H103" s="595">
        <v>500000</v>
      </c>
      <c r="I103" s="595"/>
      <c r="J103" s="596"/>
      <c r="K103" s="596"/>
      <c r="L103" s="597"/>
      <c r="M103" s="598"/>
      <c r="N103" s="1154"/>
      <c r="O103" s="1154"/>
      <c r="P103" s="2630"/>
      <c r="Q103" s="559"/>
    </row>
    <row r="104" spans="1:17" s="471" customFormat="1" ht="15.75" hidden="1" thickBot="1">
      <c r="A104" s="553"/>
      <c r="B104" s="543"/>
      <c r="C104" s="560">
        <v>100</v>
      </c>
      <c r="D104" s="536">
        <v>101</v>
      </c>
      <c r="E104" s="536">
        <v>102</v>
      </c>
      <c r="F104" s="536">
        <v>103</v>
      </c>
      <c r="G104" s="536">
        <v>104</v>
      </c>
      <c r="H104" s="536">
        <v>105</v>
      </c>
      <c r="I104" s="536"/>
      <c r="J104" s="536"/>
      <c r="K104" s="536"/>
      <c r="L104" s="536"/>
      <c r="M104" s="537"/>
      <c r="N104" s="1153"/>
      <c r="O104" s="1153"/>
      <c r="P104" s="2630"/>
      <c r="Q104" s="559"/>
    </row>
    <row r="105" spans="1:17" ht="15" thickTop="1">
      <c r="A105" s="599"/>
      <c r="B105" s="538" t="s">
        <v>2613</v>
      </c>
      <c r="C105" s="2953" t="s">
        <v>3175</v>
      </c>
      <c r="D105" s="2953" t="s">
        <v>3176</v>
      </c>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2615</v>
      </c>
      <c r="C107" s="2953" t="s">
        <v>3177</v>
      </c>
      <c r="D107" s="2953" t="s">
        <v>3179</v>
      </c>
      <c r="E107" s="2953" t="s">
        <v>3181</v>
      </c>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2"/>
      <c r="J110" s="622"/>
      <c r="K110" s="623"/>
      <c r="L110" s="624"/>
      <c r="M110" s="625"/>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2617</v>
      </c>
      <c r="C112" s="2953" t="s">
        <v>3182</v>
      </c>
      <c r="D112" s="2953" t="s">
        <v>3183</v>
      </c>
      <c r="E112" s="2953" t="s">
        <v>3184</v>
      </c>
      <c r="F112" s="2953" t="s">
        <v>3185</v>
      </c>
      <c r="G112" s="2953" t="s">
        <v>3186</v>
      </c>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2680</v>
      </c>
      <c r="C114" s="2953" t="s">
        <v>3188</v>
      </c>
      <c r="D114" s="2953" t="s">
        <v>3190</v>
      </c>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3"/>
      <c r="O115" s="1153"/>
      <c r="P115" s="2629"/>
      <c r="Q115" s="504"/>
    </row>
    <row r="116" spans="1:17" ht="15" thickTop="1">
      <c r="A116" s="599"/>
      <c r="B116" s="538" t="s">
        <v>2681</v>
      </c>
      <c r="C116" s="2953" t="s">
        <v>3192</v>
      </c>
      <c r="D116" s="2953" t="s">
        <v>3194</v>
      </c>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9"/>
      <c r="Q117" s="504"/>
    </row>
    <row r="118" spans="1:17" ht="15" thickTop="1">
      <c r="A118" s="599"/>
      <c r="B118" s="538" t="s">
        <v>2682</v>
      </c>
      <c r="C118" s="2956" t="s">
        <v>3243</v>
      </c>
      <c r="D118" s="626" t="s">
        <v>3244</v>
      </c>
      <c r="E118" s="626" t="s">
        <v>3245</v>
      </c>
      <c r="F118" s="626" t="s">
        <v>3246</v>
      </c>
      <c r="G118" s="626" t="s">
        <v>3247</v>
      </c>
      <c r="H118" s="555"/>
      <c r="I118" s="555"/>
      <c r="J118" s="555"/>
      <c r="K118" s="555"/>
      <c r="L118" s="556"/>
      <c r="M118" s="557"/>
      <c r="N118" s="1152"/>
      <c r="O118" s="1152"/>
      <c r="P118" s="2629"/>
      <c r="Q118" s="504"/>
    </row>
    <row r="119" spans="1:17" ht="15.75" thickBot="1">
      <c r="A119" s="534"/>
      <c r="B119" s="543"/>
      <c r="C119" s="560">
        <v>100</v>
      </c>
      <c r="D119" s="536">
        <v>95</v>
      </c>
      <c r="E119" s="536">
        <v>90</v>
      </c>
      <c r="F119" s="536">
        <v>85</v>
      </c>
      <c r="G119" s="536">
        <v>80</v>
      </c>
      <c r="H119" s="536"/>
      <c r="I119" s="536"/>
      <c r="J119" s="536"/>
      <c r="K119" s="536"/>
      <c r="L119" s="536"/>
      <c r="M119" s="537"/>
      <c r="N119" s="1153"/>
      <c r="O119" s="1153"/>
      <c r="P119" s="2629"/>
      <c r="Q119" s="504"/>
    </row>
    <row r="120" spans="1:17" s="471" customFormat="1" ht="15" thickTop="1">
      <c r="A120" s="593"/>
      <c r="B120" s="538" t="s">
        <v>2683</v>
      </c>
      <c r="C120" s="2953" t="s">
        <v>3163</v>
      </c>
      <c r="D120" s="2953" t="s">
        <v>3164</v>
      </c>
      <c r="E120" s="2953" t="s">
        <v>3165</v>
      </c>
      <c r="F120" s="2954" t="s">
        <v>3166</v>
      </c>
      <c r="G120" s="2953" t="s">
        <v>3167</v>
      </c>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2619</v>
      </c>
      <c r="C122" s="2953" t="s">
        <v>3177</v>
      </c>
      <c r="D122" s="2953" t="s">
        <v>3195</v>
      </c>
      <c r="E122" s="2953" t="s">
        <v>3181</v>
      </c>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hidden="1"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hidden="1" thickBot="1">
      <c r="A127" s="553"/>
      <c r="B127" s="543"/>
      <c r="C127" s="560"/>
      <c r="D127" s="536"/>
      <c r="E127" s="536"/>
      <c r="F127" s="536"/>
      <c r="G127" s="560"/>
      <c r="H127" s="562"/>
      <c r="I127" s="562"/>
      <c r="J127" s="562"/>
      <c r="K127" s="562"/>
      <c r="L127" s="562"/>
      <c r="M127" s="563"/>
      <c r="N127" s="1154"/>
      <c r="O127" s="1154"/>
      <c r="P127" s="2630"/>
      <c r="Q127" s="559"/>
    </row>
    <row r="128" spans="1:17" ht="15" hidden="1" thickTop="1">
      <c r="A128" s="599"/>
      <c r="B128" s="538">
        <f>B45</f>
        <v>111</v>
      </c>
      <c r="C128" s="554"/>
      <c r="D128" s="554"/>
      <c r="E128" s="554"/>
      <c r="F128" s="554"/>
      <c r="G128" s="583"/>
      <c r="H128" s="583"/>
      <c r="I128" s="583"/>
      <c r="J128" s="583"/>
      <c r="K128" s="584"/>
      <c r="L128" s="585"/>
      <c r="M128" s="586"/>
      <c r="N128" s="1152"/>
      <c r="O128" s="1152"/>
      <c r="P128" s="2629"/>
      <c r="Q128" s="504"/>
    </row>
    <row r="129" spans="1:17" ht="15.75" hidden="1" thickBot="1">
      <c r="A129" s="534"/>
      <c r="B129" s="543"/>
      <c r="C129" s="560"/>
      <c r="D129" s="536"/>
      <c r="E129" s="536"/>
      <c r="F129" s="536"/>
      <c r="G129" s="536"/>
      <c r="H129" s="536"/>
      <c r="I129" s="536"/>
      <c r="J129" s="536"/>
      <c r="K129" s="536"/>
      <c r="L129" s="536"/>
      <c r="M129" s="537"/>
      <c r="N129" s="1153"/>
      <c r="O129" s="1153"/>
      <c r="P129" s="2629"/>
      <c r="Q129" s="504"/>
    </row>
    <row r="130" spans="1:17" ht="15" hidden="1" thickTop="1">
      <c r="A130" s="599"/>
      <c r="B130" s="546">
        <f>B46</f>
        <v>111</v>
      </c>
      <c r="C130" s="554"/>
      <c r="D130" s="554"/>
      <c r="E130" s="554"/>
      <c r="F130" s="554"/>
      <c r="G130" s="587"/>
      <c r="H130" s="587"/>
      <c r="I130" s="587"/>
      <c r="J130" s="587"/>
      <c r="K130" s="523"/>
      <c r="L130" s="524"/>
      <c r="M130" s="590"/>
      <c r="N130" s="1152"/>
      <c r="O130" s="1152"/>
      <c r="P130" s="2629"/>
      <c r="Q130" s="504"/>
    </row>
    <row r="131" spans="1:17" ht="15.75" hidden="1" thickBot="1">
      <c r="A131" s="2635"/>
      <c r="B131" s="569"/>
      <c r="C131" s="570"/>
      <c r="D131" s="570"/>
      <c r="E131" s="570"/>
      <c r="F131" s="570"/>
      <c r="G131" s="591"/>
      <c r="H131" s="591"/>
      <c r="I131" s="591"/>
      <c r="J131" s="591"/>
      <c r="K131" s="591"/>
      <c r="L131" s="591"/>
      <c r="M131" s="592"/>
      <c r="N131" s="1153"/>
      <c r="O131" s="1153"/>
      <c r="P131" s="2629"/>
      <c r="Q131" s="504"/>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85" zoomScaleNormal="85" zoomScaleSheetLayoutView="90" workbookViewId="0">
      <selection activeCell="B3" sqref="B3"/>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79"/>
      <c r="C1" s="1837" t="s">
        <v>3145</v>
      </c>
      <c r="D1" s="1820" t="s">
        <v>70</v>
      </c>
      <c r="E1" s="1821" t="s">
        <v>1387</v>
      </c>
      <c r="F1" s="1283">
        <f ca="1">J53</f>
        <v>28.87</v>
      </c>
      <c r="G1" s="1836">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3" t="s">
        <v>1590</v>
      </c>
      <c r="B2" s="1844">
        <f ca="1">ROUND(D2/10000,0)</f>
        <v>103</v>
      </c>
      <c r="C2" s="1845" t="s">
        <v>1591</v>
      </c>
      <c r="D2" s="1938">
        <f ca="1">C40+J29+L46</f>
        <v>1029462</v>
      </c>
      <c r="E2" s="1846" t="s">
        <v>1592</v>
      </c>
      <c r="F2" s="1847"/>
      <c r="G2" s="1848"/>
      <c r="H2" s="1840"/>
      <c r="I2" s="1840"/>
      <c r="J2" s="1840"/>
      <c r="K2" s="1841"/>
      <c r="L2" s="1840"/>
      <c r="M2" s="1840"/>
    </row>
    <row r="3" spans="1:37" ht="18" customHeight="1" thickBot="1">
      <c r="A3" s="1849" t="s">
        <v>1593</v>
      </c>
      <c r="B3" s="1850">
        <f ca="1">IF(ISERROR(D2/F43),0,ROUND(D2/F43,0))</f>
        <v>18879</v>
      </c>
      <c r="C3" s="1845" t="s">
        <v>1594</v>
      </c>
      <c r="D3" s="1845"/>
      <c r="E3" s="1846"/>
      <c r="F3" s="1847"/>
      <c r="G3" s="1848"/>
      <c r="H3" s="741"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2">
        <f ca="1">C6+C10+C12</f>
        <v>62774</v>
      </c>
      <c r="D5" s="1822" t="s">
        <v>1601</v>
      </c>
      <c r="E5" s="1293"/>
      <c r="F5" s="1294"/>
      <c r="G5" s="1851"/>
      <c r="H5" s="344">
        <v>1</v>
      </c>
      <c r="I5" s="345" t="s">
        <v>1600</v>
      </c>
      <c r="J5" s="1292">
        <f ca="1">J6+J10+J12</f>
        <v>0</v>
      </c>
      <c r="K5" s="1822" t="s">
        <v>1601</v>
      </c>
      <c r="L5" s="1293"/>
      <c r="M5" s="1294"/>
    </row>
    <row r="6" spans="1:37" ht="18" customHeight="1">
      <c r="A6" s="1291" t="s">
        <v>1035</v>
      </c>
      <c r="B6" s="3159" t="s">
        <v>1403</v>
      </c>
      <c r="C6" s="1296">
        <f ca="1">ROUND(F6*F8*F7*(1-F9),0)</f>
        <v>62696</v>
      </c>
      <c r="D6" s="164" t="s">
        <v>3025</v>
      </c>
      <c r="E6" s="347" t="s">
        <v>1405</v>
      </c>
      <c r="F6" s="348">
        <f ca="1">INDIRECT("'数据-取费表'!u"&amp;$G$1)</f>
        <v>3.5</v>
      </c>
      <c r="G6" s="1851"/>
      <c r="H6" s="1291" t="s">
        <v>1035</v>
      </c>
      <c r="I6" s="3159" t="s">
        <v>1403</v>
      </c>
      <c r="J6" s="346">
        <f ca="1">ROUND(M6*M8*M7*(1-M9),0)</f>
        <v>0</v>
      </c>
      <c r="K6" s="1834" t="s">
        <v>3026</v>
      </c>
      <c r="L6" s="347" t="s">
        <v>1405</v>
      </c>
      <c r="M6" s="348">
        <f ca="1">INDIRECT("'数据-取费表'!z"&amp;$G$1)</f>
        <v>0</v>
      </c>
    </row>
    <row r="7" spans="1:37" ht="18" customHeight="1">
      <c r="A7" s="1295"/>
      <c r="B7" s="3160"/>
      <c r="C7" s="1297"/>
      <c r="D7" s="352"/>
      <c r="E7" s="1298" t="s">
        <v>1406</v>
      </c>
      <c r="F7" s="348">
        <f ca="1">IF(INDIRECT("'数据-取费表'!ah"&amp;$G$1)="",INDIRECT("'数据-取费表'!k"&amp;$G$1),INDIRECT("'数据-取费表'!ah"&amp;$G$1))</f>
        <v>54.53</v>
      </c>
      <c r="G7" s="1851"/>
      <c r="H7" s="349"/>
      <c r="I7" s="3160"/>
      <c r="J7" s="351"/>
      <c r="K7" s="352"/>
      <c r="L7" s="347" t="s">
        <v>1406</v>
      </c>
      <c r="M7" s="348">
        <f ca="1">F7</f>
        <v>54.53</v>
      </c>
    </row>
    <row r="8" spans="1:37" ht="18" customHeight="1">
      <c r="A8" s="349"/>
      <c r="B8" s="3160"/>
      <c r="C8" s="351"/>
      <c r="D8" s="352"/>
      <c r="E8" s="347" t="s">
        <v>1407</v>
      </c>
      <c r="F8" s="348">
        <f ca="1">INDIRECT("'数据-取费表'!ai"&amp;$G$1)</f>
        <v>365</v>
      </c>
      <c r="G8" s="1851"/>
      <c r="H8" s="349"/>
      <c r="I8" s="3160"/>
      <c r="J8" s="351"/>
      <c r="K8" s="352"/>
      <c r="L8" s="347" t="s">
        <v>1407</v>
      </c>
      <c r="M8" s="348">
        <f ca="1">INDIRECT("'数据-取费表'!ai"&amp;$G$1)</f>
        <v>365</v>
      </c>
    </row>
    <row r="9" spans="1:37" ht="18" customHeight="1">
      <c r="A9" s="349"/>
      <c r="B9" s="3161"/>
      <c r="C9" s="351"/>
      <c r="D9" s="352"/>
      <c r="E9" s="347" t="s">
        <v>1408</v>
      </c>
      <c r="F9" s="357">
        <f ca="1">INDIRECT("'数据-取费表'!w"&amp;$G$1)</f>
        <v>0.1</v>
      </c>
      <c r="G9" s="1851"/>
      <c r="H9" s="349"/>
      <c r="I9" s="3161"/>
      <c r="J9" s="351"/>
      <c r="K9" s="352"/>
      <c r="L9" s="358" t="s">
        <v>1408</v>
      </c>
      <c r="M9" s="359">
        <f ca="1">INDIRECT("'数据-取费表'!ab"&amp;$G$1)</f>
        <v>0</v>
      </c>
    </row>
    <row r="10" spans="1:37" ht="18" customHeight="1">
      <c r="A10" s="1291" t="s">
        <v>1039</v>
      </c>
      <c r="B10" s="1823" t="s">
        <v>1409</v>
      </c>
      <c r="C10" s="361">
        <f ca="1">ROUND(IF(F10="押一",C6/12*F11,IF(F10="押二",C6/12*2*F11,IF(F10="押三",C6/12*3*F11,C11*F11))),0)</f>
        <v>78</v>
      </c>
      <c r="D10" s="1824" t="s">
        <v>3036</v>
      </c>
      <c r="E10" s="358" t="s">
        <v>1410</v>
      </c>
      <c r="F10" s="1366" t="s">
        <v>3146</v>
      </c>
      <c r="G10" s="1851"/>
      <c r="H10" s="1291" t="s">
        <v>1039</v>
      </c>
      <c r="I10" s="1823" t="s">
        <v>1409</v>
      </c>
      <c r="J10" s="346">
        <f ca="1">ROUND(IF(M10="押一",J6/12*M11,IF(M10="押二",J6/12*2*M11,IF(M10="押三",J6/12*3*M11,J11*M11))),0)</f>
        <v>0</v>
      </c>
      <c r="K10" s="1835" t="s">
        <v>3038</v>
      </c>
      <c r="L10" s="358" t="s">
        <v>1410</v>
      </c>
      <c r="M10" s="1366"/>
    </row>
    <row r="11" spans="1:37" ht="18" customHeight="1">
      <c r="A11" s="353"/>
      <c r="B11" s="1825" t="s">
        <v>1602</v>
      </c>
      <c r="C11" s="1178"/>
      <c r="D11" s="352"/>
      <c r="E11" s="358" t="s">
        <v>1412</v>
      </c>
      <c r="F11" s="359">
        <f ca="1">'数据-取费表'!B39</f>
        <v>1.4999999999999999E-2</v>
      </c>
      <c r="G11" s="1851"/>
      <c r="H11" s="1299"/>
      <c r="I11" s="1825" t="s">
        <v>1603</v>
      </c>
      <c r="J11" s="1178"/>
      <c r="K11" s="745"/>
      <c r="L11" s="358" t="s">
        <v>1412</v>
      </c>
      <c r="M11" s="1056">
        <f ca="1">'数据-取费表'!B39</f>
        <v>1.4999999999999999E-2</v>
      </c>
    </row>
    <row r="12" spans="1:37" ht="18" customHeight="1" thickBot="1">
      <c r="A12" s="1333" t="s">
        <v>1075</v>
      </c>
      <c r="B12" s="1827" t="s">
        <v>1413</v>
      </c>
      <c r="C12" s="1334"/>
      <c r="D12" s="1335"/>
      <c r="E12" s="1340"/>
      <c r="F12" s="1336"/>
      <c r="G12" s="1851"/>
      <c r="H12" s="1333" t="s">
        <v>1075</v>
      </c>
      <c r="I12" s="1827" t="s">
        <v>1413</v>
      </c>
      <c r="J12" s="1334"/>
      <c r="K12" s="1348"/>
      <c r="L12" s="1340"/>
      <c r="M12" s="1349"/>
    </row>
    <row r="13" spans="1:37" ht="18" customHeight="1" thickTop="1">
      <c r="A13" s="1329">
        <v>2</v>
      </c>
      <c r="B13" s="1330" t="s">
        <v>1414</v>
      </c>
      <c r="C13" s="355">
        <f ca="1">ROUND(C29*F13,0)</f>
        <v>185007</v>
      </c>
      <c r="D13" s="1331" t="s">
        <v>1415</v>
      </c>
      <c r="E13" s="1331" t="s">
        <v>1416</v>
      </c>
      <c r="F13" s="1332">
        <f ca="1">INDIRECT("'数据-取费表'!y"&amp;$G$1)</f>
        <v>0.98</v>
      </c>
      <c r="G13" s="1851"/>
      <c r="H13" s="1329">
        <v>2</v>
      </c>
      <c r="I13" s="1330" t="s">
        <v>1414</v>
      </c>
      <c r="J13" s="1290">
        <f ca="1">ROUND(J14*J15,0)</f>
        <v>0</v>
      </c>
      <c r="K13" s="1337" t="s">
        <v>1415</v>
      </c>
      <c r="L13" s="1852"/>
      <c r="M13" s="1853"/>
    </row>
    <row r="14" spans="1:37" ht="18" customHeight="1">
      <c r="A14" s="1201" t="s">
        <v>1034</v>
      </c>
      <c r="B14" s="347" t="s">
        <v>1417</v>
      </c>
      <c r="C14" s="363">
        <f ca="1">ROUND(INDIRECT("'数据-取费表'!l"&amp;$G$1)*F43+'数据-取费表'!L14*INDIRECT("'数据-取费表'!S"&amp;$G$1),0)</f>
        <v>119966</v>
      </c>
      <c r="D14" s="1800" t="s">
        <v>1418</v>
      </c>
      <c r="E14" s="1794"/>
      <c r="F14" s="364"/>
      <c r="G14" s="1851"/>
      <c r="H14" s="1201" t="s">
        <v>1035</v>
      </c>
      <c r="I14" s="347" t="s">
        <v>1419</v>
      </c>
      <c r="J14" s="24">
        <f ca="1">C29</f>
        <v>188783</v>
      </c>
      <c r="K14" s="15"/>
      <c r="L14" s="979"/>
      <c r="M14" s="980"/>
    </row>
    <row r="15" spans="1:37" s="1858" customFormat="1" ht="18" customHeight="1" thickBot="1">
      <c r="A15" s="1201" t="s">
        <v>1036</v>
      </c>
      <c r="B15" s="347" t="s">
        <v>1420</v>
      </c>
      <c r="C15" s="24">
        <f ca="1">ROUND(C14*F15,0)</f>
        <v>3599</v>
      </c>
      <c r="D15" s="365" t="s">
        <v>1421</v>
      </c>
      <c r="E15" s="365" t="s">
        <v>1422</v>
      </c>
      <c r="F15" s="366">
        <f>'数据-取费表'!B33</f>
        <v>0.03</v>
      </c>
      <c r="G15" s="1854"/>
      <c r="H15" s="1339" t="s">
        <v>1039</v>
      </c>
      <c r="I15" s="1340" t="s">
        <v>1416</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1389</v>
      </c>
      <c r="B16" s="347" t="s">
        <v>1423</v>
      </c>
      <c r="C16" s="24">
        <f ca="1">ROUND(INDIRECT("'数据-取费表'!l"&amp;$G$1)*F43*F16,0)</f>
        <v>0</v>
      </c>
      <c r="D16" s="347" t="s">
        <v>1421</v>
      </c>
      <c r="E16" s="347" t="s">
        <v>1422</v>
      </c>
      <c r="F16" s="367">
        <f ca="1">IF(INDIRECT("'数据-取费表'!c"&amp;$G$1)="住宅",'数据-取费表'!B34,0)</f>
        <v>0</v>
      </c>
      <c r="G16" s="1851"/>
      <c r="H16" s="1329" t="s">
        <v>1030</v>
      </c>
      <c r="I16" s="1330" t="s">
        <v>1424</v>
      </c>
      <c r="J16" s="355">
        <f ca="1">ROUND(J17+J22+J23+J24,0)</f>
        <v>4444</v>
      </c>
      <c r="K16" s="1337" t="s">
        <v>1425</v>
      </c>
      <c r="L16" s="1338"/>
      <c r="M16" s="1294"/>
    </row>
    <row r="17" spans="1:37" s="1858" customFormat="1" ht="18" customHeight="1">
      <c r="A17" s="1201" t="s">
        <v>1390</v>
      </c>
      <c r="B17" s="347" t="s">
        <v>1426</v>
      </c>
      <c r="C17" s="24">
        <f ca="1">ROUND(F17*(F43+INDIRECT("'数据-取费表'!S"&amp;$G$1)),0)</f>
        <v>10906</v>
      </c>
      <c r="D17" s="347" t="s">
        <v>1427</v>
      </c>
      <c r="E17" s="347" t="s">
        <v>1428</v>
      </c>
      <c r="F17" s="26">
        <f>'数据-取费表'!B35</f>
        <v>200</v>
      </c>
      <c r="G17" s="1854"/>
      <c r="H17" s="1201" t="s">
        <v>1035</v>
      </c>
      <c r="I17" s="347" t="s">
        <v>1429</v>
      </c>
      <c r="J17" s="24">
        <f ca="1">ROUND(IF(项目基本情况!B11="自然人",J5*M17,J18+J19+J20),0)</f>
        <v>1612</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1391</v>
      </c>
      <c r="B18" s="347" t="s">
        <v>1432</v>
      </c>
      <c r="C18" s="24">
        <f ca="1">ROUND(C14*F18,0)</f>
        <v>1799</v>
      </c>
      <c r="D18" s="347" t="s">
        <v>1421</v>
      </c>
      <c r="E18" s="347" t="s">
        <v>1422</v>
      </c>
      <c r="F18" s="367">
        <f>'数据-取费表'!B36</f>
        <v>1.4999999999999999E-2</v>
      </c>
      <c r="G18" s="1854"/>
      <c r="H18" s="1201" t="s">
        <v>1034</v>
      </c>
      <c r="I18" s="347" t="s">
        <v>1433</v>
      </c>
      <c r="J18" s="24">
        <f ca="1">ROUND(J5*M18/(1+'数据-取费表'!C42),0)</f>
        <v>0</v>
      </c>
      <c r="K18" s="1798" t="s">
        <v>1434</v>
      </c>
      <c r="L18" s="347" t="s">
        <v>1422</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7" t="s">
        <v>1435</v>
      </c>
      <c r="C19" s="24">
        <f ca="1">SUM(C14:C18)</f>
        <v>136270</v>
      </c>
      <c r="D19" s="140" t="s">
        <v>1436</v>
      </c>
      <c r="E19" s="1818"/>
      <c r="F19" s="26"/>
      <c r="G19" s="1851"/>
      <c r="H19" s="1201" t="s">
        <v>1036</v>
      </c>
      <c r="I19" s="347" t="s">
        <v>1437</v>
      </c>
      <c r="J19" s="24">
        <f ca="1">IF(K19="按租金收入计税",ROUND(J5*M19,0),ROUND(C29*M19*0.7,0))</f>
        <v>1586</v>
      </c>
      <c r="K19" s="1828" t="s">
        <v>1438</v>
      </c>
      <c r="L19" s="347" t="s">
        <v>1422</v>
      </c>
      <c r="M19" s="367">
        <f>IF(K19="按租金收入计税",'数据-取费表'!B51,'数据-取费表'!B50)</f>
        <v>1.2E-2</v>
      </c>
    </row>
    <row r="20" spans="1:37" s="1858" customFormat="1" ht="18" customHeight="1">
      <c r="A20" s="1201" t="s">
        <v>1039</v>
      </c>
      <c r="B20" s="347" t="s">
        <v>1439</v>
      </c>
      <c r="C20" s="24">
        <f ca="1">ROUND(C19*F20,0)</f>
        <v>2725</v>
      </c>
      <c r="D20" s="369" t="s">
        <v>1440</v>
      </c>
      <c r="E20" s="347" t="s">
        <v>1422</v>
      </c>
      <c r="F20" s="367">
        <f>'数据-取费表'!B37</f>
        <v>0.02</v>
      </c>
      <c r="G20" s="1854"/>
      <c r="H20" s="1201" t="s">
        <v>1389</v>
      </c>
      <c r="I20" s="164" t="s">
        <v>1441</v>
      </c>
      <c r="J20" s="25">
        <f ca="1">ROUND(M20*M21,0)</f>
        <v>26</v>
      </c>
      <c r="K20" s="370" t="s">
        <v>1442</v>
      </c>
      <c r="L20" s="347" t="s">
        <v>1443</v>
      </c>
      <c r="M20" s="371">
        <f>'数据-取费表'!B52</f>
        <v>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7" t="s">
        <v>1444</v>
      </c>
      <c r="C21" s="24" t="s">
        <v>1</v>
      </c>
      <c r="D21" s="369" t="s">
        <v>1445</v>
      </c>
      <c r="E21" s="347" t="s">
        <v>1446</v>
      </c>
      <c r="F21" s="367">
        <f>'数据-取费表'!B38</f>
        <v>0.03</v>
      </c>
      <c r="G21" s="1854"/>
      <c r="H21" s="372"/>
      <c r="I21" s="356"/>
      <c r="J21" s="29"/>
      <c r="K21" s="373"/>
      <c r="L21" s="347" t="s">
        <v>1447</v>
      </c>
      <c r="M21" s="348">
        <f ca="1">INDIRECT("'数据-取费表'!r"&amp;$G$1)</f>
        <v>6.5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1392</v>
      </c>
      <c r="B22" s="347" t="s">
        <v>1448</v>
      </c>
      <c r="C22" s="24"/>
      <c r="D22" s="140" t="str">
        <f>IF(F23&lt;=1,"单利计息。","复利计息。")&amp;"建造成本、管理费用、销售费用产生的利息。"</f>
        <v>复利计息。建造成本、管理费用、销售费用产生的利息。</v>
      </c>
      <c r="E22" s="1818"/>
      <c r="F22" s="26"/>
      <c r="G22" s="1851"/>
      <c r="H22" s="1201" t="s">
        <v>1039</v>
      </c>
      <c r="I22" s="347" t="s">
        <v>1449</v>
      </c>
      <c r="J22" s="24">
        <f ca="1">ROUND(J14*M22,0)</f>
        <v>2832</v>
      </c>
      <c r="K22" s="1798" t="s">
        <v>1450</v>
      </c>
      <c r="L22" s="347" t="s">
        <v>1422</v>
      </c>
      <c r="M22" s="374">
        <f ca="1">INDIRECT("'数据-取费表'!Ak"&amp;$G$1)</f>
        <v>1.4999999999999999E-2</v>
      </c>
    </row>
    <row r="23" spans="1:37" s="1858" customFormat="1" ht="18" customHeight="1">
      <c r="A23" s="1201" t="s">
        <v>1034</v>
      </c>
      <c r="B23" s="347" t="s">
        <v>1451</v>
      </c>
      <c r="C23" s="24">
        <f ca="1">IF('数据-取费表'!B22&lt;=1,ROUND(C19*F24*F23/2,0)+ROUND(C20*F24*F23/2,0),ROUND(C19*(POWER((1+F24),F23/2)-1),0)+ROUND(C20*(POWER((1+F24),F23/2)-1),0))</f>
        <v>4923</v>
      </c>
      <c r="D23" s="375" t="str">
        <f>IF(F23&lt;=1,"(建造成本+管理费用)×利率×(建设周期÷2)","(建造成本+管理费用)×((1+利率)^(建设周期÷2)-1)")</f>
        <v>(建造成本+管理费用)×((1+利率)^(建设周期÷2)-1)</v>
      </c>
      <c r="E23" s="347" t="s">
        <v>1452</v>
      </c>
      <c r="F23" s="371">
        <f>'数据-取费表'!B20</f>
        <v>1.5</v>
      </c>
      <c r="G23" s="1854"/>
      <c r="H23" s="1201" t="s">
        <v>1075</v>
      </c>
      <c r="I23" s="347" t="s">
        <v>1453</v>
      </c>
      <c r="J23" s="24">
        <f ca="1">ROUND(J13*M23,0)</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4"/>
      <c r="H24" s="1339" t="s">
        <v>1393</v>
      </c>
      <c r="I24" s="1340" t="s">
        <v>1439</v>
      </c>
      <c r="J24" s="1341">
        <f ca="1">ROUND(J5*M24,0)</f>
        <v>0</v>
      </c>
      <c r="K24" s="1342" t="s">
        <v>1459</v>
      </c>
      <c r="L24" s="1340" t="s">
        <v>1455</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1460</v>
      </c>
      <c r="B25" s="347" t="s">
        <v>1461</v>
      </c>
      <c r="C25" s="24"/>
      <c r="D25" s="140" t="s">
        <v>1462</v>
      </c>
      <c r="E25" s="1818"/>
      <c r="F25" s="26"/>
      <c r="G25" s="1851"/>
      <c r="H25" s="1329" t="s">
        <v>1031</v>
      </c>
      <c r="I25" s="1344" t="s">
        <v>1463</v>
      </c>
      <c r="J25" s="355">
        <f ca="1">J5-J16</f>
        <v>-4444</v>
      </c>
      <c r="K25" s="1345" t="s">
        <v>1464</v>
      </c>
      <c r="L25" s="1346"/>
      <c r="M25" s="1347"/>
    </row>
    <row r="26" spans="1:37" ht="18" customHeight="1">
      <c r="A26" s="1201" t="s">
        <v>1034</v>
      </c>
      <c r="B26" s="347" t="s">
        <v>1465</v>
      </c>
      <c r="C26" s="24">
        <f ca="1">ROUND((C19+C20)*F26,0)</f>
        <v>27799</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5.5E-2</v>
      </c>
    </row>
    <row r="27" spans="1:37" ht="18" customHeight="1">
      <c r="A27" s="1201"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1" t="s">
        <v>1037</v>
      </c>
      <c r="B28" s="347" t="s">
        <v>1475</v>
      </c>
      <c r="C28" s="24">
        <f>ROUND(F28/(1+'数据-取费表'!C42),4)</f>
        <v>5.33E-2</v>
      </c>
      <c r="D28" s="369" t="s">
        <v>1476</v>
      </c>
      <c r="E28" s="347" t="s">
        <v>1422</v>
      </c>
      <c r="F28" s="367">
        <f>'数据-取费表'!B41</f>
        <v>5.6000000000000001E-2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1478</v>
      </c>
      <c r="C29" s="1341">
        <f ca="1">ROUND((C19+C20+C23+C26)/(1-F21-C24-C27-C28),0)</f>
        <v>188783</v>
      </c>
      <c r="D29" s="1342"/>
      <c r="E29" s="1340"/>
      <c r="F29" s="1343"/>
      <c r="G29" s="1854"/>
      <c r="H29" s="380" t="s">
        <v>1033</v>
      </c>
      <c r="I29" s="381" t="s">
        <v>1479</v>
      </c>
      <c r="J29" s="382">
        <f ca="1">ROUND(J26/(1+F40)^F41,0)</f>
        <v>0</v>
      </c>
      <c r="K29" s="383" t="s">
        <v>1480</v>
      </c>
      <c r="L29" s="384"/>
      <c r="M29" s="385">
        <f ca="1">INDIRECT("'数据-取费表'!k"&amp;$G$1)</f>
        <v>54.53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1424</v>
      </c>
      <c r="C30" s="355">
        <f ca="1">ROUND(C31+C36+C37+C38,0)</f>
        <v>14645</v>
      </c>
      <c r="D30" s="1337" t="s">
        <v>1425</v>
      </c>
      <c r="E30" s="1338"/>
      <c r="F30" s="1294"/>
      <c r="G30" s="1851"/>
      <c r="H30" s="742"/>
      <c r="I30" s="743"/>
      <c r="J30" s="744"/>
      <c r="K30" s="745"/>
      <c r="L30" s="746"/>
      <c r="M30" s="747"/>
    </row>
    <row r="31" spans="1:37" ht="18" customHeight="1">
      <c r="A31" s="1201" t="s">
        <v>1035</v>
      </c>
      <c r="B31" s="347" t="s">
        <v>1429</v>
      </c>
      <c r="C31" s="24">
        <f ca="1">ROUND(IF(项目基本情况!B11="自然人",C5*F31,C32+C33+C34),0)</f>
        <v>10907</v>
      </c>
      <c r="D31" s="1800" t="s">
        <v>1430</v>
      </c>
      <c r="E31" s="1798" t="s">
        <v>1481</v>
      </c>
      <c r="F31" s="368" t="str">
        <f ca="1">IF(项目基本情况!B11="企业","",IF(INDIRECT("'数据-取费表'!c"&amp;$G$1)="住宅",5%,IF(F6*F7*F8/12/(1+'数据-取费表'!C42)&gt;20000,12%,7%)))</f>
        <v/>
      </c>
      <c r="G31" s="1851"/>
      <c r="H31" s="742"/>
      <c r="I31" s="743"/>
      <c r="J31" s="744"/>
      <c r="K31" s="745"/>
      <c r="L31" s="746"/>
      <c r="M31" s="747"/>
    </row>
    <row r="32" spans="1:37" ht="18" customHeight="1">
      <c r="A32" s="1201" t="s">
        <v>1034</v>
      </c>
      <c r="B32" s="347" t="s">
        <v>1433</v>
      </c>
      <c r="C32" s="24">
        <f ca="1">IF(项目基本情况!B11="自然人","——",ROUND(C5*F32/(1+'数据-取费表'!C42),0))</f>
        <v>3348</v>
      </c>
      <c r="D32" s="1798" t="s">
        <v>1434</v>
      </c>
      <c r="E32" s="347" t="s">
        <v>1422</v>
      </c>
      <c r="F32" s="377">
        <f>'数据-取费表'!B41</f>
        <v>5.6000000000000001E-2</v>
      </c>
      <c r="G32" s="1851"/>
      <c r="H32" s="742"/>
      <c r="I32" s="743"/>
      <c r="J32" s="744"/>
      <c r="K32" s="745"/>
      <c r="L32" s="746"/>
      <c r="M32" s="747"/>
    </row>
    <row r="33" spans="1:18" ht="18" customHeight="1">
      <c r="A33" s="1201" t="s">
        <v>1036</v>
      </c>
      <c r="B33" s="347" t="s">
        <v>1437</v>
      </c>
      <c r="C33" s="24">
        <f ca="1">IF(项目基本情况!B11="自然人","——",IF(D33="按租金收入计税",ROUND(C5*F33,0),IF(D33="按房产原值计税",ROUND(C29*F33*0.7,0),INDIRECT("'数据-取费表'!Aj"&amp;$G$1))))</f>
        <v>7533</v>
      </c>
      <c r="D33" s="2966" t="s">
        <v>3251</v>
      </c>
      <c r="E33" s="347" t="s">
        <v>1422</v>
      </c>
      <c r="F33" s="367">
        <f>IF(D33="按票据","——",IF(D33="按租金收入计税",'数据-取费表'!B51,'数据-取费表'!B50))</f>
        <v>0.12</v>
      </c>
      <c r="G33" s="1851"/>
      <c r="H33" s="1859"/>
      <c r="I33" s="1860"/>
      <c r="J33" s="1861"/>
      <c r="K33" s="1862"/>
      <c r="L33" s="1859"/>
      <c r="M33" s="1859"/>
    </row>
    <row r="34" spans="1:18" ht="18" customHeight="1">
      <c r="A34" s="1291" t="s">
        <v>1389</v>
      </c>
      <c r="B34" s="164" t="s">
        <v>1441</v>
      </c>
      <c r="C34" s="25">
        <f ca="1">IF(项目基本情况!B11="自然人","——",ROUND(F34*F35,))</f>
        <v>26</v>
      </c>
      <c r="D34" s="370" t="s">
        <v>1442</v>
      </c>
      <c r="E34" s="347" t="s">
        <v>1443</v>
      </c>
      <c r="F34" s="371">
        <f>'数据-取费表'!B52</f>
        <v>4</v>
      </c>
      <c r="G34" s="1851"/>
      <c r="H34" s="742"/>
      <c r="I34" s="1860"/>
      <c r="J34" s="1861"/>
      <c r="K34" s="1863"/>
      <c r="L34" s="1864"/>
      <c r="M34" s="1864"/>
    </row>
    <row r="35" spans="1:18" ht="18" customHeight="1">
      <c r="A35" s="1353"/>
      <c r="B35" s="1351"/>
      <c r="C35" s="29"/>
      <c r="D35" s="373"/>
      <c r="E35" s="347" t="s">
        <v>1447</v>
      </c>
      <c r="F35" s="348">
        <f ca="1">INDIRECT("'数据-取费表'!r"&amp;$G$1)</f>
        <v>6.5</v>
      </c>
      <c r="G35" s="1851"/>
      <c r="H35" s="742"/>
      <c r="I35" s="1860"/>
      <c r="J35" s="1861"/>
      <c r="K35" s="1862"/>
      <c r="L35" s="1859"/>
      <c r="M35" s="1859"/>
    </row>
    <row r="36" spans="1:18" ht="18" customHeight="1">
      <c r="A36" s="1352" t="s">
        <v>1039</v>
      </c>
      <c r="B36" s="347" t="s">
        <v>1449</v>
      </c>
      <c r="C36" s="24">
        <f ca="1">ROUND(C29*F36,0)</f>
        <v>2832</v>
      </c>
      <c r="D36" s="1798" t="s">
        <v>1482</v>
      </c>
      <c r="E36" s="347" t="s">
        <v>1422</v>
      </c>
      <c r="F36" s="374">
        <f ca="1">INDIRECT("'数据-取费表'!Ak"&amp;$G$1)</f>
        <v>1.4999999999999999E-2</v>
      </c>
      <c r="G36" s="1851"/>
      <c r="H36" s="1859"/>
      <c r="I36" s="1860"/>
      <c r="J36" s="1861"/>
      <c r="K36" s="748"/>
      <c r="L36" s="1859"/>
      <c r="M36" s="1859"/>
    </row>
    <row r="37" spans="1:18" ht="18" customHeight="1">
      <c r="A37" s="1201" t="s">
        <v>1075</v>
      </c>
      <c r="B37" s="347" t="s">
        <v>1453</v>
      </c>
      <c r="C37" s="24">
        <f ca="1">ROUND(C13*F37,0)</f>
        <v>278</v>
      </c>
      <c r="D37" s="1798" t="s">
        <v>1454</v>
      </c>
      <c r="E37" s="347" t="s">
        <v>1455</v>
      </c>
      <c r="F37" s="376">
        <f ca="1">INDIRECT("'数据-取费表'!Al"&amp;$G$1)</f>
        <v>1.5E-3</v>
      </c>
      <c r="G37" s="1851"/>
      <c r="H37" s="1859"/>
      <c r="I37" s="1860"/>
      <c r="J37" s="1861"/>
      <c r="K37" s="748"/>
      <c r="L37" s="1859"/>
      <c r="M37" s="1859"/>
    </row>
    <row r="38" spans="1:18" ht="18" customHeight="1" thickBot="1">
      <c r="A38" s="1339" t="s">
        <v>1393</v>
      </c>
      <c r="B38" s="1340" t="s">
        <v>1439</v>
      </c>
      <c r="C38" s="1341">
        <f ca="1">ROUND(C5*F38,1)</f>
        <v>627.70000000000005</v>
      </c>
      <c r="D38" s="1342" t="s">
        <v>1459</v>
      </c>
      <c r="E38" s="1340" t="s">
        <v>1455</v>
      </c>
      <c r="F38" s="1336">
        <f ca="1">INDIRECT("'数据-取费表'!Am"&amp;$G$1)</f>
        <v>0.01</v>
      </c>
      <c r="G38" s="1851"/>
      <c r="H38" s="1859"/>
      <c r="I38" s="1860"/>
      <c r="J38" s="1861"/>
      <c r="K38" s="1865"/>
      <c r="L38" s="1859"/>
      <c r="M38" s="1859"/>
    </row>
    <row r="39" spans="1:18" ht="24.6" customHeight="1" thickTop="1">
      <c r="A39" s="1329" t="s">
        <v>1031</v>
      </c>
      <c r="B39" s="1344" t="s">
        <v>1483</v>
      </c>
      <c r="C39" s="355">
        <f ca="1">C5-C30</f>
        <v>48129</v>
      </c>
      <c r="D39" s="1345" t="s">
        <v>1484</v>
      </c>
      <c r="E39" s="1346"/>
      <c r="F39" s="1347"/>
      <c r="G39" s="1851"/>
      <c r="H39" s="1859"/>
      <c r="I39" s="1860"/>
      <c r="J39" s="1861"/>
      <c r="K39" s="1865"/>
      <c r="L39" s="1859"/>
      <c r="M39" s="1859"/>
    </row>
    <row r="40" spans="1:18" ht="18" customHeight="1">
      <c r="A40" s="344" t="s">
        <v>1032</v>
      </c>
      <c r="B40" s="345" t="s">
        <v>1485</v>
      </c>
      <c r="C40" s="346">
        <f ca="1">ROUND(C39*(1-((1+F42)/(1+F40))^F41)/(F40-F42),0)</f>
        <v>1021589</v>
      </c>
      <c r="D40" s="370" t="s">
        <v>1469</v>
      </c>
      <c r="E40" s="347" t="s">
        <v>1470</v>
      </c>
      <c r="F40" s="357">
        <f ca="1">INDIRECT("'数据-取费表'!I"&amp;$G$1)</f>
        <v>5.5E-2</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28.87</v>
      </c>
      <c r="G41" s="1851"/>
      <c r="H41" s="729"/>
      <c r="I41" s="1860"/>
      <c r="J41" s="1861"/>
      <c r="K41" s="748"/>
      <c r="L41" s="729"/>
      <c r="M41" s="729"/>
    </row>
    <row r="42" spans="1:18" ht="18" customHeight="1">
      <c r="A42" s="353"/>
      <c r="B42" s="354"/>
      <c r="C42" s="355"/>
      <c r="D42" s="373"/>
      <c r="E42" s="347" t="s">
        <v>1477</v>
      </c>
      <c r="F42" s="357">
        <f ca="1">INDIRECT("'数据-取费表'!v"&amp;$G$1)</f>
        <v>3.5000000000000003E-2</v>
      </c>
      <c r="G42" s="1851"/>
      <c r="H42" s="729"/>
      <c r="I42" s="1860"/>
      <c r="J42" s="1861"/>
      <c r="K42" s="748"/>
      <c r="L42" s="729"/>
      <c r="M42" s="729"/>
    </row>
    <row r="43" spans="1:18" ht="18" customHeight="1" thickBot="1">
      <c r="A43" s="380" t="s">
        <v>1033</v>
      </c>
      <c r="B43" s="381" t="s">
        <v>1487</v>
      </c>
      <c r="C43" s="382">
        <f ca="1">ROUND(C40/F43,0)</f>
        <v>18734</v>
      </c>
      <c r="D43" s="383" t="s">
        <v>1488</v>
      </c>
      <c r="E43" s="384" t="s">
        <v>1489</v>
      </c>
      <c r="F43" s="385">
        <f ca="1">INDIRECT("'数据-取费表'!k"&amp;$G$1)</f>
        <v>54.53</v>
      </c>
      <c r="G43" s="1851"/>
      <c r="H43" s="729"/>
      <c r="I43" s="729"/>
      <c r="J43" s="729"/>
      <c r="K43" s="748"/>
      <c r="L43" s="729"/>
      <c r="M43" s="729"/>
    </row>
    <row r="44" spans="1:18" s="1842" customFormat="1" ht="18" customHeight="1">
      <c r="A44" s="1866"/>
      <c r="B44" s="1866"/>
      <c r="C44" s="1867"/>
      <c r="D44" s="1866"/>
      <c r="E44" s="1866"/>
      <c r="F44" s="1866"/>
      <c r="K44" s="1868"/>
    </row>
    <row r="45" spans="1:18" s="1842" customFormat="1" ht="18" customHeight="1" thickBot="1">
      <c r="A45" s="1866"/>
      <c r="B45" s="1866"/>
      <c r="C45" s="1939">
        <f ca="1">C68-C40</f>
        <v>-1424757</v>
      </c>
      <c r="D45" s="1940" t="s">
        <v>1604</v>
      </c>
      <c r="E45" s="1866"/>
      <c r="F45" s="1866"/>
      <c r="O45" s="1869" t="s">
        <v>1519</v>
      </c>
      <c r="P45" s="1839"/>
      <c r="Q45" s="1839"/>
      <c r="R45" s="1839"/>
    </row>
    <row r="46" spans="1:18" s="1842" customFormat="1" ht="13.5" thickBot="1">
      <c r="A46" s="1870" t="s">
        <v>1520</v>
      </c>
      <c r="C46" s="1871">
        <f ca="1">ROUND(C45/10000,0)</f>
        <v>-142</v>
      </c>
      <c r="D46" s="1872" t="str">
        <f>C2</f>
        <v>万元</v>
      </c>
      <c r="I46" s="1873" t="s">
        <v>1521</v>
      </c>
      <c r="J46" s="1874"/>
      <c r="K46" s="1875"/>
      <c r="L46" s="1876">
        <f ca="1">IF(M47="住宅",0,IF(L48&gt;J51,L60,J60))</f>
        <v>7873</v>
      </c>
      <c r="O46" s="1877" t="s">
        <v>1522</v>
      </c>
      <c r="P46" s="1878" t="s">
        <v>1523</v>
      </c>
      <c r="Q46" s="1879" t="s">
        <v>1524</v>
      </c>
      <c r="R46" s="1879" t="s">
        <v>1525</v>
      </c>
    </row>
    <row r="47" spans="1:18" s="1842" customFormat="1" ht="13.5" thickBot="1">
      <c r="A47" s="1165" t="s">
        <v>1396</v>
      </c>
      <c r="B47" s="1197" t="s">
        <v>1397</v>
      </c>
      <c r="C47" s="1197" t="s">
        <v>1398</v>
      </c>
      <c r="D47" s="1197" t="s">
        <v>1399</v>
      </c>
      <c r="E47" s="1279" t="s">
        <v>1400</v>
      </c>
      <c r="F47" s="1280"/>
      <c r="G47" s="789"/>
      <c r="I47" s="1880" t="s">
        <v>1526</v>
      </c>
      <c r="J47" s="1881" t="s">
        <v>3147</v>
      </c>
      <c r="K47" s="1882" t="s">
        <v>1527</v>
      </c>
      <c r="L47" s="1883">
        <f ca="1">INDIRECT("'数据-取费表'!d"&amp;$G$1)</f>
        <v>40</v>
      </c>
      <c r="M47" s="1838" t="str">
        <f>IF(ISNUMBER(FIND("住宅",C1)),"住宅","非住宅")</f>
        <v>非住宅</v>
      </c>
      <c r="O47" s="1884" t="s">
        <v>1040</v>
      </c>
      <c r="P47" s="1885" t="s">
        <v>1528</v>
      </c>
      <c r="Q47" s="1886">
        <f ca="1">C40+J29</f>
        <v>1021589</v>
      </c>
      <c r="R47" s="1886" t="s">
        <v>1529</v>
      </c>
    </row>
    <row r="48" spans="1:18" s="1842" customFormat="1" ht="28.5" thickBot="1">
      <c r="A48" s="1360" t="s">
        <v>1135</v>
      </c>
      <c r="B48" s="345" t="s">
        <v>1401</v>
      </c>
      <c r="C48" s="1817">
        <f ca="1">C49+C53+C55</f>
        <v>0</v>
      </c>
      <c r="D48" s="1362"/>
      <c r="E48" s="1363"/>
      <c r="F48" s="1181"/>
      <c r="G48" s="789"/>
      <c r="H48" s="790"/>
      <c r="I48" s="1887" t="s">
        <v>1530</v>
      </c>
      <c r="J48" s="1888" t="s">
        <v>3148</v>
      </c>
      <c r="K48" s="1889" t="s">
        <v>1531</v>
      </c>
      <c r="L48" s="1890">
        <f ca="1">INDIRECT("'数据-取费表'!f"&amp;$G$1)</f>
        <v>28.87</v>
      </c>
      <c r="O48" s="1884" t="s">
        <v>1041</v>
      </c>
      <c r="P48" s="1885" t="s">
        <v>1532</v>
      </c>
      <c r="Q48" s="1886">
        <f ca="1">J60</f>
        <v>7873</v>
      </c>
      <c r="R48" s="1886" t="s">
        <v>1533</v>
      </c>
    </row>
    <row r="49" spans="1:18" s="1842" customFormat="1" ht="13.5" thickBot="1">
      <c r="A49" s="1194" t="s">
        <v>1136</v>
      </c>
      <c r="B49" s="1829" t="s">
        <v>1490</v>
      </c>
      <c r="C49" s="1364">
        <f ca="1">ROUND(F49*F51*F50*(1-F52),0)</f>
        <v>0</v>
      </c>
      <c r="D49" s="1276" t="s">
        <v>1404</v>
      </c>
      <c r="E49" s="1830" t="s">
        <v>1491</v>
      </c>
      <c r="F49" s="1281"/>
      <c r="G49" s="1891"/>
      <c r="H49" s="790"/>
      <c r="I49" s="1887" t="s">
        <v>1534</v>
      </c>
      <c r="J49" s="2967">
        <v>2017</v>
      </c>
      <c r="K49" s="1889" t="s">
        <v>1535</v>
      </c>
      <c r="L49" s="1893"/>
      <c r="O49" s="1894" t="s">
        <v>1042</v>
      </c>
      <c r="P49" s="1885" t="s">
        <v>1536</v>
      </c>
      <c r="Q49" s="1886">
        <f ca="1">C29</f>
        <v>188783</v>
      </c>
      <c r="R49" s="1886" t="s">
        <v>1529</v>
      </c>
    </row>
    <row r="50" spans="1:18" s="1842" customFormat="1" ht="13.5" thickBot="1">
      <c r="A50" s="1195"/>
      <c r="B50" s="1198"/>
      <c r="C50" s="1199"/>
      <c r="D50" s="1172"/>
      <c r="E50" s="1277" t="s">
        <v>1406</v>
      </c>
      <c r="F50" s="1278">
        <f ca="1">F7</f>
        <v>54.53</v>
      </c>
      <c r="H50" s="790"/>
      <c r="I50" s="1887" t="s">
        <v>1537</v>
      </c>
      <c r="J50" s="1895">
        <f>SUMPRODUCT((I63:I65=J47)*(J62:L62=J48)*(J63:L65))</f>
        <v>60</v>
      </c>
      <c r="K50" s="1889" t="s">
        <v>1538</v>
      </c>
      <c r="L50" s="1893"/>
      <c r="M50" s="1896"/>
      <c r="O50" s="1894" t="s">
        <v>1043</v>
      </c>
      <c r="P50" s="1885" t="s">
        <v>1539</v>
      </c>
      <c r="Q50" s="1897">
        <f ca="1">J58</f>
        <v>0.502</v>
      </c>
      <c r="R50" s="1886"/>
    </row>
    <row r="51" spans="1:18" s="1842" customFormat="1" ht="13.5" thickBot="1">
      <c r="A51" s="1196"/>
      <c r="B51" s="1198"/>
      <c r="C51" s="1199"/>
      <c r="D51" s="1172"/>
      <c r="E51" s="1200" t="s">
        <v>1407</v>
      </c>
      <c r="F51" s="348">
        <f ca="1">F8</f>
        <v>365</v>
      </c>
      <c r="I51" s="1898" t="s">
        <v>1540</v>
      </c>
      <c r="J51" s="1899">
        <f>IF(J49="",J50,J49+J50-YEAR('数据-取费表'!B2))</f>
        <v>59</v>
      </c>
      <c r="K51" s="1900" t="s">
        <v>1541</v>
      </c>
      <c r="L51" s="1901">
        <f ca="1">ROUND(-PV(INDIRECT("'数据-取费表'!h"&amp;$G$1),L48,(C39-C13*C76),0),0)</f>
        <v>489621</v>
      </c>
      <c r="M51" s="1902"/>
      <c r="O51" s="1894" t="s">
        <v>1044</v>
      </c>
      <c r="P51" s="1885" t="s">
        <v>1542</v>
      </c>
      <c r="Q51" s="1897">
        <f>J52</f>
        <v>0.09</v>
      </c>
      <c r="R51" s="1886"/>
    </row>
    <row r="52" spans="1:18" s="1842" customFormat="1" ht="13.5" thickBot="1">
      <c r="A52" s="1196"/>
      <c r="B52" s="1198"/>
      <c r="C52" s="1199"/>
      <c r="D52" s="1172"/>
      <c r="E52" s="1200" t="s">
        <v>1408</v>
      </c>
      <c r="F52" s="1275"/>
      <c r="I52" s="1903" t="s">
        <v>1543</v>
      </c>
      <c r="J52" s="1904">
        <v>0.09</v>
      </c>
      <c r="K52" s="1903" t="s">
        <v>1544</v>
      </c>
      <c r="L52" s="1904"/>
      <c r="O52" s="1894" t="s">
        <v>1045</v>
      </c>
      <c r="P52" s="1885" t="s">
        <v>1545</v>
      </c>
      <c r="Q52" s="1886">
        <f ca="1">J53</f>
        <v>28.87</v>
      </c>
      <c r="R52" s="1886" t="s">
        <v>1546</v>
      </c>
    </row>
    <row r="53" spans="1:18" s="1842" customFormat="1" ht="30.75" customHeight="1" thickBot="1">
      <c r="A53" s="1361" t="s">
        <v>1137</v>
      </c>
      <c r="B53" s="369" t="s">
        <v>1409</v>
      </c>
      <c r="C53" s="361">
        <f ca="1">ROUND(IF(F53="押一",C49/12*F11,IF(F53="押二",C49/12*2*F11,IF(F53="押三",C49/12*3*F11,C54*F11))),0)</f>
        <v>0</v>
      </c>
      <c r="D53" s="1824" t="s">
        <v>3039</v>
      </c>
      <c r="E53" s="358" t="s">
        <v>1410</v>
      </c>
      <c r="F53" s="1366"/>
      <c r="I53" s="1905" t="s">
        <v>1547</v>
      </c>
      <c r="J53" s="1906">
        <f ca="1">IF(M47="住宅",IF(D1="——",MAX(J51,L48),IF(D1="在建（套用方法）",MAX(J51,L48-'数据-取费表'!B24),MAX(J51,L48-'数据-取费表'!B20))),IF(D1="——",MIN(J51,L48),IF(D1="在建（套用方法）",MIN(J51,L48-'数据-取费表'!B24),IF(D1="土地（套用方法）",MIN(J51,L48-'数据-取费表'!B20)))))</f>
        <v>28.87</v>
      </c>
      <c r="K53" s="3157" t="s">
        <v>1548</v>
      </c>
      <c r="L53" s="3158"/>
      <c r="O53" s="1884" t="s">
        <v>1046</v>
      </c>
      <c r="P53" s="1885" t="s">
        <v>1549</v>
      </c>
      <c r="Q53" s="1886">
        <f ca="1">Q47+Q48</f>
        <v>1029462</v>
      </c>
      <c r="R53" s="1886" t="s">
        <v>1047</v>
      </c>
    </row>
    <row r="54" spans="1:18" s="1842" customFormat="1" ht="13.5" thickBot="1">
      <c r="A54" s="1194"/>
      <c r="B54" s="1941" t="s">
        <v>1603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3" t="s">
        <v>1075</v>
      </c>
      <c r="B55" s="1827" t="s">
        <v>1413</v>
      </c>
      <c r="C55" s="1334"/>
      <c r="D55" s="1824"/>
      <c r="E55" s="1832"/>
      <c r="F55" s="1907"/>
      <c r="I55" s="1910" t="s">
        <v>1551</v>
      </c>
      <c r="J55" s="1911">
        <f ca="1">ROUND(IF(J47="钢混",J57/J50,1-(1-2%)*(J50-J57)/J50),3)</f>
        <v>0.502</v>
      </c>
      <c r="K55" s="1912" t="s">
        <v>1552</v>
      </c>
      <c r="L55" s="1913"/>
      <c r="O55" s="1877" t="s">
        <v>1522</v>
      </c>
      <c r="P55" s="1878" t="s">
        <v>1523</v>
      </c>
      <c r="Q55" s="1879" t="s">
        <v>1524</v>
      </c>
      <c r="R55" s="1879" t="s">
        <v>1525</v>
      </c>
    </row>
    <row r="56" spans="1:18" s="1842" customFormat="1" ht="36" customHeight="1" thickTop="1" thickBot="1">
      <c r="A56" s="1176">
        <v>2</v>
      </c>
      <c r="B56" s="1177" t="s">
        <v>1414</v>
      </c>
      <c r="C56" s="276">
        <f ca="1">C13</f>
        <v>185007</v>
      </c>
      <c r="D56" s="1914"/>
      <c r="E56" s="1915"/>
      <c r="F56" s="1907"/>
      <c r="I56" s="1916" t="s">
        <v>1554</v>
      </c>
      <c r="J56" s="1917" t="s">
        <v>3053</v>
      </c>
      <c r="K56" s="1887" t="s">
        <v>1555</v>
      </c>
      <c r="L56" s="1890" t="str">
        <f ca="1">IF(L48&lt;J51,"——",L48-J51)</f>
        <v>——</v>
      </c>
      <c r="O56" s="1884" t="s">
        <v>1040</v>
      </c>
      <c r="P56" s="1885" t="s">
        <v>1528</v>
      </c>
      <c r="Q56" s="1886">
        <f ca="1">C40+J29</f>
        <v>1021589</v>
      </c>
      <c r="R56" s="1886" t="s">
        <v>1529</v>
      </c>
    </row>
    <row r="57" spans="1:18" s="1842" customFormat="1" ht="24.75" thickBot="1">
      <c r="A57" s="1918"/>
      <c r="B57" s="1169" t="s">
        <v>1478</v>
      </c>
      <c r="C57" s="282">
        <f ca="1">C29</f>
        <v>188783</v>
      </c>
      <c r="D57" s="1919"/>
      <c r="E57" s="1920"/>
      <c r="F57" s="1921"/>
      <c r="I57" s="1922" t="s">
        <v>1556</v>
      </c>
      <c r="J57" s="1923">
        <f ca="1">IF(OR(M47="住宅",J51&lt;L48,J56="是"),"——",J51-L48)</f>
        <v>30.13</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60" t="s">
        <v>1030</v>
      </c>
      <c r="B58" s="1177" t="s">
        <v>1424</v>
      </c>
      <c r="C58" s="361">
        <f ca="1">ROUND(C59+C64+C65+C66,0)</f>
        <v>18994</v>
      </c>
      <c r="D58" s="1179" t="s">
        <v>1425</v>
      </c>
      <c r="E58" s="1180"/>
      <c r="F58" s="1181"/>
      <c r="I58" s="1922" t="s">
        <v>1560</v>
      </c>
      <c r="J58" s="1924">
        <f ca="1">IF(J55&lt;0.4,0.4,J55)</f>
        <v>0.502</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1" t="s">
        <v>1035</v>
      </c>
      <c r="B59" s="1169" t="s">
        <v>1429</v>
      </c>
      <c r="C59" s="24">
        <f ca="1">ROUND(IF(项目基本情况!B11="自然人",C48*F59,C60+C61+C62),0)</f>
        <v>15884</v>
      </c>
      <c r="D59" s="1182" t="s">
        <v>1430</v>
      </c>
      <c r="E59" s="1183" t="s">
        <v>1431</v>
      </c>
      <c r="F59" s="368" t="str">
        <f ca="1">IF(项目基本情况!B11="企业","",IF(INDIRECT("'数据-取费表'!c"&amp;$G$1)="住宅",5%,IF(F49*F50*F51/12/(1+'数据-取费表'!C42)&gt;20000,12%,7%)))</f>
        <v/>
      </c>
      <c r="I59" s="1922" t="s">
        <v>1563</v>
      </c>
      <c r="J59" s="1923">
        <f ca="1">IF(OR(M47="住宅",J51&lt;L48,J56="是"),"——",ROUND(C29*J58,0))</f>
        <v>94769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1" t="s">
        <v>1034</v>
      </c>
      <c r="B60" s="1169" t="s">
        <v>1433</v>
      </c>
      <c r="C60" s="24">
        <f ca="1">IF(项目基本情况!B11="自然人","——",ROUND(C48*F60/(1+'数据-取费表'!C42),0))</f>
        <v>0</v>
      </c>
      <c r="D60" s="1183" t="s">
        <v>1434</v>
      </c>
      <c r="E60" s="1169" t="s">
        <v>1422</v>
      </c>
      <c r="F60" s="377">
        <f t="shared" ref="F60:F66" si="0">F32</f>
        <v>5.6000000000000001E-2</v>
      </c>
      <c r="I60" s="1925" t="s">
        <v>1565</v>
      </c>
      <c r="J60" s="1926">
        <f ca="1">IF(OR(M47="住宅",J51&lt;L48,J56="是"),"0",ROUND(J59/(1+J52)^J53,0))</f>
        <v>7873</v>
      </c>
      <c r="K60" s="1927" t="s">
        <v>1566</v>
      </c>
      <c r="L60" s="1926">
        <f ca="1">IF(OR(M47="住宅",L48&lt;J51),0,ROUND(L57*(L58/L59-1),0))</f>
        <v>0</v>
      </c>
      <c r="O60" s="1894" t="s">
        <v>1044</v>
      </c>
      <c r="P60" s="1885" t="s">
        <v>1567</v>
      </c>
      <c r="Q60" s="1886" t="e">
        <f ca="1">L58</f>
        <v>#DIV/0!</v>
      </c>
      <c r="R60" s="1886" t="s">
        <v>1568</v>
      </c>
    </row>
    <row r="61" spans="1:18" s="1842" customFormat="1" ht="13.5" thickBot="1">
      <c r="A61" s="1201" t="s">
        <v>1492</v>
      </c>
      <c r="B61" s="1169" t="s">
        <v>1493</v>
      </c>
      <c r="C61" s="24">
        <f ca="1">IF(项目基本情况!B11="自然人","——",IF(D61="按租金收入计税",ROUND(C48*F61,0),IF(D61="按房产原值计税",ROUND(C57*F61*0.7,0),INDIRECT("'数据-取费表'!Aj"&amp;$G$1))))</f>
        <v>15858</v>
      </c>
      <c r="D61" s="1828" t="s">
        <v>1438</v>
      </c>
      <c r="E61" s="1169"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1" t="s">
        <v>1495</v>
      </c>
      <c r="B62" s="1168" t="s">
        <v>1496</v>
      </c>
      <c r="C62" s="25">
        <f ca="1">IF(项目基本情况!B11="自然人","——",ROUND(F62*F63,0))</f>
        <v>26</v>
      </c>
      <c r="D62" s="1184" t="s">
        <v>1497</v>
      </c>
      <c r="E62" s="1169" t="s">
        <v>1498</v>
      </c>
      <c r="F62" s="371">
        <f t="shared" si="0"/>
        <v>4</v>
      </c>
      <c r="I62" s="1929" t="s">
        <v>1570</v>
      </c>
      <c r="J62" s="1930" t="s">
        <v>1571</v>
      </c>
      <c r="K62" s="1930" t="s">
        <v>1572</v>
      </c>
      <c r="L62" s="1930" t="s">
        <v>1573</v>
      </c>
      <c r="M62" s="1931" t="s">
        <v>1574</v>
      </c>
      <c r="O62" s="1884" t="s">
        <v>1046</v>
      </c>
      <c r="P62" s="1885" t="s">
        <v>1575</v>
      </c>
      <c r="Q62" s="1886">
        <f ca="1">Q56+Q57</f>
        <v>1021589</v>
      </c>
      <c r="R62" s="1886" t="s">
        <v>1047</v>
      </c>
    </row>
    <row r="63" spans="1:18" s="1842" customFormat="1" ht="13.5" thickBot="1">
      <c r="A63" s="372"/>
      <c r="B63" s="1175"/>
      <c r="C63" s="29"/>
      <c r="D63" s="1185"/>
      <c r="E63" s="1169" t="s">
        <v>1499</v>
      </c>
      <c r="F63" s="348">
        <f t="shared" ca="1" si="0"/>
        <v>6.5</v>
      </c>
      <c r="I63" s="1929" t="s">
        <v>1576</v>
      </c>
      <c r="J63" s="1930">
        <v>70</v>
      </c>
      <c r="K63" s="1930">
        <v>50</v>
      </c>
      <c r="L63" s="1930">
        <v>80</v>
      </c>
      <c r="M63" s="1932">
        <v>0.02</v>
      </c>
      <c r="O63" s="1869" t="s">
        <v>1577</v>
      </c>
      <c r="P63" s="1839"/>
      <c r="Q63" s="1839"/>
      <c r="R63" s="1839"/>
    </row>
    <row r="64" spans="1:18" s="1842" customFormat="1" ht="13.5" thickBot="1">
      <c r="A64" s="1201" t="s">
        <v>1500</v>
      </c>
      <c r="B64" s="1169" t="s">
        <v>1501</v>
      </c>
      <c r="C64" s="24">
        <f ca="1">ROUND(C57*F64,0)</f>
        <v>2832</v>
      </c>
      <c r="D64" s="1183" t="s">
        <v>1502</v>
      </c>
      <c r="E64" s="1169"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1" t="s">
        <v>1503</v>
      </c>
      <c r="B65" s="1169" t="s">
        <v>1453</v>
      </c>
      <c r="C65" s="24">
        <f ca="1">ROUND(C56*F65,0)</f>
        <v>278</v>
      </c>
      <c r="D65" s="1183" t="s">
        <v>1454</v>
      </c>
      <c r="E65" s="1169" t="s">
        <v>1455</v>
      </c>
      <c r="F65" s="376">
        <f t="shared" ca="1" si="0"/>
        <v>1.5E-3</v>
      </c>
      <c r="I65" s="1929" t="s">
        <v>1579</v>
      </c>
      <c r="J65" s="1930">
        <v>40</v>
      </c>
      <c r="K65" s="1930">
        <v>30</v>
      </c>
      <c r="L65" s="1930">
        <v>50</v>
      </c>
      <c r="M65" s="1932">
        <v>0.02</v>
      </c>
      <c r="O65" s="1884" t="s">
        <v>1040</v>
      </c>
      <c r="P65" s="1885" t="s">
        <v>1580</v>
      </c>
      <c r="Q65" s="1886">
        <f ca="1">C40+J29</f>
        <v>1021589</v>
      </c>
      <c r="R65" s="1886" t="s">
        <v>1529</v>
      </c>
    </row>
    <row r="66" spans="1:18" s="1842" customFormat="1" ht="16.5" thickBot="1">
      <c r="A66" s="1201" t="s">
        <v>1504</v>
      </c>
      <c r="B66" s="1169" t="s">
        <v>1439</v>
      </c>
      <c r="C66" s="24">
        <f ca="1">ROUND(C48*F66,0)</f>
        <v>0</v>
      </c>
      <c r="D66" s="1183" t="s">
        <v>1505</v>
      </c>
      <c r="E66" s="1169" t="s">
        <v>1422</v>
      </c>
      <c r="F66" s="357">
        <f t="shared" ca="1" si="0"/>
        <v>0.01</v>
      </c>
      <c r="O66" s="1884" t="s">
        <v>1041</v>
      </c>
      <c r="P66" s="1885" t="s">
        <v>1558</v>
      </c>
      <c r="Q66" s="1886">
        <f ca="1">L60</f>
        <v>0</v>
      </c>
      <c r="R66" s="1886" t="s">
        <v>1581</v>
      </c>
    </row>
    <row r="67" spans="1:18" s="1842" customFormat="1" ht="16.5" thickBot="1">
      <c r="A67" s="1176" t="s">
        <v>1031</v>
      </c>
      <c r="B67" s="1186" t="s">
        <v>1463</v>
      </c>
      <c r="C67" s="361">
        <f ca="1">C48-C58</f>
        <v>-18994</v>
      </c>
      <c r="D67" s="1182" t="s">
        <v>1464</v>
      </c>
      <c r="E67" s="1187"/>
      <c r="F67" s="1188"/>
      <c r="O67" s="1894" t="s">
        <v>1042</v>
      </c>
      <c r="P67" s="1885" t="s">
        <v>1562</v>
      </c>
      <c r="Q67" s="1933">
        <f ca="1">L51</f>
        <v>489621</v>
      </c>
      <c r="R67" s="1886" t="s">
        <v>1582</v>
      </c>
    </row>
    <row r="68" spans="1:18" s="1842" customFormat="1" ht="16.5" thickBot="1">
      <c r="A68" s="1166" t="s">
        <v>1032</v>
      </c>
      <c r="B68" s="1167" t="s">
        <v>1485</v>
      </c>
      <c r="C68" s="346">
        <f ca="1">ROUND(C67*(1-((1+F70)/(1+F68))^F69)/(F68-F70),0)</f>
        <v>-403168</v>
      </c>
      <c r="D68" s="1184" t="s">
        <v>1469</v>
      </c>
      <c r="E68" s="1169" t="s">
        <v>1470</v>
      </c>
      <c r="F68" s="357">
        <f ca="1">F40</f>
        <v>5.5E-2</v>
      </c>
      <c r="O68" s="1894" t="s">
        <v>1043</v>
      </c>
      <c r="P68" s="1934" t="s">
        <v>1583</v>
      </c>
      <c r="Q68" s="1886">
        <f ca="1">ROUND(Q69-Q70*Q71,0)</f>
        <v>32403</v>
      </c>
      <c r="R68" s="1886" t="s">
        <v>1051</v>
      </c>
    </row>
    <row r="69" spans="1:18" s="1842" customFormat="1" ht="13.5" thickBot="1">
      <c r="A69" s="1170"/>
      <c r="B69" s="1171"/>
      <c r="C69" s="351"/>
      <c r="D69" s="1189" t="s">
        <v>1473</v>
      </c>
      <c r="E69" s="1169" t="s">
        <v>1474</v>
      </c>
      <c r="F69" s="379">
        <f ca="1">F41</f>
        <v>28.87</v>
      </c>
      <c r="O69" s="1894" t="s">
        <v>1048</v>
      </c>
      <c r="P69" s="1934" t="s">
        <v>1584</v>
      </c>
      <c r="Q69" s="1886">
        <f ca="1">C39</f>
        <v>48129</v>
      </c>
      <c r="R69" s="1886" t="s">
        <v>1529</v>
      </c>
    </row>
    <row r="70" spans="1:18" s="1842" customFormat="1" ht="13.5" thickBot="1">
      <c r="A70" s="1173"/>
      <c r="B70" s="1174"/>
      <c r="C70" s="355"/>
      <c r="D70" s="1185"/>
      <c r="E70" s="1169" t="s">
        <v>1477</v>
      </c>
      <c r="F70" s="1275">
        <f ca="1">F42</f>
        <v>3.5000000000000003E-2</v>
      </c>
      <c r="O70" s="1894" t="s">
        <v>1049</v>
      </c>
      <c r="P70" s="1934" t="s">
        <v>1585</v>
      </c>
      <c r="Q70" s="1886">
        <f ca="1">C13</f>
        <v>185007</v>
      </c>
      <c r="R70" s="1886" t="s">
        <v>1529</v>
      </c>
    </row>
    <row r="71" spans="1:18" s="1842" customFormat="1" ht="13.5" thickBot="1">
      <c r="A71" s="1190" t="s">
        <v>1033</v>
      </c>
      <c r="B71" s="1191" t="s">
        <v>1487</v>
      </c>
      <c r="C71" s="382">
        <f ca="1">ROUND(C68/F71,0)</f>
        <v>-7394</v>
      </c>
      <c r="D71" s="1192" t="s">
        <v>1488</v>
      </c>
      <c r="E71" s="1193" t="s">
        <v>1489</v>
      </c>
      <c r="F71" s="385">
        <f ca="1">F43</f>
        <v>54.53</v>
      </c>
      <c r="O71" s="1894" t="s">
        <v>1050</v>
      </c>
      <c r="P71" s="1934" t="s">
        <v>1586</v>
      </c>
      <c r="Q71" s="1897">
        <f ca="1">C76</f>
        <v>8.5000000000000006E-2</v>
      </c>
      <c r="R71" s="1886"/>
    </row>
    <row r="72" spans="1:18" s="1842" customFormat="1" ht="13.5" thickBot="1">
      <c r="B72" s="793"/>
      <c r="C72" s="793"/>
      <c r="O72" s="1894" t="s">
        <v>1044</v>
      </c>
      <c r="P72" s="1885" t="s">
        <v>1564</v>
      </c>
      <c r="Q72" s="1897">
        <f>L52</f>
        <v>0</v>
      </c>
      <c r="R72" s="1886"/>
    </row>
    <row r="73" spans="1:18" ht="16.5" thickBot="1">
      <c r="A73" s="1842"/>
      <c r="B73" s="793"/>
      <c r="C73" s="793"/>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15726</v>
      </c>
      <c r="D75" s="1842"/>
      <c r="E75" s="1842"/>
      <c r="F75" s="1842"/>
      <c r="K75" s="1868"/>
      <c r="L75" s="1842"/>
      <c r="O75" s="1884" t="s">
        <v>1046</v>
      </c>
      <c r="P75" s="1885" t="s">
        <v>1549</v>
      </c>
      <c r="Q75" s="1886">
        <f ca="1">Q65+Q66</f>
        <v>1021589</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0.67300000000000004</v>
      </c>
    </row>
    <row r="80" spans="1:18">
      <c r="B80" s="386" t="s">
        <v>1511</v>
      </c>
      <c r="C80" s="318">
        <f ca="1">ROUND(C75/C39,3)</f>
        <v>0.32700000000000001</v>
      </c>
    </row>
    <row r="81" spans="2:3">
      <c r="B81" s="314" t="s">
        <v>1512</v>
      </c>
      <c r="C81" s="282"/>
    </row>
    <row r="82" spans="2:3">
      <c r="B82" s="317" t="s">
        <v>1513</v>
      </c>
      <c r="C82" s="319">
        <f ca="1">1-C83</f>
        <v>0.81899999999999995</v>
      </c>
    </row>
    <row r="83" spans="2:3">
      <c r="B83" s="317" t="s">
        <v>1514</v>
      </c>
      <c r="C83" s="318">
        <f ca="1">ROUND(C13/C40,3)</f>
        <v>0.18099999999999999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2525</v>
      </c>
      <c r="B1" s="2561"/>
      <c r="C1" s="2561"/>
      <c r="D1" s="2561"/>
      <c r="E1" s="2562"/>
    </row>
    <row r="2" spans="1:6" ht="15.75">
      <c r="A2" s="2563" t="s">
        <v>2326</v>
      </c>
      <c r="B2" s="2564">
        <f ca="1">SUMIF(B6:B13,"&lt;&gt;#ref!",B6:B13)</f>
        <v>103</v>
      </c>
      <c r="C2" s="2565" t="s">
        <v>2518</v>
      </c>
      <c r="D2" s="2566" t="s">
        <v>2519</v>
      </c>
      <c r="E2" s="2567">
        <f>SUM(E6:E13)</f>
        <v>54.53</v>
      </c>
    </row>
    <row r="3" spans="1:6" ht="15.75">
      <c r="A3" s="2563" t="s">
        <v>1395</v>
      </c>
      <c r="B3" s="2564">
        <f ca="1">ROUND(B2*10000/E2,0)</f>
        <v>18889</v>
      </c>
      <c r="C3" s="2565" t="s">
        <v>2526</v>
      </c>
      <c r="D3" s="2568"/>
      <c r="E3" s="2569"/>
    </row>
    <row r="4" spans="1:6" ht="15.75">
      <c r="A4" s="2570"/>
      <c r="B4" s="2568"/>
      <c r="C4" s="2568"/>
      <c r="D4" s="2568"/>
      <c r="E4" s="2569"/>
    </row>
    <row r="5" spans="1:6" ht="15">
      <c r="A5" s="2571" t="s">
        <v>2520</v>
      </c>
      <c r="B5" s="3210" t="s">
        <v>2521</v>
      </c>
      <c r="C5" s="3210"/>
      <c r="D5" s="2572"/>
      <c r="E5" s="2573" t="s">
        <v>2522</v>
      </c>
      <c r="F5" s="2574" t="s">
        <v>2523</v>
      </c>
    </row>
    <row r="6" spans="1:6">
      <c r="A6" s="2575" t="str">
        <f>'数据-取费表'!AN6</f>
        <v>收益法 (元)</v>
      </c>
      <c r="B6" s="2574">
        <f ca="1">IF(F6="是",'数据-取费表'!AO6,0)</f>
        <v>103</v>
      </c>
      <c r="C6" s="2565" t="s">
        <v>2518</v>
      </c>
      <c r="D6" s="2568"/>
      <c r="E6" s="2576">
        <f>IF(OR(A6=0,F6="否"),0,'数据-取费表'!K6+'数据-取费表'!S6)</f>
        <v>54.53</v>
      </c>
      <c r="F6" s="2577" t="s">
        <v>2524</v>
      </c>
    </row>
    <row r="7" spans="1:6">
      <c r="A7" s="2575">
        <f>'数据-取费表'!AN7</f>
        <v>0</v>
      </c>
      <c r="B7" s="2574" t="e">
        <f ca="1">IF(F7="是",'数据-取费表'!AO7,0)</f>
        <v>#REF!</v>
      </c>
      <c r="C7" s="2565" t="s">
        <v>2518</v>
      </c>
      <c r="D7" s="2568"/>
      <c r="E7" s="2576">
        <f>IF(OR(A7=0,F7="否"),0,'数据-取费表'!K7+'数据-取费表'!S7)</f>
        <v>0</v>
      </c>
      <c r="F7" s="2577" t="s">
        <v>2524</v>
      </c>
    </row>
    <row r="8" spans="1:6">
      <c r="A8" s="2575">
        <f>'数据-取费表'!AN8</f>
        <v>0</v>
      </c>
      <c r="B8" s="2574" t="e">
        <f ca="1">IF(F8="是",'数据-取费表'!AO8,0)</f>
        <v>#REF!</v>
      </c>
      <c r="C8" s="2565" t="s">
        <v>2518</v>
      </c>
      <c r="D8" s="2568"/>
      <c r="E8" s="2576">
        <f>IF(OR(A8=0,F8="否"),0,'数据-取费表'!K8+'数据-取费表'!S8)</f>
        <v>0</v>
      </c>
      <c r="F8" s="2577" t="s">
        <v>2524</v>
      </c>
    </row>
    <row r="9" spans="1:6">
      <c r="A9" s="2575">
        <f>'数据-取费表'!AN9</f>
        <v>0</v>
      </c>
      <c r="B9" s="2574" t="e">
        <f ca="1">IF(F9="是",'数据-取费表'!AO9,0)</f>
        <v>#REF!</v>
      </c>
      <c r="C9" s="2565" t="s">
        <v>2518</v>
      </c>
      <c r="D9" s="2568"/>
      <c r="E9" s="2576">
        <f>IF(OR(A9=0,F9="否"),0,'数据-取费表'!K9+'数据-取费表'!S9)</f>
        <v>0</v>
      </c>
      <c r="F9" s="2577" t="s">
        <v>2524</v>
      </c>
    </row>
    <row r="10" spans="1:6">
      <c r="A10" s="2575">
        <f>'数据-取费表'!AN10</f>
        <v>0</v>
      </c>
      <c r="B10" s="2574" t="e">
        <f ca="1">IF(F10="是",'数据-取费表'!AO10,0)</f>
        <v>#REF!</v>
      </c>
      <c r="C10" s="2565" t="s">
        <v>2518</v>
      </c>
      <c r="D10" s="2568"/>
      <c r="E10" s="2576">
        <f>IF(OR(A10=0,F10="否"),0,'数据-取费表'!K10+'数据-取费表'!S10)</f>
        <v>0</v>
      </c>
      <c r="F10" s="2577" t="s">
        <v>2524</v>
      </c>
    </row>
    <row r="11" spans="1:6">
      <c r="A11" s="2575">
        <f>'数据-取费表'!AN11</f>
        <v>0</v>
      </c>
      <c r="B11" s="2574" t="e">
        <f ca="1">IF(F11="是",'数据-取费表'!AO11,0)</f>
        <v>#REF!</v>
      </c>
      <c r="C11" s="2565" t="s">
        <v>2518</v>
      </c>
      <c r="D11" s="2568"/>
      <c r="E11" s="2576">
        <f>IF(OR(A11=0,F11="否"),0,'数据-取费表'!K11+'数据-取费表'!S11)</f>
        <v>0</v>
      </c>
      <c r="F11" s="2577" t="s">
        <v>2524</v>
      </c>
    </row>
    <row r="12" spans="1:6">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16" t="s">
        <v>1077</v>
      </c>
      <c r="B2" s="3217" t="s">
        <v>1078</v>
      </c>
      <c r="C2" s="3217"/>
      <c r="D2" s="1301" t="s">
        <v>1079</v>
      </c>
      <c r="E2" s="1301" t="s">
        <v>1080</v>
      </c>
      <c r="F2" s="1301" t="s">
        <v>1081</v>
      </c>
      <c r="G2" s="1301" t="s">
        <v>1082</v>
      </c>
      <c r="H2" s="1301" t="s">
        <v>1083</v>
      </c>
      <c r="I2" s="1302" t="s">
        <v>1084</v>
      </c>
    </row>
    <row r="3" spans="1:9">
      <c r="A3" s="3216"/>
      <c r="B3" s="3217" t="s">
        <v>1085</v>
      </c>
      <c r="C3" s="3217"/>
      <c r="D3" s="1303"/>
      <c r="E3" s="1301"/>
      <c r="F3" s="1304"/>
      <c r="G3" s="1304"/>
      <c r="H3" s="1305"/>
      <c r="I3" s="1306">
        <f>ROUND(D3*E3*F3*G3*H3/10000,0)</f>
        <v>0</v>
      </c>
    </row>
    <row r="4" spans="1:9">
      <c r="A4" s="3216"/>
      <c r="B4" s="3217" t="s">
        <v>1086</v>
      </c>
      <c r="C4" s="3217"/>
      <c r="D4" s="1303"/>
      <c r="E4" s="1301"/>
      <c r="F4" s="1304"/>
      <c r="G4" s="1304"/>
      <c r="H4" s="1305"/>
      <c r="I4" s="1306">
        <f t="shared" ref="I4:I9" si="0">ROUND(D4*E4*F4*G4*H4/10000,0)</f>
        <v>0</v>
      </c>
    </row>
    <row r="5" spans="1:9">
      <c r="A5" s="3216"/>
      <c r="B5" s="3217" t="s">
        <v>1087</v>
      </c>
      <c r="C5" s="3217"/>
      <c r="D5" s="1303"/>
      <c r="E5" s="1301"/>
      <c r="F5" s="1304"/>
      <c r="G5" s="1304"/>
      <c r="H5" s="1305"/>
      <c r="I5" s="1306">
        <f t="shared" si="0"/>
        <v>0</v>
      </c>
    </row>
    <row r="6" spans="1:9">
      <c r="A6" s="3216"/>
      <c r="B6" s="3217" t="s">
        <v>1088</v>
      </c>
      <c r="C6" s="3217"/>
      <c r="D6" s="1303"/>
      <c r="E6" s="1301"/>
      <c r="F6" s="1304"/>
      <c r="G6" s="1304"/>
      <c r="H6" s="1305"/>
      <c r="I6" s="1306">
        <f t="shared" si="0"/>
        <v>0</v>
      </c>
    </row>
    <row r="7" spans="1:9">
      <c r="A7" s="3216"/>
      <c r="B7" s="3217" t="s">
        <v>1089</v>
      </c>
      <c r="C7" s="3217"/>
      <c r="D7" s="1303"/>
      <c r="E7" s="1301"/>
      <c r="F7" s="1304"/>
      <c r="G7" s="1304"/>
      <c r="H7" s="1305"/>
      <c r="I7" s="1306">
        <f t="shared" si="0"/>
        <v>0</v>
      </c>
    </row>
    <row r="8" spans="1:9">
      <c r="A8" s="3216"/>
      <c r="B8" s="3217" t="s">
        <v>1090</v>
      </c>
      <c r="C8" s="3217"/>
      <c r="D8" s="1303"/>
      <c r="E8" s="1301"/>
      <c r="F8" s="1304"/>
      <c r="G8" s="1304"/>
      <c r="H8" s="1305"/>
      <c r="I8" s="1306">
        <f t="shared" si="0"/>
        <v>0</v>
      </c>
    </row>
    <row r="9" spans="1:9">
      <c r="A9" s="3216"/>
      <c r="B9" s="3217" t="s">
        <v>1091</v>
      </c>
      <c r="C9" s="3217"/>
      <c r="D9" s="1303"/>
      <c r="E9" s="1301"/>
      <c r="F9" s="1304"/>
      <c r="G9" s="1304"/>
      <c r="H9" s="1305"/>
      <c r="I9" s="1306">
        <f t="shared" si="0"/>
        <v>0</v>
      </c>
    </row>
    <row r="10" spans="1:9">
      <c r="A10" s="3216"/>
      <c r="B10" s="3218" t="s">
        <v>1092</v>
      </c>
      <c r="C10" s="3218"/>
      <c r="D10" s="1307"/>
      <c r="E10" s="1307" t="e">
        <f>ROUND(D1*10000/D10/H9,0)</f>
        <v>#DIV/0!</v>
      </c>
      <c r="F10" s="1308"/>
      <c r="G10" s="1308"/>
      <c r="H10" s="1309"/>
      <c r="I10" s="1310">
        <f>SUM(I3:I9)</f>
        <v>0</v>
      </c>
    </row>
    <row r="11" spans="1:9" ht="14.25">
      <c r="A11" s="3216" t="s">
        <v>1093</v>
      </c>
      <c r="B11" s="3217" t="s">
        <v>1094</v>
      </c>
      <c r="C11" s="3217"/>
      <c r="D11" s="1303" t="s">
        <v>1095</v>
      </c>
      <c r="E11" s="1303" t="s">
        <v>1096</v>
      </c>
      <c r="F11" s="1304" t="s">
        <v>1097</v>
      </c>
      <c r="G11" s="1304" t="s">
        <v>1083</v>
      </c>
      <c r="H11" s="1311" t="s">
        <v>1098</v>
      </c>
      <c r="I11" s="1302" t="s">
        <v>1084</v>
      </c>
    </row>
    <row r="12" spans="1:9">
      <c r="A12" s="3216"/>
      <c r="B12" s="3217" t="s">
        <v>1099</v>
      </c>
      <c r="C12" s="3217"/>
      <c r="D12" s="1303"/>
      <c r="E12" s="1303"/>
      <c r="F12" s="1304"/>
      <c r="G12" s="1305"/>
      <c r="H12" s="1312"/>
      <c r="I12" s="1302">
        <f>ROUND(D12*E12*F12*G12/10000,0)</f>
        <v>0</v>
      </c>
    </row>
    <row r="13" spans="1:9">
      <c r="A13" s="3216"/>
      <c r="B13" s="3217" t="s">
        <v>1100</v>
      </c>
      <c r="C13" s="3217"/>
      <c r="D13" s="1303"/>
      <c r="E13" s="1303"/>
      <c r="F13" s="1304"/>
      <c r="G13" s="1305"/>
      <c r="H13" s="1312"/>
      <c r="I13" s="1302">
        <f>ROUND(D13*E13*F13*G13/10000,0)</f>
        <v>0</v>
      </c>
    </row>
    <row r="14" spans="1:9">
      <c r="A14" s="3216"/>
      <c r="B14" s="3217" t="s">
        <v>1101</v>
      </c>
      <c r="C14" s="3217"/>
      <c r="D14" s="1303"/>
      <c r="E14" s="1303"/>
      <c r="F14" s="1304"/>
      <c r="G14" s="1305"/>
      <c r="H14" s="1312"/>
      <c r="I14" s="1302">
        <f>ROUND(D14*E14*F14*G14/10000,0)</f>
        <v>0</v>
      </c>
    </row>
    <row r="15" spans="1:9">
      <c r="A15" s="3216"/>
      <c r="B15" s="3218" t="s">
        <v>1092</v>
      </c>
      <c r="C15" s="3218"/>
      <c r="D15" s="1307"/>
      <c r="E15" s="1307">
        <f>SUM(E12:E14)</f>
        <v>0</v>
      </c>
      <c r="F15" s="1308"/>
      <c r="G15" s="1305"/>
      <c r="H15" s="1312"/>
      <c r="I15" s="1313">
        <f>SUM(I12:I14)</f>
        <v>0</v>
      </c>
    </row>
    <row r="16" spans="1:9" ht="24">
      <c r="A16" s="3216" t="s">
        <v>1102</v>
      </c>
      <c r="B16" s="3217" t="s">
        <v>1103</v>
      </c>
      <c r="C16" s="3217"/>
      <c r="D16" s="1303" t="s">
        <v>1079</v>
      </c>
      <c r="E16" s="1314" t="s">
        <v>1104</v>
      </c>
      <c r="F16" s="1304" t="s">
        <v>1105</v>
      </c>
      <c r="G16" s="1305" t="s">
        <v>1083</v>
      </c>
      <c r="H16" s="1311" t="s">
        <v>1098</v>
      </c>
      <c r="I16" s="1302" t="s">
        <v>1084</v>
      </c>
    </row>
    <row r="17" spans="1:9" ht="14.25">
      <c r="A17" s="3216"/>
      <c r="B17" s="3217" t="s">
        <v>1106</v>
      </c>
      <c r="C17" s="3217"/>
      <c r="D17" s="1303"/>
      <c r="E17" s="1303"/>
      <c r="F17" s="1304"/>
      <c r="G17" s="1305"/>
      <c r="H17" s="1315"/>
      <c r="I17" s="1316">
        <f>ROUND(D17*E17*F17*G17/10000,0)</f>
        <v>0</v>
      </c>
    </row>
    <row r="18" spans="1:9" ht="14.25">
      <c r="A18" s="3216"/>
      <c r="B18" s="3217" t="s">
        <v>1107</v>
      </c>
      <c r="C18" s="3217"/>
      <c r="D18" s="1303"/>
      <c r="E18" s="1303"/>
      <c r="F18" s="1304"/>
      <c r="G18" s="1305"/>
      <c r="H18" s="1315"/>
      <c r="I18" s="1316">
        <f>ROUND(D18*E18*F18*G18/10000,0)</f>
        <v>0</v>
      </c>
    </row>
    <row r="19" spans="1:9" ht="14.25">
      <c r="A19" s="3216"/>
      <c r="B19" s="3217" t="s">
        <v>1108</v>
      </c>
      <c r="C19" s="3217"/>
      <c r="D19" s="1303"/>
      <c r="E19" s="1303"/>
      <c r="F19" s="1304"/>
      <c r="G19" s="1305"/>
      <c r="H19" s="1315"/>
      <c r="I19" s="1316">
        <f>ROUND(D19*E19*F19*G19/10000,0)</f>
        <v>0</v>
      </c>
    </row>
    <row r="20" spans="1:9">
      <c r="A20" s="3216"/>
      <c r="B20" s="3218" t="s">
        <v>1092</v>
      </c>
      <c r="C20" s="3218"/>
      <c r="D20" s="1307">
        <f>SUM(D17:D19)</f>
        <v>0</v>
      </c>
      <c r="E20" s="1307"/>
      <c r="F20" s="1308"/>
      <c r="G20" s="1305"/>
      <c r="H20" s="1312"/>
      <c r="I20" s="1313">
        <f>SUM(I17:I19)</f>
        <v>0</v>
      </c>
    </row>
    <row r="21" spans="1:9">
      <c r="A21" s="3216" t="s">
        <v>1109</v>
      </c>
      <c r="B21" s="3220"/>
      <c r="C21" s="3220"/>
      <c r="D21" s="3220"/>
      <c r="E21" s="3220"/>
      <c r="F21" s="3220"/>
      <c r="G21" s="3220"/>
      <c r="H21" s="1765">
        <v>0.1</v>
      </c>
      <c r="I21" s="1310">
        <f>ROUND(I10*H21,0)</f>
        <v>0</v>
      </c>
    </row>
    <row r="22" spans="1:9" ht="14.25">
      <c r="A22" s="3221" t="s">
        <v>1110</v>
      </c>
      <c r="B22" s="3222"/>
      <c r="C22" s="3223"/>
      <c r="D22" s="1317" t="s">
        <v>1111</v>
      </c>
      <c r="E22" s="1317" t="s">
        <v>1112</v>
      </c>
      <c r="F22" s="1318" t="s">
        <v>1113</v>
      </c>
      <c r="G22" s="1318" t="s">
        <v>1114</v>
      </c>
      <c r="H22" s="1311" t="s">
        <v>1115</v>
      </c>
      <c r="I22" s="1302" t="s">
        <v>1116</v>
      </c>
    </row>
    <row r="23" spans="1:9" ht="14.25" thickBot="1">
      <c r="A23" s="3224"/>
      <c r="B23" s="3225"/>
      <c r="C23" s="3226"/>
      <c r="D23" s="1319"/>
      <c r="E23" s="1319"/>
      <c r="F23" s="1319"/>
      <c r="G23" s="1320"/>
      <c r="H23" s="1321"/>
      <c r="I23" s="1322">
        <f>ROUND(E23*D23*F23*(1-G23)/10000,0)</f>
        <v>0</v>
      </c>
    </row>
    <row r="26" spans="1:9">
      <c r="A26" s="1323" t="s">
        <v>1117</v>
      </c>
      <c r="B26" s="1323"/>
      <c r="C26" s="1323"/>
      <c r="D26" s="1323"/>
      <c r="E26" s="3227">
        <f>C27-C30-C31-C32</f>
        <v>0</v>
      </c>
      <c r="F26" s="3227"/>
      <c r="G26" s="3227"/>
      <c r="H26" s="1737" t="s">
        <v>1340</v>
      </c>
    </row>
    <row r="27" spans="1:9">
      <c r="A27" s="1324">
        <v>1</v>
      </c>
      <c r="B27" s="1325" t="s">
        <v>1118</v>
      </c>
      <c r="C27" s="1325">
        <f>C28+C29</f>
        <v>0</v>
      </c>
      <c r="D27" s="1325"/>
      <c r="E27" s="3228"/>
      <c r="F27" s="3228"/>
      <c r="G27" s="3228"/>
    </row>
    <row r="28" spans="1:9">
      <c r="A28" s="1326" t="s">
        <v>1119</v>
      </c>
      <c r="B28" s="1325" t="s">
        <v>1120</v>
      </c>
      <c r="C28" s="1325"/>
      <c r="D28" s="1325"/>
      <c r="E28" s="3228"/>
      <c r="F28" s="3228"/>
      <c r="G28" s="322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19"/>
      <c r="F32" s="3219"/>
      <c r="G32" s="3219"/>
    </row>
    <row r="33" spans="1:7" hidden="1">
      <c r="A33" s="3229" t="s">
        <v>1129</v>
      </c>
      <c r="B33" s="3230"/>
      <c r="C33" s="3230"/>
      <c r="D33" s="3231"/>
      <c r="E33" s="3227"/>
      <c r="F33" s="3227"/>
      <c r="G33" s="3227"/>
    </row>
    <row r="34" spans="1:7" hidden="1">
      <c r="A34" s="1328">
        <v>1</v>
      </c>
      <c r="B34" s="1325" t="s">
        <v>1130</v>
      </c>
      <c r="C34" s="1325"/>
      <c r="D34" s="1325"/>
      <c r="E34" s="3228"/>
      <c r="F34" s="3228"/>
      <c r="G34" s="3228"/>
    </row>
    <row r="35" spans="1:7" hidden="1">
      <c r="A35" s="1328">
        <v>2</v>
      </c>
      <c r="B35" s="1325" t="s">
        <v>1131</v>
      </c>
      <c r="C35" s="1325"/>
      <c r="D35" s="1325"/>
      <c r="E35" s="3228"/>
      <c r="F35" s="3228"/>
      <c r="G35" s="3228"/>
    </row>
    <row r="36" spans="1:7" hidden="1">
      <c r="A36" s="1328">
        <v>3</v>
      </c>
      <c r="B36" s="1325" t="s">
        <v>1132</v>
      </c>
      <c r="C36" s="1325"/>
      <c r="D36" s="1325"/>
      <c r="E36" s="3228"/>
      <c r="F36" s="3228"/>
      <c r="G36" s="3228"/>
    </row>
    <row r="37" spans="1:7" hidden="1">
      <c r="A37" s="1328">
        <v>4</v>
      </c>
      <c r="B37" s="1325" t="s">
        <v>1133</v>
      </c>
      <c r="C37" s="1325"/>
      <c r="D37" s="1325"/>
      <c r="E37" s="3228"/>
      <c r="F37" s="3228"/>
      <c r="G37" s="3228"/>
    </row>
    <row r="38" spans="1:7" hidden="1">
      <c r="A38" s="3229" t="s">
        <v>1134</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1" t="s">
        <v>2528</v>
      </c>
      <c r="C1" s="1634" t="s">
        <v>2529</v>
      </c>
      <c r="D1" s="1621"/>
      <c r="E1" s="2582"/>
      <c r="F1" s="2583" t="s">
        <v>2530</v>
      </c>
      <c r="G1" s="1631" t="s">
        <v>2531</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1394</v>
      </c>
      <c r="B2" s="1418" t="e">
        <f ca="1">IF(C2="——",ROUND(C49*D3/10000,0),ROUND(C49*D3/10000,0)-D2)</f>
        <v>#DIV/0!</v>
      </c>
      <c r="C2" s="2585"/>
      <c r="D2" s="1365" t="e">
        <f ca="1">SUMIF(INDIRECT("'"&amp;F2&amp;"'"&amp;"!A:A"),"承租人权益价值",INDIRECT("'"&amp;F2&amp;"'"&amp;"!c:c"))</f>
        <v>#REF!</v>
      </c>
      <c r="E2" s="2586" t="s">
        <v>2532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2533</v>
      </c>
      <c r="D3" s="399">
        <f>IF(D1="",'数据-汇总表'!E3,SUMIF('数据-汇总表'!$C19:$C33,D1,'数据-汇总表'!$E19:$E33))</f>
        <v>8582.619999999999</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2534</v>
      </c>
      <c r="B4" s="402"/>
      <c r="C4" s="3183" t="s">
        <v>2535</v>
      </c>
      <c r="D4" s="3184"/>
      <c r="E4" s="3185" t="s">
        <v>2536</v>
      </c>
      <c r="F4" s="3186"/>
      <c r="G4" s="3183" t="s">
        <v>2537</v>
      </c>
      <c r="H4" s="3184"/>
      <c r="I4" s="3183" t="s">
        <v>2538</v>
      </c>
      <c r="J4" s="3184"/>
      <c r="K4" s="2595" t="s">
        <v>2539</v>
      </c>
      <c r="L4" s="1130"/>
      <c r="M4" s="1131"/>
      <c r="N4" s="1131"/>
      <c r="O4" s="1131"/>
      <c r="P4" s="3187" t="s">
        <v>2540</v>
      </c>
      <c r="Q4" s="3188"/>
      <c r="R4" s="3168" t="s">
        <v>2536</v>
      </c>
      <c r="S4" s="3169"/>
      <c r="T4" s="3168" t="s">
        <v>2537</v>
      </c>
      <c r="U4" s="3169"/>
      <c r="V4" s="3165" t="s">
        <v>2538</v>
      </c>
      <c r="W4" s="3165"/>
      <c r="X4" s="1813"/>
      <c r="Y4" s="3168" t="s">
        <v>2540</v>
      </c>
      <c r="Z4" s="3169"/>
      <c r="AA4" s="3162" t="s">
        <v>2536</v>
      </c>
      <c r="AB4" s="3162" t="s">
        <v>2537</v>
      </c>
      <c r="AC4" s="3162" t="s">
        <v>2538</v>
      </c>
    </row>
    <row r="5" spans="1:29" ht="15">
      <c r="A5" s="404"/>
      <c r="B5" s="405"/>
      <c r="C5" s="3174" t="s">
        <v>2541</v>
      </c>
      <c r="D5" s="3175"/>
      <c r="E5" s="3232" t="s">
        <v>2542</v>
      </c>
      <c r="F5" s="3173"/>
      <c r="G5" s="3174" t="s">
        <v>2543</v>
      </c>
      <c r="H5" s="3175"/>
      <c r="I5" s="3174" t="s">
        <v>2544</v>
      </c>
      <c r="J5" s="3175"/>
      <c r="K5" s="2596"/>
      <c r="L5" s="1130"/>
      <c r="M5" s="1131"/>
      <c r="N5" s="1131"/>
      <c r="O5" s="1131"/>
      <c r="P5" s="3189"/>
      <c r="Q5" s="3190"/>
      <c r="R5" s="3170"/>
      <c r="S5" s="3171"/>
      <c r="T5" s="3170"/>
      <c r="U5" s="3171"/>
      <c r="V5" s="3165"/>
      <c r="W5" s="3165"/>
      <c r="X5" s="1813"/>
      <c r="Y5" s="3170"/>
      <c r="Z5" s="3171"/>
      <c r="AA5" s="3163"/>
      <c r="AB5" s="3163"/>
      <c r="AC5" s="3163"/>
    </row>
    <row r="6" spans="1:29" ht="15.75" thickBot="1">
      <c r="A6" s="406"/>
      <c r="B6" s="407"/>
      <c r="C6" s="3176" t="s">
        <v>2545</v>
      </c>
      <c r="D6" s="3177"/>
      <c r="E6" s="3233" t="s">
        <v>2545</v>
      </c>
      <c r="F6" s="3180"/>
      <c r="G6" s="3176" t="s">
        <v>2545</v>
      </c>
      <c r="H6" s="3177"/>
      <c r="I6" s="3176" t="s">
        <v>2545</v>
      </c>
      <c r="J6" s="3177"/>
      <c r="K6" s="2596" t="s">
        <v>2546</v>
      </c>
      <c r="L6" s="1130"/>
      <c r="M6" s="1131"/>
      <c r="N6" s="1131"/>
      <c r="O6" s="1131"/>
      <c r="P6" s="3191"/>
      <c r="Q6" s="3192"/>
      <c r="R6" s="3170"/>
      <c r="S6" s="3171"/>
      <c r="T6" s="3193"/>
      <c r="U6" s="3194"/>
      <c r="V6" s="3165"/>
      <c r="W6" s="3165"/>
      <c r="X6" s="1813"/>
      <c r="Y6" s="3193"/>
      <c r="Z6" s="3194"/>
      <c r="AA6" s="3164"/>
      <c r="AB6" s="3164"/>
      <c r="AC6" s="3164"/>
    </row>
    <row r="7" spans="1:29" s="117" customFormat="1" ht="15.75" thickBot="1">
      <c r="A7" s="408" t="s">
        <v>2547</v>
      </c>
      <c r="B7" s="409"/>
      <c r="C7" s="410">
        <f>'数据-取费表'!B2</f>
        <v>43262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66" t="s">
        <v>2548</v>
      </c>
      <c r="Q7" s="3195"/>
      <c r="R7" s="767" t="s">
        <v>23</v>
      </c>
      <c r="S7" s="768">
        <f t="shared" ref="S7:S15" si="0">F7</f>
        <v>0</v>
      </c>
      <c r="T7" s="767" t="s">
        <v>23</v>
      </c>
      <c r="U7" s="768">
        <f t="shared" ref="U7:U15" si="1">H7</f>
        <v>0</v>
      </c>
      <c r="V7" s="767" t="s">
        <v>23</v>
      </c>
      <c r="W7" s="768">
        <f t="shared" ref="W7:W15" si="2">J7</f>
        <v>0</v>
      </c>
      <c r="X7" s="769"/>
      <c r="Y7" s="3166" t="s">
        <v>2548</v>
      </c>
      <c r="Z7" s="3167"/>
      <c r="AA7" s="770" t="e">
        <f>D7/F7</f>
        <v>#DIV/0!</v>
      </c>
      <c r="AB7" s="770" t="e">
        <f>D7/H7</f>
        <v>#DIV/0!</v>
      </c>
      <c r="AC7" s="770" t="e">
        <f>D7/J7</f>
        <v>#DIV/0!</v>
      </c>
    </row>
    <row r="8" spans="1:29" s="117" customFormat="1" ht="15.75" thickBot="1">
      <c r="A8" s="408" t="s">
        <v>2549</v>
      </c>
      <c r="B8" s="409"/>
      <c r="C8" s="414" t="s">
        <v>2550</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66" t="s">
        <v>2551</v>
      </c>
      <c r="Q8" s="3167"/>
      <c r="R8" s="767" t="s">
        <v>23</v>
      </c>
      <c r="S8" s="768">
        <f t="shared" si="0"/>
        <v>0</v>
      </c>
      <c r="T8" s="767" t="s">
        <v>23</v>
      </c>
      <c r="U8" s="768">
        <f t="shared" si="1"/>
        <v>0</v>
      </c>
      <c r="V8" s="767" t="s">
        <v>23</v>
      </c>
      <c r="W8" s="768">
        <f t="shared" si="2"/>
        <v>0</v>
      </c>
      <c r="X8" s="769"/>
      <c r="Y8" s="3166" t="s">
        <v>2551</v>
      </c>
      <c r="Z8" s="3167"/>
      <c r="AA8" s="770" t="e">
        <f t="shared" ref="AA8:AA19" si="3">D8/F8</f>
        <v>#DIV/0!</v>
      </c>
      <c r="AB8" s="770" t="e">
        <f t="shared" ref="AB8:AB19" si="4">D8/H8</f>
        <v>#DIV/0!</v>
      </c>
      <c r="AC8" s="770"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82" t="s">
        <v>2554</v>
      </c>
      <c r="Q9" s="1795" t="str">
        <f t="shared" ref="Q9:Q15" si="6">B9</f>
        <v>用途</v>
      </c>
      <c r="R9" s="767" t="s">
        <v>17</v>
      </c>
      <c r="S9" s="768">
        <f t="shared" si="0"/>
        <v>100</v>
      </c>
      <c r="T9" s="767" t="s">
        <v>17</v>
      </c>
      <c r="U9" s="768">
        <f t="shared" si="1"/>
        <v>100</v>
      </c>
      <c r="V9" s="767" t="s">
        <v>17</v>
      </c>
      <c r="W9" s="768">
        <f t="shared" si="2"/>
        <v>100</v>
      </c>
      <c r="X9" s="769"/>
      <c r="Y9" s="3034"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2"/>
      <c r="Q10" s="1795"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2"/>
      <c r="Q11" s="1795" t="str">
        <f t="shared" si="6"/>
        <v>容积率</v>
      </c>
      <c r="R11" s="767" t="s">
        <v>21</v>
      </c>
      <c r="S11" s="768" t="e">
        <f t="shared" si="0"/>
        <v>#N/A</v>
      </c>
      <c r="T11" s="767" t="s">
        <v>21</v>
      </c>
      <c r="U11" s="768" t="e">
        <f t="shared" si="1"/>
        <v>#N/A</v>
      </c>
      <c r="V11" s="767" t="s">
        <v>21</v>
      </c>
      <c r="W11" s="768" t="e">
        <f t="shared" si="2"/>
        <v>#N/A</v>
      </c>
      <c r="X11" s="769"/>
      <c r="Y11" s="3034"/>
      <c r="Z11" s="55" t="str">
        <f t="shared" si="7"/>
        <v>容积率</v>
      </c>
      <c r="AA11" s="770" t="e">
        <f t="shared" si="3"/>
        <v>#N/A</v>
      </c>
      <c r="AB11" s="770" t="e">
        <f t="shared" si="4"/>
        <v>#N/A</v>
      </c>
      <c r="AC11" s="770"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82"/>
      <c r="Q12" s="1795">
        <f t="shared" si="6"/>
        <v>111</v>
      </c>
      <c r="R12" s="767" t="s">
        <v>21</v>
      </c>
      <c r="S12" s="768">
        <f t="shared" si="0"/>
        <v>100</v>
      </c>
      <c r="T12" s="767" t="s">
        <v>21</v>
      </c>
      <c r="U12" s="768">
        <f t="shared" si="1"/>
        <v>100</v>
      </c>
      <c r="V12" s="767" t="s">
        <v>21</v>
      </c>
      <c r="W12" s="768">
        <f t="shared" si="2"/>
        <v>100</v>
      </c>
      <c r="X12" s="769"/>
      <c r="Y12" s="3034"/>
      <c r="Z12" s="55">
        <f t="shared" si="7"/>
        <v>111</v>
      </c>
      <c r="AA12" s="770">
        <f>D12/F12</f>
        <v>1</v>
      </c>
      <c r="AB12" s="770">
        <f>D12/H12</f>
        <v>1</v>
      </c>
      <c r="AC12" s="770">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82"/>
      <c r="Q13" s="1795">
        <f t="shared" si="6"/>
        <v>111</v>
      </c>
      <c r="R13" s="767" t="s">
        <v>21</v>
      </c>
      <c r="S13" s="768">
        <f t="shared" si="0"/>
        <v>100</v>
      </c>
      <c r="T13" s="767" t="s">
        <v>21</v>
      </c>
      <c r="U13" s="768">
        <f t="shared" si="1"/>
        <v>100</v>
      </c>
      <c r="V13" s="767" t="s">
        <v>21</v>
      </c>
      <c r="W13" s="768">
        <f t="shared" si="2"/>
        <v>100</v>
      </c>
      <c r="X13" s="769"/>
      <c r="Y13" s="3034"/>
      <c r="Z13" s="55">
        <f t="shared" si="7"/>
        <v>111</v>
      </c>
      <c r="AA13" s="770">
        <f t="shared" si="3"/>
        <v>1</v>
      </c>
      <c r="AB13" s="770">
        <f t="shared" si="4"/>
        <v>1</v>
      </c>
      <c r="AC13" s="770">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82"/>
      <c r="Q14" s="1795">
        <f t="shared" si="6"/>
        <v>111</v>
      </c>
      <c r="R14" s="767" t="s">
        <v>21</v>
      </c>
      <c r="S14" s="768">
        <f t="shared" si="0"/>
        <v>100</v>
      </c>
      <c r="T14" s="767" t="s">
        <v>21</v>
      </c>
      <c r="U14" s="768">
        <f t="shared" si="1"/>
        <v>100</v>
      </c>
      <c r="V14" s="767" t="s">
        <v>21</v>
      </c>
      <c r="W14" s="768">
        <f t="shared" si="2"/>
        <v>100</v>
      </c>
      <c r="X14" s="769"/>
      <c r="Y14" s="3034"/>
      <c r="Z14" s="55">
        <f t="shared" si="7"/>
        <v>111</v>
      </c>
      <c r="AA14" s="770">
        <f t="shared" si="3"/>
        <v>1</v>
      </c>
      <c r="AB14" s="770">
        <f t="shared" si="4"/>
        <v>1</v>
      </c>
      <c r="AC14" s="770">
        <f t="shared" si="5"/>
        <v>1</v>
      </c>
    </row>
    <row r="15" spans="1:29" ht="99.75">
      <c r="A15" s="440" t="s">
        <v>2558</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96" t="s">
        <v>2559</v>
      </c>
      <c r="Q15" s="1810" t="str">
        <f t="shared" si="6"/>
        <v>居住社区成熟度</v>
      </c>
      <c r="R15" s="771" t="s">
        <v>21</v>
      </c>
      <c r="S15" s="772">
        <f t="shared" si="0"/>
        <v>100</v>
      </c>
      <c r="T15" s="771" t="s">
        <v>21</v>
      </c>
      <c r="U15" s="772">
        <f t="shared" si="1"/>
        <v>100</v>
      </c>
      <c r="V15" s="771" t="s">
        <v>21</v>
      </c>
      <c r="W15" s="772">
        <f t="shared" si="2"/>
        <v>100</v>
      </c>
      <c r="X15" s="1813"/>
      <c r="Y15" s="3198" t="s">
        <v>2559</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197"/>
      <c r="Q16" s="1810"/>
      <c r="R16" s="771"/>
      <c r="S16" s="772"/>
      <c r="T16" s="771"/>
      <c r="U16" s="772"/>
      <c r="V16" s="771"/>
      <c r="W16" s="772"/>
      <c r="X16" s="1813"/>
      <c r="Y16" s="3199"/>
      <c r="Z16" s="1814"/>
      <c r="AA16" s="1811">
        <v>1</v>
      </c>
      <c r="AB16" s="1811">
        <v>1</v>
      </c>
      <c r="AC16" s="1811">
        <v>1</v>
      </c>
    </row>
    <row r="17" spans="1:29" ht="85.5">
      <c r="A17" s="428"/>
      <c r="B17" s="451" t="s">
        <v>2095</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97"/>
      <c r="Q17" s="1810" t="str">
        <f>B17</f>
        <v>交通便捷度</v>
      </c>
      <c r="R17" s="771" t="s">
        <v>21</v>
      </c>
      <c r="S17" s="772">
        <f>F17</f>
        <v>100</v>
      </c>
      <c r="T17" s="771" t="s">
        <v>21</v>
      </c>
      <c r="U17" s="772">
        <f>H17</f>
        <v>100</v>
      </c>
      <c r="V17" s="771" t="s">
        <v>21</v>
      </c>
      <c r="W17" s="772">
        <f>J17</f>
        <v>100</v>
      </c>
      <c r="X17" s="1813"/>
      <c r="Y17" s="3199"/>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197"/>
      <c r="Q18" s="1810"/>
      <c r="R18" s="771"/>
      <c r="S18" s="772"/>
      <c r="T18" s="771"/>
      <c r="U18" s="772"/>
      <c r="V18" s="771"/>
      <c r="W18" s="772"/>
      <c r="X18" s="1813"/>
      <c r="Y18" s="3199"/>
      <c r="Z18" s="1814"/>
      <c r="AA18" s="1811">
        <v>1</v>
      </c>
      <c r="AB18" s="1811">
        <v>1</v>
      </c>
      <c r="AC18" s="1811">
        <v>1</v>
      </c>
    </row>
    <row r="19" spans="1:29" ht="42.75">
      <c r="A19" s="428"/>
      <c r="B19" s="451" t="s">
        <v>2093</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97"/>
      <c r="Q19" s="1810" t="str">
        <f>B19</f>
        <v>公共配套设施</v>
      </c>
      <c r="R19" s="771" t="s">
        <v>21</v>
      </c>
      <c r="S19" s="772">
        <f>F19</f>
        <v>100</v>
      </c>
      <c r="T19" s="771" t="s">
        <v>21</v>
      </c>
      <c r="U19" s="772">
        <f>H19</f>
        <v>100</v>
      </c>
      <c r="V19" s="771" t="s">
        <v>21</v>
      </c>
      <c r="W19" s="772">
        <f>J19</f>
        <v>100</v>
      </c>
      <c r="X19" s="1813"/>
      <c r="Y19" s="3199"/>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197"/>
      <c r="Q20" s="1810"/>
      <c r="R20" s="771"/>
      <c r="S20" s="772"/>
      <c r="T20" s="771"/>
      <c r="U20" s="772"/>
      <c r="V20" s="771"/>
      <c r="W20" s="772"/>
      <c r="X20" s="1813"/>
      <c r="Y20" s="3199"/>
      <c r="Z20" s="1814"/>
      <c r="AA20" s="1811">
        <v>1</v>
      </c>
      <c r="AB20" s="1811">
        <v>1</v>
      </c>
      <c r="AC20" s="1811">
        <v>1</v>
      </c>
    </row>
    <row r="21" spans="1:29" ht="28.5">
      <c r="A21" s="428"/>
      <c r="B21" s="1384" t="s">
        <v>2096</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97"/>
      <c r="Q21" s="1810" t="str">
        <f>B21</f>
        <v>基础设施水平</v>
      </c>
      <c r="R21" s="771" t="s">
        <v>17</v>
      </c>
      <c r="S21" s="772">
        <f>F21</f>
        <v>100</v>
      </c>
      <c r="T21" s="771" t="s">
        <v>17</v>
      </c>
      <c r="U21" s="772">
        <f>H21</f>
        <v>100</v>
      </c>
      <c r="V21" s="771" t="s">
        <v>17</v>
      </c>
      <c r="W21" s="772">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197"/>
      <c r="Q22" s="1810"/>
      <c r="R22" s="771"/>
      <c r="S22" s="772"/>
      <c r="T22" s="771"/>
      <c r="U22" s="772"/>
      <c r="V22" s="771"/>
      <c r="W22" s="772"/>
      <c r="X22" s="1813"/>
      <c r="Y22" s="3199"/>
      <c r="Z22" s="1814"/>
      <c r="AA22" s="1811">
        <v>1</v>
      </c>
      <c r="AB22" s="1811">
        <v>1</v>
      </c>
      <c r="AC22" s="1811">
        <v>1</v>
      </c>
    </row>
    <row r="23" spans="1:29" ht="57">
      <c r="A23" s="428"/>
      <c r="B23" s="451" t="s">
        <v>2100</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97"/>
      <c r="Q23" s="1810" t="str">
        <f>B23</f>
        <v>自然及人文环境</v>
      </c>
      <c r="R23" s="771" t="s">
        <v>21</v>
      </c>
      <c r="S23" s="772">
        <f>F23</f>
        <v>100</v>
      </c>
      <c r="T23" s="771" t="s">
        <v>21</v>
      </c>
      <c r="U23" s="772">
        <f>H23</f>
        <v>100</v>
      </c>
      <c r="V23" s="771" t="s">
        <v>21</v>
      </c>
      <c r="W23" s="772">
        <f>J23</f>
        <v>100</v>
      </c>
      <c r="X23" s="1813"/>
      <c r="Y23" s="3199"/>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197"/>
      <c r="Q24" s="1810"/>
      <c r="R24" s="771"/>
      <c r="S24" s="772"/>
      <c r="T24" s="771"/>
      <c r="U24" s="772"/>
      <c r="V24" s="771"/>
      <c r="W24" s="772"/>
      <c r="X24" s="1813"/>
      <c r="Y24" s="3199"/>
      <c r="Z24" s="1814"/>
      <c r="AA24" s="1811">
        <v>1</v>
      </c>
      <c r="AB24" s="1811">
        <v>1</v>
      </c>
      <c r="AC24" s="1811">
        <v>1</v>
      </c>
    </row>
    <row r="25" spans="1:29" ht="15">
      <c r="A25" s="428"/>
      <c r="B25" s="422" t="s">
        <v>2560</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197"/>
      <c r="Q25" s="1810" t="str">
        <f t="shared" ref="Q25:Q46" si="11">B25</f>
        <v>楼层-1</v>
      </c>
      <c r="R25" s="771" t="s">
        <v>21</v>
      </c>
      <c r="S25" s="772">
        <f t="shared" ref="S25:S46" si="12">F25</f>
        <v>100</v>
      </c>
      <c r="T25" s="771" t="s">
        <v>21</v>
      </c>
      <c r="U25" s="772">
        <f t="shared" ref="U25:U46" si="13">H25</f>
        <v>100</v>
      </c>
      <c r="V25" s="771" t="s">
        <v>21</v>
      </c>
      <c r="W25" s="772">
        <f t="shared" ref="W25:W46" si="14">J25</f>
        <v>100</v>
      </c>
      <c r="X25" s="1813"/>
      <c r="Y25" s="3199"/>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197"/>
      <c r="Q26" s="1810" t="str">
        <f t="shared" si="11"/>
        <v>朝向</v>
      </c>
      <c r="R26" s="771" t="s">
        <v>21</v>
      </c>
      <c r="S26" s="772">
        <f t="shared" si="12"/>
        <v>100</v>
      </c>
      <c r="T26" s="771" t="s">
        <v>21</v>
      </c>
      <c r="U26" s="772">
        <f t="shared" si="13"/>
        <v>100</v>
      </c>
      <c r="V26" s="771" t="s">
        <v>21</v>
      </c>
      <c r="W26" s="772">
        <f t="shared" si="14"/>
        <v>100</v>
      </c>
      <c r="X26" s="1813"/>
      <c r="Y26" s="319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197"/>
      <c r="Q27" s="1795">
        <f t="shared" si="11"/>
        <v>111</v>
      </c>
      <c r="R27" s="767" t="s">
        <v>21</v>
      </c>
      <c r="S27" s="768">
        <f t="shared" si="12"/>
        <v>100</v>
      </c>
      <c r="T27" s="767" t="s">
        <v>21</v>
      </c>
      <c r="U27" s="768">
        <f t="shared" si="13"/>
        <v>100</v>
      </c>
      <c r="V27" s="767" t="s">
        <v>21</v>
      </c>
      <c r="W27" s="768">
        <f t="shared" si="14"/>
        <v>100</v>
      </c>
      <c r="X27" s="769"/>
      <c r="Y27" s="319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197"/>
      <c r="Q28" s="1810">
        <f t="shared" si="11"/>
        <v>111</v>
      </c>
      <c r="R28" s="771" t="s">
        <v>21</v>
      </c>
      <c r="S28" s="772">
        <f t="shared" si="12"/>
        <v>100</v>
      </c>
      <c r="T28" s="771" t="s">
        <v>21</v>
      </c>
      <c r="U28" s="772">
        <f t="shared" si="13"/>
        <v>100</v>
      </c>
      <c r="V28" s="771" t="s">
        <v>21</v>
      </c>
      <c r="W28" s="772">
        <f t="shared" si="14"/>
        <v>100</v>
      </c>
      <c r="X28" s="1813"/>
      <c r="Y28" s="319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197"/>
      <c r="Q29" s="1810">
        <f t="shared" si="11"/>
        <v>111</v>
      </c>
      <c r="R29" s="771" t="s">
        <v>21</v>
      </c>
      <c r="S29" s="772">
        <f t="shared" si="12"/>
        <v>100</v>
      </c>
      <c r="T29" s="771" t="s">
        <v>21</v>
      </c>
      <c r="U29" s="772">
        <f t="shared" si="13"/>
        <v>100</v>
      </c>
      <c r="V29" s="771" t="s">
        <v>21</v>
      </c>
      <c r="W29" s="772">
        <f t="shared" si="14"/>
        <v>100</v>
      </c>
      <c r="X29" s="1813"/>
      <c r="Y29" s="319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197"/>
      <c r="Q30" s="1810">
        <f t="shared" si="11"/>
        <v>111</v>
      </c>
      <c r="R30" s="771" t="s">
        <v>21</v>
      </c>
      <c r="S30" s="772">
        <f t="shared" si="12"/>
        <v>100</v>
      </c>
      <c r="T30" s="771" t="s">
        <v>21</v>
      </c>
      <c r="U30" s="772">
        <f t="shared" si="13"/>
        <v>100</v>
      </c>
      <c r="V30" s="771" t="s">
        <v>21</v>
      </c>
      <c r="W30" s="772">
        <f t="shared" si="14"/>
        <v>100</v>
      </c>
      <c r="X30" s="1813"/>
      <c r="Y30" s="319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197"/>
      <c r="Q31" s="1810">
        <f t="shared" si="11"/>
        <v>111</v>
      </c>
      <c r="R31" s="771" t="s">
        <v>21</v>
      </c>
      <c r="S31" s="772">
        <f t="shared" si="12"/>
        <v>100</v>
      </c>
      <c r="T31" s="771" t="s">
        <v>21</v>
      </c>
      <c r="U31" s="772">
        <f t="shared" si="13"/>
        <v>100</v>
      </c>
      <c r="V31" s="771" t="s">
        <v>21</v>
      </c>
      <c r="W31" s="772">
        <f t="shared" si="14"/>
        <v>100</v>
      </c>
      <c r="X31" s="1813"/>
      <c r="Y31" s="3199"/>
      <c r="Z31" s="1814">
        <f t="shared" si="18"/>
        <v>111</v>
      </c>
      <c r="AA31" s="1811">
        <f t="shared" si="15"/>
        <v>1</v>
      </c>
      <c r="AB31" s="1811">
        <f t="shared" si="16"/>
        <v>1</v>
      </c>
      <c r="AC31" s="1811">
        <f t="shared" si="17"/>
        <v>1</v>
      </c>
    </row>
    <row r="32" spans="1:29" ht="15">
      <c r="A32" s="440" t="s">
        <v>2562</v>
      </c>
      <c r="B32" s="71" t="s">
        <v>2563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00" t="s">
        <v>2564</v>
      </c>
      <c r="Q32" s="1810" t="str">
        <f t="shared" si="11"/>
        <v>建筑类型</v>
      </c>
      <c r="R32" s="771" t="s">
        <v>21</v>
      </c>
      <c r="S32" s="772">
        <f t="shared" si="12"/>
        <v>100</v>
      </c>
      <c r="T32" s="771" t="s">
        <v>21</v>
      </c>
      <c r="U32" s="772">
        <f t="shared" si="13"/>
        <v>100</v>
      </c>
      <c r="V32" s="771" t="s">
        <v>21</v>
      </c>
      <c r="W32" s="772">
        <f t="shared" si="14"/>
        <v>100</v>
      </c>
      <c r="X32" s="1813"/>
      <c r="Y32" s="3203"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01"/>
      <c r="Q33" s="773" t="str">
        <f t="shared" si="11"/>
        <v>项目建筑规模</v>
      </c>
      <c r="R33" s="774" t="s">
        <v>21</v>
      </c>
      <c r="S33" s="775" t="e">
        <f t="shared" si="12"/>
        <v>#N/A</v>
      </c>
      <c r="T33" s="774" t="s">
        <v>21</v>
      </c>
      <c r="U33" s="775" t="e">
        <f t="shared" si="13"/>
        <v>#N/A</v>
      </c>
      <c r="V33" s="774" t="s">
        <v>21</v>
      </c>
      <c r="W33" s="775" t="e">
        <f t="shared" si="14"/>
        <v>#N/A</v>
      </c>
      <c r="X33" s="776"/>
      <c r="Y33" s="3203"/>
      <c r="Z33" s="777" t="str">
        <f t="shared" si="18"/>
        <v>项目建筑规模</v>
      </c>
      <c r="AA33" s="1811" t="e">
        <f t="shared" si="15"/>
        <v>#N/A</v>
      </c>
      <c r="AB33" s="1811" t="e">
        <f t="shared" si="16"/>
        <v>#N/A</v>
      </c>
      <c r="AC33" s="1811" t="e">
        <f t="shared" si="17"/>
        <v>#N/A</v>
      </c>
    </row>
    <row r="34" spans="1:29" ht="15">
      <c r="A34" s="472"/>
      <c r="B34" s="422" t="s">
        <v>2566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01"/>
      <c r="Q34" s="1810" t="str">
        <f t="shared" si="11"/>
        <v>建筑结构</v>
      </c>
      <c r="R34" s="771" t="s">
        <v>21</v>
      </c>
      <c r="S34" s="772">
        <f t="shared" si="12"/>
        <v>100</v>
      </c>
      <c r="T34" s="771" t="s">
        <v>21</v>
      </c>
      <c r="U34" s="772">
        <f t="shared" si="13"/>
        <v>100</v>
      </c>
      <c r="V34" s="771" t="s">
        <v>21</v>
      </c>
      <c r="W34" s="772">
        <f t="shared" si="14"/>
        <v>100</v>
      </c>
      <c r="X34" s="1813"/>
      <c r="Y34" s="3203"/>
      <c r="Z34" s="1814" t="str">
        <f t="shared" si="18"/>
        <v>建筑结构</v>
      </c>
      <c r="AA34" s="1811">
        <f t="shared" si="15"/>
        <v>1</v>
      </c>
      <c r="AB34" s="1811">
        <f t="shared" si="16"/>
        <v>1</v>
      </c>
      <c r="AC34" s="1811">
        <f t="shared" si="17"/>
        <v>1</v>
      </c>
    </row>
    <row r="35" spans="1:29" ht="15">
      <c r="A35" s="472"/>
      <c r="B35" s="422" t="s">
        <v>2567</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01"/>
      <c r="Q35" s="1810" t="str">
        <f t="shared" si="11"/>
        <v>建筑品质</v>
      </c>
      <c r="R35" s="771" t="s">
        <v>21</v>
      </c>
      <c r="S35" s="772">
        <f t="shared" si="12"/>
        <v>100</v>
      </c>
      <c r="T35" s="771" t="s">
        <v>21</v>
      </c>
      <c r="U35" s="772">
        <f t="shared" si="13"/>
        <v>100</v>
      </c>
      <c r="V35" s="771" t="s">
        <v>21</v>
      </c>
      <c r="W35" s="772">
        <f t="shared" si="14"/>
        <v>100</v>
      </c>
      <c r="X35" s="1813"/>
      <c r="Y35" s="3203"/>
      <c r="Z35" s="1814" t="str">
        <f t="shared" si="18"/>
        <v>建筑品质</v>
      </c>
      <c r="AA35" s="1811">
        <f t="shared" si="15"/>
        <v>1</v>
      </c>
      <c r="AB35" s="1811">
        <f t="shared" si="16"/>
        <v>1</v>
      </c>
      <c r="AC35" s="1811">
        <f t="shared" si="17"/>
        <v>1</v>
      </c>
    </row>
    <row r="36" spans="1:29" ht="15">
      <c r="A36" s="472"/>
      <c r="B36" s="422" t="s">
        <v>2568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01"/>
      <c r="Q36" s="1810" t="str">
        <f t="shared" si="11"/>
        <v>公共部分装修</v>
      </c>
      <c r="R36" s="771" t="s">
        <v>21</v>
      </c>
      <c r="S36" s="772">
        <f t="shared" si="12"/>
        <v>100</v>
      </c>
      <c r="T36" s="771" t="s">
        <v>21</v>
      </c>
      <c r="U36" s="772">
        <f t="shared" si="13"/>
        <v>100</v>
      </c>
      <c r="V36" s="771" t="s">
        <v>21</v>
      </c>
      <c r="W36" s="772">
        <f t="shared" si="14"/>
        <v>100</v>
      </c>
      <c r="X36" s="1813"/>
      <c r="Y36" s="3203"/>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1"/>
      <c r="Q37" s="1795" t="str">
        <f t="shared" si="11"/>
        <v>成新度</v>
      </c>
      <c r="R37" s="767" t="s">
        <v>21</v>
      </c>
      <c r="S37" s="768" t="e">
        <f t="shared" si="12"/>
        <v>#N/A</v>
      </c>
      <c r="T37" s="767" t="s">
        <v>21</v>
      </c>
      <c r="U37" s="768" t="e">
        <f t="shared" si="13"/>
        <v>#N/A</v>
      </c>
      <c r="V37" s="767" t="s">
        <v>21</v>
      </c>
      <c r="W37" s="768" t="e">
        <f t="shared" si="14"/>
        <v>#N/A</v>
      </c>
      <c r="X37" s="769"/>
      <c r="Y37" s="3203"/>
      <c r="Z37" s="55" t="str">
        <f t="shared" si="18"/>
        <v>成新度</v>
      </c>
      <c r="AA37" s="770" t="e">
        <f t="shared" si="15"/>
        <v>#N/A</v>
      </c>
      <c r="AB37" s="770" t="e">
        <f t="shared" si="16"/>
        <v>#N/A</v>
      </c>
      <c r="AC37" s="770" t="e">
        <f t="shared" si="17"/>
        <v>#N/A</v>
      </c>
    </row>
    <row r="38" spans="1:29" ht="15">
      <c r="A38" s="472"/>
      <c r="B38" s="422" t="s">
        <v>2570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01" t="s">
        <v>2564</v>
      </c>
      <c r="Q38" s="1810" t="str">
        <f t="shared" si="11"/>
        <v>物业管理</v>
      </c>
      <c r="R38" s="771" t="s">
        <v>21</v>
      </c>
      <c r="S38" s="772">
        <f t="shared" si="12"/>
        <v>100</v>
      </c>
      <c r="T38" s="771" t="s">
        <v>21</v>
      </c>
      <c r="U38" s="772">
        <f t="shared" si="13"/>
        <v>100</v>
      </c>
      <c r="V38" s="771" t="s">
        <v>21</v>
      </c>
      <c r="W38" s="772">
        <f t="shared" si="14"/>
        <v>100</v>
      </c>
      <c r="X38" s="1813"/>
      <c r="Y38" s="3203" t="s">
        <v>2564</v>
      </c>
      <c r="Z38" s="1814" t="str">
        <f t="shared" si="18"/>
        <v>物业管理</v>
      </c>
      <c r="AA38" s="1811">
        <f t="shared" si="15"/>
        <v>1</v>
      </c>
      <c r="AB38" s="1811">
        <f t="shared" si="16"/>
        <v>1</v>
      </c>
      <c r="AC38" s="1811">
        <f t="shared" si="17"/>
        <v>1</v>
      </c>
    </row>
    <row r="39" spans="1:29" ht="15">
      <c r="A39" s="472"/>
      <c r="B39" s="422" t="s">
        <v>2571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01"/>
      <c r="Q39" s="1810" t="str">
        <f t="shared" si="11"/>
        <v>市政基础设施</v>
      </c>
      <c r="R39" s="771" t="s">
        <v>21</v>
      </c>
      <c r="S39" s="772">
        <f t="shared" si="12"/>
        <v>100</v>
      </c>
      <c r="T39" s="771" t="s">
        <v>21</v>
      </c>
      <c r="U39" s="772">
        <f t="shared" si="13"/>
        <v>100</v>
      </c>
      <c r="V39" s="771" t="s">
        <v>21</v>
      </c>
      <c r="W39" s="772">
        <f t="shared" si="14"/>
        <v>100</v>
      </c>
      <c r="X39" s="1813"/>
      <c r="Y39" s="3203"/>
      <c r="Z39" s="1814" t="str">
        <f t="shared" si="18"/>
        <v>市政基础设施</v>
      </c>
      <c r="AA39" s="1811">
        <f t="shared" si="15"/>
        <v>1</v>
      </c>
      <c r="AB39" s="1811">
        <f t="shared" si="16"/>
        <v>1</v>
      </c>
      <c r="AC39" s="1811">
        <f t="shared" si="17"/>
        <v>1</v>
      </c>
    </row>
    <row r="40" spans="1:29" ht="15">
      <c r="A40" s="472"/>
      <c r="B40" s="422" t="s">
        <v>2572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01"/>
      <c r="Q40" s="1810" t="str">
        <f t="shared" si="11"/>
        <v>房型</v>
      </c>
      <c r="R40" s="771" t="s">
        <v>21</v>
      </c>
      <c r="S40" s="772">
        <f t="shared" si="12"/>
        <v>100</v>
      </c>
      <c r="T40" s="771" t="s">
        <v>21</v>
      </c>
      <c r="U40" s="772">
        <f t="shared" si="13"/>
        <v>100</v>
      </c>
      <c r="V40" s="771" t="s">
        <v>21</v>
      </c>
      <c r="W40" s="772">
        <f t="shared" si="14"/>
        <v>100</v>
      </c>
      <c r="X40" s="1813"/>
      <c r="Y40" s="3203"/>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01"/>
      <c r="Q41" s="773" t="str">
        <f t="shared" si="11"/>
        <v>单套/主力户型建筑面积</v>
      </c>
      <c r="R41" s="774" t="s">
        <v>21</v>
      </c>
      <c r="S41" s="775">
        <f t="shared" si="12"/>
        <v>100</v>
      </c>
      <c r="T41" s="774" t="s">
        <v>21</v>
      </c>
      <c r="U41" s="775">
        <f t="shared" si="13"/>
        <v>100</v>
      </c>
      <c r="V41" s="774" t="s">
        <v>21</v>
      </c>
      <c r="W41" s="775">
        <f t="shared" si="14"/>
        <v>100</v>
      </c>
      <c r="X41" s="776"/>
      <c r="Y41" s="3203"/>
      <c r="Z41" s="777" t="str">
        <f t="shared" si="18"/>
        <v>单套/主力户型建筑面积</v>
      </c>
      <c r="AA41" s="1811">
        <f t="shared" si="15"/>
        <v>1</v>
      </c>
      <c r="AB41" s="1811">
        <f t="shared" si="16"/>
        <v>1</v>
      </c>
      <c r="AC41" s="1811">
        <f t="shared" si="17"/>
        <v>1</v>
      </c>
    </row>
    <row r="42" spans="1:29" ht="15">
      <c r="A42" s="472"/>
      <c r="B42" s="422" t="s">
        <v>2574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01"/>
      <c r="Q42" s="1810" t="str">
        <f t="shared" si="11"/>
        <v>内部装修</v>
      </c>
      <c r="R42" s="771" t="s">
        <v>21</v>
      </c>
      <c r="S42" s="772">
        <f t="shared" si="12"/>
        <v>100</v>
      </c>
      <c r="T42" s="771" t="s">
        <v>21</v>
      </c>
      <c r="U42" s="772">
        <f t="shared" si="13"/>
        <v>100</v>
      </c>
      <c r="V42" s="771" t="s">
        <v>21</v>
      </c>
      <c r="W42" s="772">
        <f t="shared" si="14"/>
        <v>100</v>
      </c>
      <c r="X42" s="1813"/>
      <c r="Y42" s="3203"/>
      <c r="Z42" s="1814" t="str">
        <f t="shared" si="18"/>
        <v>内部装修</v>
      </c>
      <c r="AA42" s="1811">
        <f t="shared" si="15"/>
        <v>1</v>
      </c>
      <c r="AB42" s="1811">
        <f t="shared" si="16"/>
        <v>1</v>
      </c>
      <c r="AC42" s="1811">
        <f t="shared" si="17"/>
        <v>1</v>
      </c>
    </row>
    <row r="43" spans="1:29" ht="15">
      <c r="A43" s="472"/>
      <c r="B43" s="422" t="s">
        <v>2575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01"/>
      <c r="Q43" s="1810" t="str">
        <f t="shared" si="11"/>
        <v>内部装修维护情况</v>
      </c>
      <c r="R43" s="771" t="s">
        <v>21</v>
      </c>
      <c r="S43" s="772">
        <f t="shared" si="12"/>
        <v>100</v>
      </c>
      <c r="T43" s="771" t="s">
        <v>21</v>
      </c>
      <c r="U43" s="772">
        <f t="shared" si="13"/>
        <v>100</v>
      </c>
      <c r="V43" s="771" t="s">
        <v>21</v>
      </c>
      <c r="W43" s="772">
        <f t="shared" si="14"/>
        <v>100</v>
      </c>
      <c r="X43" s="1813"/>
      <c r="Y43" s="320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01"/>
      <c r="Q44" s="1795">
        <f t="shared" si="11"/>
        <v>111</v>
      </c>
      <c r="R44" s="767" t="s">
        <v>21</v>
      </c>
      <c r="S44" s="768">
        <f t="shared" si="12"/>
        <v>100</v>
      </c>
      <c r="T44" s="767" t="s">
        <v>21</v>
      </c>
      <c r="U44" s="768">
        <f t="shared" si="13"/>
        <v>100</v>
      </c>
      <c r="V44" s="767" t="s">
        <v>21</v>
      </c>
      <c r="W44" s="768">
        <f t="shared" si="14"/>
        <v>100</v>
      </c>
      <c r="X44" s="769"/>
      <c r="Y44" s="3203"/>
      <c r="Z44" s="55">
        <f t="shared" si="18"/>
        <v>111</v>
      </c>
      <c r="AA44" s="770">
        <f t="shared" si="15"/>
        <v>1</v>
      </c>
      <c r="AB44" s="770">
        <f t="shared" si="16"/>
        <v>1</v>
      </c>
      <c r="AC44" s="770">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01"/>
      <c r="Q45" s="1810">
        <f t="shared" si="11"/>
        <v>111</v>
      </c>
      <c r="R45" s="771" t="s">
        <v>21</v>
      </c>
      <c r="S45" s="772">
        <f t="shared" si="12"/>
        <v>100</v>
      </c>
      <c r="T45" s="771" t="s">
        <v>21</v>
      </c>
      <c r="U45" s="772">
        <f t="shared" si="13"/>
        <v>100</v>
      </c>
      <c r="V45" s="771" t="s">
        <v>21</v>
      </c>
      <c r="W45" s="772">
        <f t="shared" si="14"/>
        <v>100</v>
      </c>
      <c r="X45" s="1813"/>
      <c r="Y45" s="3203"/>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02"/>
      <c r="Q46" s="1810">
        <f t="shared" si="11"/>
        <v>111</v>
      </c>
      <c r="R46" s="771" t="s">
        <v>20</v>
      </c>
      <c r="S46" s="772">
        <f t="shared" si="12"/>
        <v>100</v>
      </c>
      <c r="T46" s="771" t="s">
        <v>20</v>
      </c>
      <c r="U46" s="772">
        <f t="shared" si="13"/>
        <v>100</v>
      </c>
      <c r="V46" s="771" t="s">
        <v>20</v>
      </c>
      <c r="W46" s="772">
        <f t="shared" si="14"/>
        <v>100</v>
      </c>
      <c r="X46" s="1813"/>
      <c r="Y46" s="3204"/>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0"/>
      <c r="L47" s="1143"/>
      <c r="M47" s="1144"/>
      <c r="N47" s="1131"/>
      <c r="O47" s="1144"/>
      <c r="P47" s="3205" t="str">
        <f>A47</f>
        <v>成交单价（元/平方米）</v>
      </c>
      <c r="Q47" s="3205"/>
      <c r="R47" s="3206">
        <f>E47</f>
        <v>0</v>
      </c>
      <c r="S47" s="3206"/>
      <c r="T47" s="3206">
        <f>G47</f>
        <v>0</v>
      </c>
      <c r="U47" s="3206"/>
      <c r="V47" s="3206">
        <f>I47</f>
        <v>0</v>
      </c>
      <c r="W47" s="3206"/>
      <c r="X47" s="756"/>
      <c r="Y47" s="778"/>
      <c r="Z47" s="756"/>
      <c r="AA47" s="756"/>
      <c r="AB47" s="756"/>
      <c r="AC47" s="756"/>
    </row>
    <row r="48" spans="1:29" ht="15.75" thickBot="1">
      <c r="A48" s="486" t="s">
        <v>2577</v>
      </c>
      <c r="B48" s="487"/>
      <c r="C48" s="1413" t="e">
        <f>R49</f>
        <v>#DIV/0!</v>
      </c>
      <c r="D48" s="1414"/>
      <c r="E48" s="1415" t="e">
        <f>R48</f>
        <v>#DIV/0!</v>
      </c>
      <c r="F48" s="1415"/>
      <c r="G48" s="1413" t="e">
        <f>T48</f>
        <v>#DIV/0!</v>
      </c>
      <c r="H48" s="1414"/>
      <c r="I48" s="1415" t="e">
        <f>V48</f>
        <v>#DIV/0!</v>
      </c>
      <c r="J48" s="1414"/>
      <c r="K48" s="2621"/>
      <c r="L48" s="1143"/>
      <c r="M48" s="1144"/>
      <c r="N48" s="1144"/>
      <c r="O48" s="1144"/>
      <c r="P48" s="3205" t="str">
        <f>A48</f>
        <v>比较价值（元/平方米）</v>
      </c>
      <c r="Q48" s="3205"/>
      <c r="R48" s="3206" t="e">
        <f>IF(F1="售价",ROUND(PRODUCT(R47,AA7:AA46),0),ROUND(PRODUCT(R47,AA7:AA46),1))</f>
        <v>#DIV/0!</v>
      </c>
      <c r="S48" s="3206"/>
      <c r="T48" s="3206" t="e">
        <f>IF(F1="售价",ROUND(PRODUCT(T47,AB7:AB46),0),ROUND(PRODUCT(T47,AB7:AB46),1))</f>
        <v>#DIV/0!</v>
      </c>
      <c r="U48" s="3206"/>
      <c r="V48" s="3206" t="e">
        <f>IF(F1="售价",ROUND(PRODUCT(V47,AC7:AC46),0),ROUND(PRODUCT(V47,AC7:AC46),1))</f>
        <v>#DIV/0!</v>
      </c>
      <c r="W48" s="3206"/>
      <c r="X48" s="756"/>
      <c r="Y48" s="756"/>
      <c r="Z48" s="756"/>
      <c r="AA48" s="756"/>
      <c r="AB48" s="756"/>
      <c r="AC48" s="756"/>
    </row>
    <row r="49" spans="1:29" ht="15.75" thickBot="1">
      <c r="A49" s="492" t="s">
        <v>2578</v>
      </c>
      <c r="B49" s="493"/>
      <c r="C49" s="1416" t="e">
        <f>R49</f>
        <v>#DIV/0!</v>
      </c>
      <c r="D49" s="1417"/>
      <c r="E49" s="1417"/>
      <c r="F49" s="1417"/>
      <c r="G49" s="1417"/>
      <c r="H49" s="1417"/>
      <c r="I49" s="1417"/>
      <c r="J49" s="1417"/>
      <c r="K49" s="2622"/>
      <c r="L49" s="1143"/>
      <c r="M49" s="1144"/>
      <c r="N49" s="1144"/>
      <c r="O49" s="1144"/>
      <c r="P49" s="3207" t="str">
        <f>A49</f>
        <v>估价对象XX用房的比较价值（楼面单价，元/平方米）</v>
      </c>
      <c r="Q49" s="3208"/>
      <c r="R49" s="3209" t="e">
        <f>IF(F1="售价",ROUND(AVERAGE(R48:V48),0),ROUND(AVERAGE(R48:V48),1))</f>
        <v>#DIV/0!</v>
      </c>
      <c r="S49" s="3209"/>
      <c r="T49" s="3209"/>
      <c r="U49" s="3209"/>
      <c r="V49" s="3209"/>
      <c r="W49" s="3209"/>
      <c r="X49" s="756"/>
      <c r="Y49" s="756"/>
      <c r="Z49" s="756"/>
      <c r="AA49" s="756"/>
      <c r="AB49" s="756"/>
      <c r="AC49" s="756"/>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0" t="s">
        <v>2582</v>
      </c>
      <c r="B57" s="756"/>
      <c r="C57" s="761"/>
      <c r="D57" s="761"/>
      <c r="E57" s="761"/>
      <c r="F57" s="762"/>
      <c r="G57" s="762"/>
      <c r="H57" s="761"/>
      <c r="I57" s="761"/>
      <c r="J57" s="761"/>
      <c r="K57" s="1160"/>
      <c r="L57" s="1161"/>
      <c r="M57" s="1159"/>
      <c r="N57" s="1159"/>
      <c r="O57" s="1159"/>
      <c r="P57" s="2625"/>
      <c r="Q57" s="504"/>
    </row>
    <row r="58" spans="1:29" s="508" customFormat="1" ht="15">
      <c r="A58" s="505" t="s">
        <v>2583</v>
      </c>
      <c r="B58" s="506"/>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2584</v>
      </c>
      <c r="B60" s="516"/>
      <c r="C60" s="517"/>
      <c r="D60" s="518"/>
      <c r="E60" s="518"/>
      <c r="F60" s="518"/>
      <c r="G60" s="518"/>
      <c r="H60" s="518"/>
      <c r="I60" s="518"/>
      <c r="J60" s="518"/>
      <c r="K60" s="518"/>
      <c r="L60" s="518"/>
      <c r="M60" s="519"/>
      <c r="N60" s="518"/>
      <c r="O60" s="519"/>
      <c r="P60" s="2627"/>
      <c r="Q60" s="504"/>
    </row>
    <row r="61" spans="1:29" s="117" customFormat="1" ht="15">
      <c r="A61" s="521" t="s">
        <v>2585</v>
      </c>
      <c r="B61" s="510"/>
      <c r="C61" s="522" t="s">
        <v>2586</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2587</v>
      </c>
      <c r="B63" s="528" t="s">
        <v>2553</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29"/>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3"/>
      <c r="O83" s="1153"/>
      <c r="P83" s="2629"/>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2609</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2610</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2562</v>
      </c>
      <c r="B100" s="528" t="s">
        <v>2611</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2613</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2614</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2615</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2616</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2617</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2618</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2619</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6" t="s">
        <v>2624</v>
      </c>
      <c r="D138" s="146" t="s">
        <v>2625</v>
      </c>
      <c r="E138" s="2644" t="s">
        <v>2626</v>
      </c>
      <c r="F138" s="2645" t="s">
        <v>2627</v>
      </c>
      <c r="G138" s="146" t="s">
        <v>2625</v>
      </c>
      <c r="H138" s="147" t="s">
        <v>2626</v>
      </c>
      <c r="I138" s="2646"/>
      <c r="J138" s="146" t="s">
        <v>2628</v>
      </c>
      <c r="K138" s="147" t="s">
        <v>2629</v>
      </c>
    </row>
    <row r="139" spans="1:17" ht="15">
      <c r="B139" s="1084">
        <v>6</v>
      </c>
      <c r="C139" s="1085">
        <v>96</v>
      </c>
      <c r="D139" s="2647" t="s">
        <v>2630</v>
      </c>
      <c r="E139" s="1086">
        <v>100</v>
      </c>
      <c r="F139" s="1087">
        <v>102.5</v>
      </c>
      <c r="G139" s="2647" t="s">
        <v>2630</v>
      </c>
      <c r="H139" s="1088">
        <v>105</v>
      </c>
      <c r="I139" s="2648" t="s">
        <v>2631</v>
      </c>
      <c r="J139" s="1085">
        <v>20</v>
      </c>
      <c r="K139" s="1089">
        <f>C145/(J139-2)</f>
        <v>4.0555555555555553E-3</v>
      </c>
    </row>
    <row r="140" spans="1:17" ht="15">
      <c r="B140" s="1090">
        <v>5</v>
      </c>
      <c r="C140" s="1091">
        <v>100</v>
      </c>
      <c r="D140" s="1091"/>
      <c r="E140" s="1092"/>
      <c r="F140" s="1093">
        <v>102</v>
      </c>
      <c r="G140" s="1091"/>
      <c r="H140" s="1094"/>
      <c r="I140" s="2649" t="s">
        <v>2632</v>
      </c>
      <c r="J140" s="315">
        <f>ROUNDUP((J139-1)/2,0)</f>
        <v>10</v>
      </c>
      <c r="K140" s="1095">
        <v>100</v>
      </c>
    </row>
    <row r="141" spans="1:17" ht="15">
      <c r="B141" s="1090">
        <v>4</v>
      </c>
      <c r="C141" s="1091">
        <v>102</v>
      </c>
      <c r="D141" s="1091"/>
      <c r="E141" s="1092"/>
      <c r="F141" s="1093">
        <v>101.5</v>
      </c>
      <c r="G141" s="1091"/>
      <c r="H141" s="1094"/>
      <c r="I141" s="2649" t="s">
        <v>2633</v>
      </c>
      <c r="J141" s="315">
        <v>1</v>
      </c>
      <c r="K141" s="1096">
        <f>ROUND(100+(J141-J140)*K139*100,1)</f>
        <v>96.4</v>
      </c>
    </row>
    <row r="142" spans="1:17" ht="15">
      <c r="B142" s="1090">
        <v>3</v>
      </c>
      <c r="C142" s="1091">
        <v>103</v>
      </c>
      <c r="D142" s="1091"/>
      <c r="E142" s="1092"/>
      <c r="F142" s="1093">
        <v>101</v>
      </c>
      <c r="G142" s="1091"/>
      <c r="H142" s="1094"/>
      <c r="I142" s="2649" t="s">
        <v>2634</v>
      </c>
      <c r="J142" s="315">
        <f>J139</f>
        <v>20</v>
      </c>
      <c r="K142" s="1097">
        <v>95</v>
      </c>
    </row>
    <row r="143" spans="1:17" ht="15">
      <c r="B143" s="1090">
        <v>2</v>
      </c>
      <c r="C143" s="1091">
        <v>100</v>
      </c>
      <c r="D143" s="1091"/>
      <c r="E143" s="1092"/>
      <c r="F143" s="1093">
        <v>100.5</v>
      </c>
      <c r="G143" s="1091"/>
      <c r="H143" s="1094"/>
      <c r="I143" s="2649" t="s">
        <v>2635</v>
      </c>
      <c r="J143" s="1091">
        <v>15</v>
      </c>
      <c r="K143" s="1096">
        <f>ROUND(100+(J143-J140)*K139*100,1)</f>
        <v>102</v>
      </c>
    </row>
    <row r="144" spans="1:17" ht="15">
      <c r="B144" s="1090">
        <v>1</v>
      </c>
      <c r="C144" s="1091">
        <v>98</v>
      </c>
      <c r="D144" s="2650" t="s">
        <v>2636</v>
      </c>
      <c r="E144" s="1092">
        <v>102</v>
      </c>
      <c r="F144" s="1098">
        <v>100</v>
      </c>
      <c r="G144" s="2650" t="s">
        <v>2636</v>
      </c>
      <c r="H144" s="1094">
        <v>105</v>
      </c>
      <c r="I144" s="2649" t="s">
        <v>2635</v>
      </c>
      <c r="J144" s="1091">
        <v>18</v>
      </c>
      <c r="K144" s="1096">
        <f>ROUND(100+(J144-J140)*K139*100,1)</f>
        <v>103.2</v>
      </c>
    </row>
    <row r="145" spans="2:11" ht="15.75" thickBot="1">
      <c r="B145" s="2651" t="s">
        <v>2637</v>
      </c>
      <c r="C145" s="1099">
        <f>ROUND(MAX(C139:C144)/MIN(C139:C144)-1,3)</f>
        <v>7.2999999999999995E-2</v>
      </c>
      <c r="D145" s="1100"/>
      <c r="E145" s="1100"/>
      <c r="F145" s="2652" t="s">
        <v>2638</v>
      </c>
      <c r="G145" s="2653"/>
      <c r="H145" s="2654"/>
      <c r="I145" s="2655" t="s">
        <v>2635</v>
      </c>
      <c r="J145" s="1101">
        <v>8</v>
      </c>
      <c r="K145" s="1102">
        <f>ROUND(100+(J145-J140)*K139*100,1)</f>
        <v>99.2</v>
      </c>
    </row>
    <row r="147" spans="2:11">
      <c r="B147" s="2636" t="s">
        <v>2639</v>
      </c>
    </row>
    <row r="148" spans="2:11">
      <c r="B148" s="2636"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2684</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5"/>
      <c r="D2" s="1365" t="e">
        <f ca="1">SUMIF(INDIRECT("'"&amp;F2&amp;"'"&amp;"!A:A"),"承租人权益价值",INDIRECT("'"&amp;F2&amp;"'"&amp;"!c:c"))</f>
        <v>#REF!</v>
      </c>
      <c r="E2" s="2586" t="s">
        <v>2327</v>
      </c>
      <c r="F2" s="2587"/>
      <c r="G2" s="1125"/>
      <c r="H2" s="1125"/>
      <c r="I2" s="1125"/>
      <c r="J2" s="1125"/>
      <c r="K2" s="1125"/>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IF(C2="——",C50,ROUND(B2*10000/D3,0))</f>
        <v>#DIV/0!</v>
      </c>
      <c r="C3" s="400" t="s">
        <v>2643</v>
      </c>
      <c r="D3" s="399">
        <f>IF(D1="",'数据-汇总表'!E3,SUMIF('数据-汇总表'!$C19:$C33,D1,'数据-汇总表'!$E19:$E33))</f>
        <v>8582.619999999999</v>
      </c>
      <c r="E3" s="2662"/>
      <c r="F3" s="1126"/>
      <c r="G3" s="1125"/>
      <c r="H3" s="1125"/>
      <c r="I3" s="1125"/>
      <c r="J3" s="1125"/>
      <c r="K3" s="1127"/>
      <c r="L3" s="1128"/>
      <c r="M3" s="1129"/>
      <c r="N3" s="1129"/>
      <c r="O3" s="1129"/>
      <c r="P3" s="765"/>
      <c r="Q3" s="765"/>
      <c r="R3" s="765"/>
      <c r="S3" s="765"/>
      <c r="T3" s="765"/>
      <c r="U3" s="765"/>
      <c r="V3" s="765"/>
      <c r="W3" s="765"/>
      <c r="X3" s="765"/>
      <c r="Y3" s="765"/>
      <c r="Z3" s="765"/>
      <c r="AA3" s="765"/>
      <c r="AB3" s="765"/>
      <c r="AC3" s="766"/>
    </row>
    <row r="4" spans="1:29" ht="15">
      <c r="A4" s="401" t="s">
        <v>2644</v>
      </c>
      <c r="B4" s="402"/>
      <c r="C4" s="3183" t="s">
        <v>2645</v>
      </c>
      <c r="D4" s="3184"/>
      <c r="E4" s="3185" t="s">
        <v>2646</v>
      </c>
      <c r="F4" s="3186"/>
      <c r="G4" s="3183" t="s">
        <v>2647</v>
      </c>
      <c r="H4" s="3184"/>
      <c r="I4" s="3183" t="s">
        <v>2648</v>
      </c>
      <c r="J4" s="3184"/>
      <c r="K4" s="610" t="s">
        <v>2649</v>
      </c>
      <c r="L4" s="1130"/>
      <c r="M4" s="1131"/>
      <c r="N4" s="1131"/>
      <c r="O4" s="1131"/>
      <c r="P4" s="3240" t="s">
        <v>2650</v>
      </c>
      <c r="Q4" s="3241"/>
      <c r="R4" s="3235" t="s">
        <v>2646</v>
      </c>
      <c r="S4" s="3236"/>
      <c r="T4" s="3235" t="s">
        <v>2647</v>
      </c>
      <c r="U4" s="3236"/>
      <c r="V4" s="3244" t="s">
        <v>2648</v>
      </c>
      <c r="W4" s="3244"/>
      <c r="X4" s="2669"/>
      <c r="Y4" s="3235" t="s">
        <v>2650</v>
      </c>
      <c r="Z4" s="3236"/>
      <c r="AA4" s="3234" t="s">
        <v>2646</v>
      </c>
      <c r="AB4" s="3234" t="s">
        <v>2647</v>
      </c>
      <c r="AC4" s="3237" t="s">
        <v>2648</v>
      </c>
    </row>
    <row r="5" spans="1:29" ht="15">
      <c r="A5" s="404"/>
      <c r="B5" s="405"/>
      <c r="C5" s="3174" t="s">
        <v>2541</v>
      </c>
      <c r="D5" s="3175"/>
      <c r="E5" s="3232" t="s">
        <v>2542</v>
      </c>
      <c r="F5" s="3173"/>
      <c r="G5" s="3174" t="s">
        <v>2543</v>
      </c>
      <c r="H5" s="3175"/>
      <c r="I5" s="3174" t="s">
        <v>2544</v>
      </c>
      <c r="J5" s="3175"/>
      <c r="K5" s="610"/>
      <c r="L5" s="1130"/>
      <c r="M5" s="1131"/>
      <c r="N5" s="1131"/>
      <c r="O5" s="1131"/>
      <c r="P5" s="3242"/>
      <c r="Q5" s="3190"/>
      <c r="R5" s="3170"/>
      <c r="S5" s="3171"/>
      <c r="T5" s="3170"/>
      <c r="U5" s="3171"/>
      <c r="V5" s="3165"/>
      <c r="W5" s="3165"/>
      <c r="X5" s="1813"/>
      <c r="Y5" s="3170"/>
      <c r="Z5" s="3171"/>
      <c r="AA5" s="3163"/>
      <c r="AB5" s="3163"/>
      <c r="AC5" s="3238"/>
    </row>
    <row r="6" spans="1:29" ht="15.75" thickBot="1">
      <c r="A6" s="406"/>
      <c r="B6" s="407"/>
      <c r="C6" s="3176" t="s">
        <v>2545</v>
      </c>
      <c r="D6" s="3177"/>
      <c r="E6" s="3233" t="s">
        <v>2545</v>
      </c>
      <c r="F6" s="3180"/>
      <c r="G6" s="3176" t="s">
        <v>2545</v>
      </c>
      <c r="H6" s="3177"/>
      <c r="I6" s="3176" t="s">
        <v>2545</v>
      </c>
      <c r="J6" s="3177"/>
      <c r="K6" s="610" t="s">
        <v>2546</v>
      </c>
      <c r="L6" s="1130"/>
      <c r="M6" s="1131"/>
      <c r="N6" s="1131"/>
      <c r="O6" s="1131"/>
      <c r="P6" s="3243"/>
      <c r="Q6" s="3192"/>
      <c r="R6" s="3170"/>
      <c r="S6" s="3171"/>
      <c r="T6" s="3193"/>
      <c r="U6" s="3194"/>
      <c r="V6" s="3165"/>
      <c r="W6" s="3165"/>
      <c r="X6" s="1813"/>
      <c r="Y6" s="3193"/>
      <c r="Z6" s="3194"/>
      <c r="AA6" s="3164"/>
      <c r="AB6" s="3164"/>
      <c r="AC6" s="3239"/>
    </row>
    <row r="7" spans="1:29" s="117" customFormat="1" ht="15.75" thickBot="1">
      <c r="A7" s="408" t="s">
        <v>2547</v>
      </c>
      <c r="B7" s="409"/>
      <c r="C7" s="410">
        <f>'数据-取费表'!B2</f>
        <v>43262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5" t="s">
        <v>2548</v>
      </c>
      <c r="Q7" s="3195"/>
      <c r="R7" s="767" t="s">
        <v>17</v>
      </c>
      <c r="S7" s="768">
        <f t="shared" ref="S7:S15" si="0">F7</f>
        <v>0</v>
      </c>
      <c r="T7" s="767" t="s">
        <v>17</v>
      </c>
      <c r="U7" s="768">
        <f t="shared" ref="U7:U15" si="1">H7</f>
        <v>0</v>
      </c>
      <c r="V7" s="767" t="s">
        <v>17</v>
      </c>
      <c r="W7" s="768">
        <f t="shared" ref="W7:W15" si="2">J7</f>
        <v>0</v>
      </c>
      <c r="X7" s="769"/>
      <c r="Y7" s="3166" t="s">
        <v>2548</v>
      </c>
      <c r="Z7" s="3167"/>
      <c r="AA7" s="770" t="e">
        <f>D7/F7</f>
        <v>#DIV/0!</v>
      </c>
      <c r="AB7" s="770" t="e">
        <f>D7/H7</f>
        <v>#DIV/0!</v>
      </c>
      <c r="AC7" s="2670"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5" t="s">
        <v>2551</v>
      </c>
      <c r="Q8" s="3167"/>
      <c r="R8" s="767" t="s">
        <v>17</v>
      </c>
      <c r="S8" s="768">
        <f t="shared" si="0"/>
        <v>0</v>
      </c>
      <c r="T8" s="767" t="s">
        <v>17</v>
      </c>
      <c r="U8" s="768">
        <f t="shared" si="1"/>
        <v>0</v>
      </c>
      <c r="V8" s="767" t="s">
        <v>17</v>
      </c>
      <c r="W8" s="768">
        <f t="shared" si="2"/>
        <v>0</v>
      </c>
      <c r="X8" s="769"/>
      <c r="Y8" s="3166" t="s">
        <v>2551</v>
      </c>
      <c r="Z8" s="3167"/>
      <c r="AA8" s="770" t="e">
        <f t="shared" ref="AA8:AA47" si="3">D8/F8</f>
        <v>#DIV/0!</v>
      </c>
      <c r="AB8" s="770" t="e">
        <f t="shared" ref="AB8:AB47" si="4">D8/H8</f>
        <v>#DIV/0!</v>
      </c>
      <c r="AC8" s="2670"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2" t="s">
        <v>2554</v>
      </c>
      <c r="Q9" s="1795" t="str">
        <f t="shared" ref="Q9:Q15" si="6">B9</f>
        <v>用途</v>
      </c>
      <c r="R9" s="767" t="s">
        <v>17</v>
      </c>
      <c r="S9" s="768">
        <f t="shared" si="0"/>
        <v>100</v>
      </c>
      <c r="T9" s="767" t="s">
        <v>17</v>
      </c>
      <c r="U9" s="768">
        <f t="shared" si="1"/>
        <v>100</v>
      </c>
      <c r="V9" s="767" t="s">
        <v>17</v>
      </c>
      <c r="W9" s="768">
        <f t="shared" si="2"/>
        <v>100</v>
      </c>
      <c r="X9" s="769"/>
      <c r="Y9" s="3034" t="s">
        <v>2555</v>
      </c>
      <c r="Z9" s="55" t="str">
        <f t="shared" ref="Z9:Z15" si="7">Q9</f>
        <v>用途</v>
      </c>
      <c r="AA9" s="770">
        <f t="shared" si="3"/>
        <v>1</v>
      </c>
      <c r="AB9" s="770">
        <f t="shared" si="4"/>
        <v>1</v>
      </c>
      <c r="AC9" s="2670">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2"/>
      <c r="Q10" s="1795"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2670">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2"/>
      <c r="Q11" s="1795"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82"/>
      <c r="Q12" s="1795">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82"/>
      <c r="Q13" s="1795">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2670">
        <f t="shared" si="5"/>
        <v>1</v>
      </c>
    </row>
    <row r="14" spans="1:29" ht="15.75" thickBot="1">
      <c r="A14" s="436"/>
      <c r="B14" s="2601">
        <v>111</v>
      </c>
      <c r="C14" s="437"/>
      <c r="D14" s="438">
        <v>100</v>
      </c>
      <c r="E14" s="627"/>
      <c r="F14" s="438">
        <f>SUMIF(75:75,E14,76:76)-SUMIF(75:75,C14,76:76)+100</f>
        <v>100</v>
      </c>
      <c r="G14" s="2671"/>
      <c r="H14" s="438">
        <f>SUMIF(75:75,G14,76:76)-SUMIF(75:75,C14,76:76)+100</f>
        <v>100</v>
      </c>
      <c r="I14" s="432"/>
      <c r="J14" s="438">
        <f>SUMIF(75:75,I14,76:76)-SUMIF(75:75,C14,76:76)+100</f>
        <v>100</v>
      </c>
      <c r="K14" s="613"/>
      <c r="L14" s="1140"/>
      <c r="M14" s="1131"/>
      <c r="N14" s="1131"/>
      <c r="O14" s="1131"/>
      <c r="P14" s="3182"/>
      <c r="Q14" s="1795">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2670">
        <f t="shared" si="5"/>
        <v>1</v>
      </c>
    </row>
    <row r="15" spans="1:29" ht="71.25">
      <c r="A15" s="440" t="s">
        <v>2558</v>
      </c>
      <c r="B15" s="628" t="s">
        <v>2685</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96" t="s">
        <v>2559</v>
      </c>
      <c r="Q15" s="1810" t="str">
        <f t="shared" si="6"/>
        <v>办公集聚程度</v>
      </c>
      <c r="R15" s="771" t="s">
        <v>17</v>
      </c>
      <c r="S15" s="772">
        <f t="shared" si="0"/>
        <v>100</v>
      </c>
      <c r="T15" s="771" t="s">
        <v>17</v>
      </c>
      <c r="U15" s="772">
        <f t="shared" si="1"/>
        <v>100</v>
      </c>
      <c r="V15" s="771" t="s">
        <v>17</v>
      </c>
      <c r="W15" s="772">
        <f t="shared" si="2"/>
        <v>100</v>
      </c>
      <c r="X15" s="1813"/>
      <c r="Y15" s="3198" t="s">
        <v>2559</v>
      </c>
      <c r="Z15" s="1814" t="str">
        <f t="shared" si="7"/>
        <v>办公集聚程度</v>
      </c>
      <c r="AA15" s="1811">
        <f t="shared" si="3"/>
        <v>1</v>
      </c>
      <c r="AB15" s="1811">
        <f t="shared" si="4"/>
        <v>1</v>
      </c>
      <c r="AC15" s="2673">
        <f t="shared" si="5"/>
        <v>1</v>
      </c>
    </row>
    <row r="16" spans="1:29" ht="15">
      <c r="A16" s="428"/>
      <c r="B16" s="629"/>
      <c r="C16" s="2610"/>
      <c r="D16" s="448"/>
      <c r="E16" s="447"/>
      <c r="F16" s="448"/>
      <c r="G16" s="2610"/>
      <c r="H16" s="450"/>
      <c r="I16" s="447"/>
      <c r="J16" s="448"/>
      <c r="K16" s="615"/>
      <c r="L16" s="1140"/>
      <c r="M16" s="1131"/>
      <c r="N16" s="1131"/>
      <c r="O16" s="1131"/>
      <c r="P16" s="3197"/>
      <c r="Q16" s="1810"/>
      <c r="R16" s="771"/>
      <c r="S16" s="772"/>
      <c r="T16" s="771"/>
      <c r="U16" s="772"/>
      <c r="V16" s="771"/>
      <c r="W16" s="772"/>
      <c r="X16" s="1813"/>
      <c r="Y16" s="3199"/>
      <c r="Z16" s="1814"/>
      <c r="AA16" s="1811">
        <v>1</v>
      </c>
      <c r="AB16" s="1811">
        <v>1</v>
      </c>
      <c r="AC16" s="2673">
        <v>1</v>
      </c>
    </row>
    <row r="17" spans="1:29" ht="71.25">
      <c r="A17" s="428"/>
      <c r="B17" s="630" t="s">
        <v>2095</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97"/>
      <c r="Q17" s="1810" t="str">
        <f>B17</f>
        <v>交通便捷度</v>
      </c>
      <c r="R17" s="771" t="s">
        <v>17</v>
      </c>
      <c r="S17" s="772">
        <f>F17</f>
        <v>100</v>
      </c>
      <c r="T17" s="771" t="s">
        <v>17</v>
      </c>
      <c r="U17" s="772">
        <f>H17</f>
        <v>100</v>
      </c>
      <c r="V17" s="771" t="s">
        <v>17</v>
      </c>
      <c r="W17" s="772">
        <f>J17</f>
        <v>100</v>
      </c>
      <c r="X17" s="1813"/>
      <c r="Y17" s="3199"/>
      <c r="Z17" s="1814" t="str">
        <f>Q17</f>
        <v>交通便捷度</v>
      </c>
      <c r="AA17" s="1811">
        <f t="shared" si="3"/>
        <v>1</v>
      </c>
      <c r="AB17" s="1811">
        <f t="shared" si="4"/>
        <v>1</v>
      </c>
      <c r="AC17" s="2673">
        <f t="shared" si="5"/>
        <v>1</v>
      </c>
    </row>
    <row r="18" spans="1:29" ht="15">
      <c r="A18" s="428"/>
      <c r="B18" s="631"/>
      <c r="C18" s="2675"/>
      <c r="D18" s="450"/>
      <c r="E18" s="2608"/>
      <c r="F18" s="450"/>
      <c r="G18" s="2609"/>
      <c r="H18" s="448"/>
      <c r="I18" s="2609"/>
      <c r="J18" s="448"/>
      <c r="K18" s="615"/>
      <c r="L18" s="1140"/>
      <c r="M18" s="1131"/>
      <c r="N18" s="1131"/>
      <c r="O18" s="1131"/>
      <c r="P18" s="3197"/>
      <c r="Q18" s="1810"/>
      <c r="R18" s="771"/>
      <c r="S18" s="772"/>
      <c r="T18" s="771"/>
      <c r="U18" s="772"/>
      <c r="V18" s="771"/>
      <c r="W18" s="772"/>
      <c r="X18" s="1813"/>
      <c r="Y18" s="3199"/>
      <c r="Z18" s="1814"/>
      <c r="AA18" s="1811">
        <v>1</v>
      </c>
      <c r="AB18" s="1811">
        <v>1</v>
      </c>
      <c r="AC18" s="2673">
        <v>1</v>
      </c>
    </row>
    <row r="19" spans="1:29" ht="42.75">
      <c r="A19" s="428"/>
      <c r="B19" s="630" t="s">
        <v>2686</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97"/>
      <c r="Q19" s="1810" t="str">
        <f>B19</f>
        <v>公共配套设施</v>
      </c>
      <c r="R19" s="771" t="s">
        <v>17</v>
      </c>
      <c r="S19" s="772">
        <f>F19</f>
        <v>100</v>
      </c>
      <c r="T19" s="771" t="s">
        <v>17</v>
      </c>
      <c r="U19" s="772">
        <f>H19</f>
        <v>100</v>
      </c>
      <c r="V19" s="771" t="s">
        <v>17</v>
      </c>
      <c r="W19" s="772">
        <f>J19</f>
        <v>100</v>
      </c>
      <c r="X19" s="1813"/>
      <c r="Y19" s="3199"/>
      <c r="Z19" s="1814" t="str">
        <f>Q19</f>
        <v>公共配套设施</v>
      </c>
      <c r="AA19" s="1811">
        <f t="shared" si="3"/>
        <v>1</v>
      </c>
      <c r="AB19" s="1811">
        <f t="shared" si="4"/>
        <v>1</v>
      </c>
      <c r="AC19" s="2673">
        <f t="shared" si="5"/>
        <v>1</v>
      </c>
    </row>
    <row r="20" spans="1:29" ht="15">
      <c r="A20" s="428"/>
      <c r="B20" s="631"/>
      <c r="C20" s="2610"/>
      <c r="D20" s="448"/>
      <c r="E20" s="2603"/>
      <c r="F20" s="448"/>
      <c r="G20" s="2604"/>
      <c r="H20" s="448"/>
      <c r="I20" s="2604"/>
      <c r="J20" s="448"/>
      <c r="K20" s="615"/>
      <c r="L20" s="1140"/>
      <c r="M20" s="1131"/>
      <c r="N20" s="1131"/>
      <c r="O20" s="1131"/>
      <c r="P20" s="3197"/>
      <c r="Q20" s="1810"/>
      <c r="R20" s="771"/>
      <c r="S20" s="772"/>
      <c r="T20" s="771"/>
      <c r="U20" s="772"/>
      <c r="V20" s="771"/>
      <c r="W20" s="772"/>
      <c r="X20" s="1813"/>
      <c r="Y20" s="3199"/>
      <c r="Z20" s="1814"/>
      <c r="AA20" s="1811">
        <v>1</v>
      </c>
      <c r="AB20" s="1811">
        <v>1</v>
      </c>
      <c r="AC20" s="2673">
        <v>1</v>
      </c>
    </row>
    <row r="21" spans="1:29" ht="28.5">
      <c r="A21" s="428"/>
      <c r="B21" s="632" t="s">
        <v>2687</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97"/>
      <c r="Q21" s="1810" t="str">
        <f>B21</f>
        <v>基础设施水平</v>
      </c>
      <c r="R21" s="771" t="s">
        <v>17</v>
      </c>
      <c r="S21" s="772">
        <f>F21</f>
        <v>100</v>
      </c>
      <c r="T21" s="771" t="s">
        <v>17</v>
      </c>
      <c r="U21" s="772">
        <f>H21</f>
        <v>100</v>
      </c>
      <c r="V21" s="771" t="s">
        <v>17</v>
      </c>
      <c r="W21" s="772">
        <f>J21</f>
        <v>100</v>
      </c>
      <c r="X21" s="1813"/>
      <c r="Y21" s="3199"/>
      <c r="Z21" s="1814" t="str">
        <f>Q21</f>
        <v>基础设施水平</v>
      </c>
      <c r="AA21" s="1811">
        <f t="shared" ref="AA21" si="8">D21/F21</f>
        <v>1</v>
      </c>
      <c r="AB21" s="1811">
        <f t="shared" ref="AB21" si="9">D21/H21</f>
        <v>1</v>
      </c>
      <c r="AC21" s="2673">
        <f t="shared" ref="AC21" si="10">D21/J21</f>
        <v>1</v>
      </c>
    </row>
    <row r="22" spans="1:29" ht="15">
      <c r="A22" s="428"/>
      <c r="B22" s="632"/>
      <c r="C22" s="2675"/>
      <c r="D22" s="448"/>
      <c r="E22" s="447"/>
      <c r="F22" s="448"/>
      <c r="G22" s="2610"/>
      <c r="H22" s="448"/>
      <c r="I22" s="2610"/>
      <c r="J22" s="448"/>
      <c r="K22" s="1383"/>
      <c r="L22" s="1140"/>
      <c r="M22" s="1131"/>
      <c r="N22" s="1131"/>
      <c r="O22" s="1131"/>
      <c r="P22" s="3197"/>
      <c r="Q22" s="1810"/>
      <c r="R22" s="771"/>
      <c r="S22" s="772"/>
      <c r="T22" s="771"/>
      <c r="U22" s="772"/>
      <c r="V22" s="771"/>
      <c r="W22" s="772"/>
      <c r="X22" s="1813"/>
      <c r="Y22" s="3199"/>
      <c r="Z22" s="1814"/>
      <c r="AA22" s="1811">
        <v>1</v>
      </c>
      <c r="AB22" s="1811">
        <v>1</v>
      </c>
      <c r="AC22" s="2673">
        <v>1</v>
      </c>
    </row>
    <row r="23" spans="1:29" ht="42.75">
      <c r="A23" s="428"/>
      <c r="B23" s="630" t="s">
        <v>2688</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97"/>
      <c r="Q23" s="1810" t="str">
        <f>B23</f>
        <v>环境质量</v>
      </c>
      <c r="R23" s="771" t="s">
        <v>17</v>
      </c>
      <c r="S23" s="772">
        <f>F23</f>
        <v>100</v>
      </c>
      <c r="T23" s="771" t="s">
        <v>17</v>
      </c>
      <c r="U23" s="772">
        <f>H23</f>
        <v>100</v>
      </c>
      <c r="V23" s="771" t="s">
        <v>17</v>
      </c>
      <c r="W23" s="772">
        <f>J23</f>
        <v>100</v>
      </c>
      <c r="X23" s="1813"/>
      <c r="Y23" s="3199"/>
      <c r="Z23" s="1814" t="str">
        <f>Q23</f>
        <v>环境质量</v>
      </c>
      <c r="AA23" s="1811">
        <f t="shared" si="3"/>
        <v>1</v>
      </c>
      <c r="AB23" s="1811">
        <f t="shared" si="4"/>
        <v>1</v>
      </c>
      <c r="AC23" s="2673">
        <f t="shared" si="5"/>
        <v>1</v>
      </c>
    </row>
    <row r="24" spans="1:29" ht="15">
      <c r="A24" s="428"/>
      <c r="B24" s="632"/>
      <c r="C24" s="2610"/>
      <c r="D24" s="448"/>
      <c r="E24" s="2603"/>
      <c r="F24" s="448"/>
      <c r="G24" s="2604"/>
      <c r="H24" s="448"/>
      <c r="I24" s="2604"/>
      <c r="J24" s="448"/>
      <c r="K24" s="615"/>
      <c r="L24" s="1140"/>
      <c r="M24" s="1131"/>
      <c r="N24" s="1131"/>
      <c r="O24" s="1131"/>
      <c r="P24" s="3197"/>
      <c r="Q24" s="1810"/>
      <c r="R24" s="771"/>
      <c r="S24" s="772"/>
      <c r="T24" s="771"/>
      <c r="U24" s="772"/>
      <c r="V24" s="771"/>
      <c r="W24" s="772"/>
      <c r="X24" s="1813"/>
      <c r="Y24" s="3199"/>
      <c r="Z24" s="1814"/>
      <c r="AA24" s="1811">
        <v>1</v>
      </c>
      <c r="AB24" s="1811">
        <v>1</v>
      </c>
      <c r="AC24" s="2673">
        <v>1</v>
      </c>
    </row>
    <row r="25" spans="1:29" ht="27">
      <c r="A25" s="404"/>
      <c r="B25" s="630" t="s">
        <v>2689</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197"/>
      <c r="Q25" s="1810" t="str">
        <f>B25</f>
        <v>毗邻道路的类型与等级</v>
      </c>
      <c r="R25" s="771" t="s">
        <v>17</v>
      </c>
      <c r="S25" s="772">
        <f>F25</f>
        <v>100</v>
      </c>
      <c r="T25" s="771" t="s">
        <v>17</v>
      </c>
      <c r="U25" s="772">
        <f>H25</f>
        <v>100</v>
      </c>
      <c r="V25" s="771" t="s">
        <v>17</v>
      </c>
      <c r="W25" s="772">
        <f>J25</f>
        <v>100</v>
      </c>
      <c r="X25" s="1813"/>
      <c r="Y25" s="3199"/>
      <c r="Z25" s="1814" t="str">
        <f>Q25</f>
        <v>毗邻道路的类型与等级</v>
      </c>
      <c r="AA25" s="1811">
        <f t="shared" si="3"/>
        <v>1</v>
      </c>
      <c r="AB25" s="1811">
        <f t="shared" si="4"/>
        <v>1</v>
      </c>
      <c r="AC25" s="2673">
        <f t="shared" si="5"/>
        <v>1</v>
      </c>
    </row>
    <row r="26" spans="1:29" ht="15">
      <c r="A26" s="404"/>
      <c r="B26" s="631"/>
      <c r="C26" s="633"/>
      <c r="D26" s="435"/>
      <c r="E26" s="616"/>
      <c r="F26" s="435"/>
      <c r="G26" s="633"/>
      <c r="H26" s="435"/>
      <c r="I26" s="616"/>
      <c r="J26" s="435"/>
      <c r="K26" s="615"/>
      <c r="L26" s="1140"/>
      <c r="M26" s="1131"/>
      <c r="N26" s="1131"/>
      <c r="O26" s="1131"/>
      <c r="P26" s="3197"/>
      <c r="Q26" s="1810"/>
      <c r="R26" s="771"/>
      <c r="S26" s="772"/>
      <c r="T26" s="771"/>
      <c r="U26" s="772"/>
      <c r="V26" s="771"/>
      <c r="W26" s="772"/>
      <c r="X26" s="1813"/>
      <c r="Y26" s="3199"/>
      <c r="Z26" s="1814"/>
      <c r="AA26" s="1811">
        <v>1</v>
      </c>
      <c r="AB26" s="1811">
        <v>1</v>
      </c>
      <c r="AC26" s="2673">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0"/>
      <c r="M27" s="1131"/>
      <c r="N27" s="1131"/>
      <c r="O27" s="1131"/>
      <c r="P27" s="3197"/>
      <c r="Q27" s="1810" t="str">
        <f t="shared" ref="Q27:Q47" si="11">B27</f>
        <v>楼层</v>
      </c>
      <c r="R27" s="771" t="s">
        <v>17</v>
      </c>
      <c r="S27" s="772">
        <f>F27</f>
        <v>100</v>
      </c>
      <c r="T27" s="771" t="s">
        <v>17</v>
      </c>
      <c r="U27" s="772">
        <f>H27</f>
        <v>100</v>
      </c>
      <c r="V27" s="771" t="s">
        <v>17</v>
      </c>
      <c r="W27" s="772">
        <f>J27</f>
        <v>100</v>
      </c>
      <c r="X27" s="1813"/>
      <c r="Y27" s="3199"/>
      <c r="Z27" s="1814" t="str">
        <f>Q27</f>
        <v>楼层</v>
      </c>
      <c r="AA27" s="1811">
        <f t="shared" si="3"/>
        <v>1</v>
      </c>
      <c r="AB27" s="1811">
        <f t="shared" si="4"/>
        <v>1</v>
      </c>
      <c r="AC27" s="2673">
        <f t="shared" si="5"/>
        <v>1</v>
      </c>
    </row>
    <row r="28" spans="1:29" s="117" customFormat="1" ht="15">
      <c r="A28" s="431"/>
      <c r="B28" s="630" t="s">
        <v>2690</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197"/>
      <c r="Q28" s="1795" t="str">
        <f t="shared" si="11"/>
        <v>朝向</v>
      </c>
      <c r="R28" s="767" t="s">
        <v>17</v>
      </c>
      <c r="S28" s="768">
        <f>F28</f>
        <v>100</v>
      </c>
      <c r="T28" s="767" t="s">
        <v>17</v>
      </c>
      <c r="U28" s="768">
        <f>H28</f>
        <v>100</v>
      </c>
      <c r="V28" s="767" t="s">
        <v>17</v>
      </c>
      <c r="W28" s="768">
        <f>J28</f>
        <v>100</v>
      </c>
      <c r="X28" s="769"/>
      <c r="Y28" s="3199"/>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197"/>
      <c r="Q29" s="1810">
        <f t="shared" si="11"/>
        <v>111</v>
      </c>
      <c r="R29" s="771" t="s">
        <v>17</v>
      </c>
      <c r="S29" s="772">
        <f t="shared" ref="S29:S47" si="12">F29</f>
        <v>100</v>
      </c>
      <c r="T29" s="771" t="s">
        <v>17</v>
      </c>
      <c r="U29" s="772">
        <f t="shared" ref="U29:U47" si="13">H29</f>
        <v>100</v>
      </c>
      <c r="V29" s="771" t="s">
        <v>17</v>
      </c>
      <c r="W29" s="772">
        <f t="shared" ref="W29:W47" si="14">J29</f>
        <v>100</v>
      </c>
      <c r="X29" s="1813"/>
      <c r="Y29" s="3199"/>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197"/>
      <c r="Q30" s="1810">
        <f t="shared" si="11"/>
        <v>111</v>
      </c>
      <c r="R30" s="771" t="s">
        <v>17</v>
      </c>
      <c r="S30" s="772">
        <f t="shared" si="12"/>
        <v>100</v>
      </c>
      <c r="T30" s="771" t="s">
        <v>17</v>
      </c>
      <c r="U30" s="772">
        <f t="shared" si="13"/>
        <v>100</v>
      </c>
      <c r="V30" s="771" t="s">
        <v>17</v>
      </c>
      <c r="W30" s="772">
        <f t="shared" si="14"/>
        <v>100</v>
      </c>
      <c r="X30" s="1813"/>
      <c r="Y30" s="3199"/>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197"/>
      <c r="Q31" s="1810">
        <f t="shared" si="11"/>
        <v>111</v>
      </c>
      <c r="R31" s="771" t="s">
        <v>17</v>
      </c>
      <c r="S31" s="772">
        <f t="shared" si="12"/>
        <v>100</v>
      </c>
      <c r="T31" s="771" t="s">
        <v>17</v>
      </c>
      <c r="U31" s="772">
        <f t="shared" si="13"/>
        <v>100</v>
      </c>
      <c r="V31" s="771" t="s">
        <v>17</v>
      </c>
      <c r="W31" s="772">
        <f t="shared" si="14"/>
        <v>100</v>
      </c>
      <c r="X31" s="1813"/>
      <c r="Y31" s="3199"/>
      <c r="Z31" s="1814">
        <f t="shared" si="15"/>
        <v>111</v>
      </c>
      <c r="AA31" s="1811">
        <f t="shared" si="3"/>
        <v>1</v>
      </c>
      <c r="AB31" s="1811">
        <f t="shared" si="4"/>
        <v>1</v>
      </c>
      <c r="AC31" s="2673">
        <f t="shared" si="5"/>
        <v>1</v>
      </c>
    </row>
    <row r="32" spans="1:29" ht="15.75" thickBot="1">
      <c r="A32" s="436"/>
      <c r="B32" s="634">
        <v>111</v>
      </c>
      <c r="C32" s="2615"/>
      <c r="D32" s="438">
        <v>100</v>
      </c>
      <c r="E32" s="627"/>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197"/>
      <c r="Q32" s="1810">
        <f t="shared" si="11"/>
        <v>111</v>
      </c>
      <c r="R32" s="771" t="s">
        <v>17</v>
      </c>
      <c r="S32" s="772">
        <f t="shared" si="12"/>
        <v>100</v>
      </c>
      <c r="T32" s="771" t="s">
        <v>17</v>
      </c>
      <c r="U32" s="772">
        <f t="shared" si="13"/>
        <v>100</v>
      </c>
      <c r="V32" s="771" t="s">
        <v>17</v>
      </c>
      <c r="W32" s="772">
        <f t="shared" si="14"/>
        <v>100</v>
      </c>
      <c r="X32" s="1813"/>
      <c r="Y32" s="3199"/>
      <c r="Z32" s="1814">
        <f t="shared" si="15"/>
        <v>111</v>
      </c>
      <c r="AA32" s="1811">
        <f t="shared" si="3"/>
        <v>1</v>
      </c>
      <c r="AB32" s="1811">
        <f t="shared" si="4"/>
        <v>1</v>
      </c>
      <c r="AC32" s="2673">
        <f t="shared" si="5"/>
        <v>1</v>
      </c>
    </row>
    <row r="33" spans="1:29" ht="15">
      <c r="A33" s="440" t="s">
        <v>2562</v>
      </c>
      <c r="B33" s="71" t="s">
        <v>2691</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00" t="s">
        <v>2564</v>
      </c>
      <c r="Q33" s="1810" t="str">
        <f t="shared" si="11"/>
        <v>建筑类型</v>
      </c>
      <c r="R33" s="771" t="s">
        <v>17</v>
      </c>
      <c r="S33" s="772">
        <f t="shared" si="12"/>
        <v>100</v>
      </c>
      <c r="T33" s="771" t="s">
        <v>17</v>
      </c>
      <c r="U33" s="772">
        <f t="shared" si="13"/>
        <v>100</v>
      </c>
      <c r="V33" s="771" t="s">
        <v>17</v>
      </c>
      <c r="W33" s="772">
        <f t="shared" si="14"/>
        <v>100</v>
      </c>
      <c r="X33" s="1813"/>
      <c r="Y33" s="3203" t="s">
        <v>2564</v>
      </c>
      <c r="Z33" s="1814" t="str">
        <f t="shared" si="15"/>
        <v>建筑类型</v>
      </c>
      <c r="AA33" s="1811">
        <f t="shared" si="3"/>
        <v>1</v>
      </c>
      <c r="AB33" s="1811">
        <f t="shared" si="4"/>
        <v>1</v>
      </c>
      <c r="AC33" s="2673">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1"/>
      <c r="Q34" s="773" t="str">
        <f t="shared" si="11"/>
        <v>项目建筑规模</v>
      </c>
      <c r="R34" s="774" t="s">
        <v>17</v>
      </c>
      <c r="S34" s="775" t="e">
        <f t="shared" si="12"/>
        <v>#N/A</v>
      </c>
      <c r="T34" s="774" t="s">
        <v>17</v>
      </c>
      <c r="U34" s="775" t="e">
        <f t="shared" si="13"/>
        <v>#N/A</v>
      </c>
      <c r="V34" s="774" t="s">
        <v>17</v>
      </c>
      <c r="W34" s="775" t="e">
        <f t="shared" si="14"/>
        <v>#N/A</v>
      </c>
      <c r="X34" s="776"/>
      <c r="Y34" s="3203"/>
      <c r="Z34" s="777" t="str">
        <f t="shared" si="15"/>
        <v>项目建筑规模</v>
      </c>
      <c r="AA34" s="1811" t="e">
        <f t="shared" si="3"/>
        <v>#N/A</v>
      </c>
      <c r="AB34" s="1811" t="e">
        <f t="shared" si="4"/>
        <v>#N/A</v>
      </c>
      <c r="AC34" s="2673"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1"/>
      <c r="Q35" s="1810" t="str">
        <f t="shared" si="11"/>
        <v>建筑结构</v>
      </c>
      <c r="R35" s="771" t="s">
        <v>17</v>
      </c>
      <c r="S35" s="772">
        <f t="shared" si="12"/>
        <v>100</v>
      </c>
      <c r="T35" s="771" t="s">
        <v>17</v>
      </c>
      <c r="U35" s="772">
        <f t="shared" si="13"/>
        <v>100</v>
      </c>
      <c r="V35" s="771" t="s">
        <v>17</v>
      </c>
      <c r="W35" s="772">
        <f t="shared" si="14"/>
        <v>100</v>
      </c>
      <c r="X35" s="1813"/>
      <c r="Y35" s="3203"/>
      <c r="Z35" s="1814" t="str">
        <f t="shared" si="15"/>
        <v>建筑结构</v>
      </c>
      <c r="AA35" s="1811">
        <f t="shared" si="3"/>
        <v>1</v>
      </c>
      <c r="AB35" s="1811">
        <f t="shared" si="4"/>
        <v>1</v>
      </c>
      <c r="AC35" s="2673">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1"/>
      <c r="Q36" s="1810" t="str">
        <f t="shared" si="11"/>
        <v>公共部分装修</v>
      </c>
      <c r="R36" s="771" t="s">
        <v>17</v>
      </c>
      <c r="S36" s="772">
        <f t="shared" si="12"/>
        <v>100</v>
      </c>
      <c r="T36" s="771" t="s">
        <v>17</v>
      </c>
      <c r="U36" s="772">
        <f t="shared" si="13"/>
        <v>100</v>
      </c>
      <c r="V36" s="771" t="s">
        <v>17</v>
      </c>
      <c r="W36" s="772">
        <f t="shared" si="14"/>
        <v>100</v>
      </c>
      <c r="X36" s="1813"/>
      <c r="Y36" s="3203"/>
      <c r="Z36" s="1814" t="str">
        <f t="shared" si="15"/>
        <v>公共部分装修</v>
      </c>
      <c r="AA36" s="1811">
        <f t="shared" si="3"/>
        <v>1</v>
      </c>
      <c r="AB36" s="1811">
        <f t="shared" si="4"/>
        <v>1</v>
      </c>
      <c r="AC36" s="2673">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1"/>
      <c r="Q37" s="1810" t="str">
        <f t="shared" si="11"/>
        <v>成新度</v>
      </c>
      <c r="R37" s="771" t="s">
        <v>17</v>
      </c>
      <c r="S37" s="772" t="e">
        <f t="shared" si="12"/>
        <v>#N/A</v>
      </c>
      <c r="T37" s="771" t="s">
        <v>17</v>
      </c>
      <c r="U37" s="772" t="e">
        <f t="shared" si="13"/>
        <v>#N/A</v>
      </c>
      <c r="V37" s="771" t="s">
        <v>17</v>
      </c>
      <c r="W37" s="772" t="e">
        <f t="shared" si="14"/>
        <v>#N/A</v>
      </c>
      <c r="X37" s="1813"/>
      <c r="Y37" s="3203"/>
      <c r="Z37" s="1814" t="str">
        <f t="shared" si="15"/>
        <v>成新度</v>
      </c>
      <c r="AA37" s="1811" t="e">
        <f t="shared" si="3"/>
        <v>#N/A</v>
      </c>
      <c r="AB37" s="1811" t="e">
        <f t="shared" si="4"/>
        <v>#N/A</v>
      </c>
      <c r="AC37" s="2673"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1"/>
      <c r="Q38" s="1795" t="str">
        <f t="shared" si="11"/>
        <v>写字楼等级</v>
      </c>
      <c r="R38" s="767" t="s">
        <v>17</v>
      </c>
      <c r="S38" s="768">
        <f t="shared" si="12"/>
        <v>100</v>
      </c>
      <c r="T38" s="767" t="s">
        <v>17</v>
      </c>
      <c r="U38" s="768">
        <f t="shared" si="13"/>
        <v>100</v>
      </c>
      <c r="V38" s="767" t="s">
        <v>17</v>
      </c>
      <c r="W38" s="768">
        <f t="shared" si="14"/>
        <v>100</v>
      </c>
      <c r="X38" s="769"/>
      <c r="Y38" s="3203"/>
      <c r="Z38" s="55" t="str">
        <f t="shared" si="15"/>
        <v>写字楼等级</v>
      </c>
      <c r="AA38" s="770">
        <f t="shared" si="3"/>
        <v>1</v>
      </c>
      <c r="AB38" s="770">
        <f t="shared" si="4"/>
        <v>1</v>
      </c>
      <c r="AC38" s="2670">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1" t="s">
        <v>2564</v>
      </c>
      <c r="Q39" s="1810" t="str">
        <f t="shared" si="11"/>
        <v>物业管理</v>
      </c>
      <c r="R39" s="771" t="s">
        <v>17</v>
      </c>
      <c r="S39" s="772">
        <f t="shared" si="12"/>
        <v>100</v>
      </c>
      <c r="T39" s="771" t="s">
        <v>17</v>
      </c>
      <c r="U39" s="772">
        <f t="shared" si="13"/>
        <v>100</v>
      </c>
      <c r="V39" s="771" t="s">
        <v>17</v>
      </c>
      <c r="W39" s="772">
        <f t="shared" si="14"/>
        <v>100</v>
      </c>
      <c r="X39" s="1813"/>
      <c r="Y39" s="3203" t="s">
        <v>2564</v>
      </c>
      <c r="Z39" s="1814" t="str">
        <f t="shared" si="15"/>
        <v>物业管理</v>
      </c>
      <c r="AA39" s="1811">
        <f t="shared" si="3"/>
        <v>1</v>
      </c>
      <c r="AB39" s="1811">
        <f t="shared" si="4"/>
        <v>1</v>
      </c>
      <c r="AC39" s="2673">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1"/>
      <c r="Q40" s="1810" t="str">
        <f t="shared" si="11"/>
        <v>市政基础设施</v>
      </c>
      <c r="R40" s="771" t="s">
        <v>17</v>
      </c>
      <c r="S40" s="772">
        <f t="shared" si="12"/>
        <v>100</v>
      </c>
      <c r="T40" s="771" t="s">
        <v>17</v>
      </c>
      <c r="U40" s="772">
        <f t="shared" si="13"/>
        <v>100</v>
      </c>
      <c r="V40" s="771" t="s">
        <v>17</v>
      </c>
      <c r="W40" s="772">
        <f t="shared" si="14"/>
        <v>100</v>
      </c>
      <c r="X40" s="1813"/>
      <c r="Y40" s="3203"/>
      <c r="Z40" s="1814" t="str">
        <f t="shared" si="15"/>
        <v>市政基础设施</v>
      </c>
      <c r="AA40" s="1811">
        <f t="shared" si="3"/>
        <v>1</v>
      </c>
      <c r="AB40" s="1811">
        <f t="shared" si="4"/>
        <v>1</v>
      </c>
      <c r="AC40" s="2673">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1"/>
      <c r="Q41" s="1810" t="str">
        <f t="shared" si="11"/>
        <v>层高</v>
      </c>
      <c r="R41" s="771" t="s">
        <v>17</v>
      </c>
      <c r="S41" s="772">
        <f t="shared" si="12"/>
        <v>100</v>
      </c>
      <c r="T41" s="771" t="s">
        <v>17</v>
      </c>
      <c r="U41" s="772">
        <f t="shared" si="13"/>
        <v>100</v>
      </c>
      <c r="V41" s="771" t="s">
        <v>17</v>
      </c>
      <c r="W41" s="772">
        <f t="shared" si="14"/>
        <v>100</v>
      </c>
      <c r="X41" s="1813"/>
      <c r="Y41" s="3203"/>
      <c r="Z41" s="1814" t="str">
        <f t="shared" si="15"/>
        <v>层高</v>
      </c>
      <c r="AA41" s="1811">
        <f t="shared" si="3"/>
        <v>1</v>
      </c>
      <c r="AB41" s="1811">
        <f t="shared" si="4"/>
        <v>1</v>
      </c>
      <c r="AC41" s="2673">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1"/>
      <c r="Q42" s="773" t="str">
        <f t="shared" si="11"/>
        <v>单套建筑面积</v>
      </c>
      <c r="R42" s="774" t="s">
        <v>17</v>
      </c>
      <c r="S42" s="775">
        <f t="shared" si="12"/>
        <v>100</v>
      </c>
      <c r="T42" s="774" t="s">
        <v>17</v>
      </c>
      <c r="U42" s="775">
        <f t="shared" si="13"/>
        <v>100</v>
      </c>
      <c r="V42" s="774" t="s">
        <v>17</v>
      </c>
      <c r="W42" s="775">
        <f t="shared" si="14"/>
        <v>100</v>
      </c>
      <c r="X42" s="776"/>
      <c r="Y42" s="3203"/>
      <c r="Z42" s="777" t="str">
        <f t="shared" si="15"/>
        <v>单套建筑面积</v>
      </c>
      <c r="AA42" s="1811">
        <f t="shared" si="3"/>
        <v>1</v>
      </c>
      <c r="AB42" s="1811">
        <f t="shared" si="4"/>
        <v>1</v>
      </c>
      <c r="AC42" s="2673">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1"/>
      <c r="Q43" s="1810" t="str">
        <f t="shared" si="11"/>
        <v>内部装修</v>
      </c>
      <c r="R43" s="771" t="s">
        <v>17</v>
      </c>
      <c r="S43" s="772">
        <f t="shared" si="12"/>
        <v>100</v>
      </c>
      <c r="T43" s="771" t="s">
        <v>17</v>
      </c>
      <c r="U43" s="772">
        <f t="shared" si="13"/>
        <v>100</v>
      </c>
      <c r="V43" s="771" t="s">
        <v>17</v>
      </c>
      <c r="W43" s="772">
        <f t="shared" si="14"/>
        <v>100</v>
      </c>
      <c r="X43" s="1813"/>
      <c r="Y43" s="3203"/>
      <c r="Z43" s="1814" t="str">
        <f t="shared" si="15"/>
        <v>内部装修</v>
      </c>
      <c r="AA43" s="1811">
        <f t="shared" si="3"/>
        <v>1</v>
      </c>
      <c r="AB43" s="1811">
        <f t="shared" si="4"/>
        <v>1</v>
      </c>
      <c r="AC43" s="2673">
        <f t="shared" si="5"/>
        <v>1</v>
      </c>
    </row>
    <row r="44" spans="1:29" ht="15">
      <c r="A44" s="472"/>
      <c r="B44" s="422" t="s">
        <v>2575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01"/>
      <c r="Q44" s="1810" t="str">
        <f t="shared" si="11"/>
        <v>内部装修维护情况</v>
      </c>
      <c r="R44" s="771" t="s">
        <v>17</v>
      </c>
      <c r="S44" s="772">
        <f t="shared" si="12"/>
        <v>100</v>
      </c>
      <c r="T44" s="771" t="s">
        <v>17</v>
      </c>
      <c r="U44" s="772">
        <f t="shared" si="13"/>
        <v>100</v>
      </c>
      <c r="V44" s="771" t="s">
        <v>17</v>
      </c>
      <c r="W44" s="772">
        <f t="shared" si="14"/>
        <v>100</v>
      </c>
      <c r="X44" s="1813"/>
      <c r="Y44" s="3203"/>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1"/>
      <c r="Q45" s="1795">
        <f t="shared" si="11"/>
        <v>111</v>
      </c>
      <c r="R45" s="767" t="s">
        <v>17</v>
      </c>
      <c r="S45" s="768">
        <f t="shared" si="12"/>
        <v>100</v>
      </c>
      <c r="T45" s="767" t="s">
        <v>17</v>
      </c>
      <c r="U45" s="768">
        <f t="shared" si="13"/>
        <v>100</v>
      </c>
      <c r="V45" s="767" t="s">
        <v>17</v>
      </c>
      <c r="W45" s="768">
        <f t="shared" si="14"/>
        <v>100</v>
      </c>
      <c r="X45" s="769"/>
      <c r="Y45" s="3203"/>
      <c r="Z45" s="55">
        <f t="shared" si="15"/>
        <v>111</v>
      </c>
      <c r="AA45" s="770">
        <f t="shared" si="3"/>
        <v>1</v>
      </c>
      <c r="AB45" s="770">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1"/>
      <c r="Q46" s="1810">
        <f t="shared" si="11"/>
        <v>111</v>
      </c>
      <c r="R46" s="771" t="s">
        <v>17</v>
      </c>
      <c r="S46" s="772">
        <f t="shared" si="12"/>
        <v>100</v>
      </c>
      <c r="T46" s="771" t="s">
        <v>17</v>
      </c>
      <c r="U46" s="772">
        <f t="shared" si="13"/>
        <v>100</v>
      </c>
      <c r="V46" s="771" t="s">
        <v>17</v>
      </c>
      <c r="W46" s="772">
        <f t="shared" si="14"/>
        <v>100</v>
      </c>
      <c r="X46" s="1813"/>
      <c r="Y46" s="3203"/>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2"/>
      <c r="Q47" s="1810">
        <f t="shared" si="11"/>
        <v>111</v>
      </c>
      <c r="R47" s="771" t="s">
        <v>17</v>
      </c>
      <c r="S47" s="772">
        <f t="shared" si="12"/>
        <v>100</v>
      </c>
      <c r="T47" s="771" t="s">
        <v>17</v>
      </c>
      <c r="U47" s="772">
        <f t="shared" si="13"/>
        <v>100</v>
      </c>
      <c r="V47" s="771" t="s">
        <v>17</v>
      </c>
      <c r="W47" s="772">
        <f t="shared" si="14"/>
        <v>100</v>
      </c>
      <c r="X47" s="1813"/>
      <c r="Y47" s="3204"/>
      <c r="Z47" s="1814">
        <f t="shared" si="15"/>
        <v>111</v>
      </c>
      <c r="AA47" s="1811">
        <f t="shared" si="3"/>
        <v>1</v>
      </c>
      <c r="AB47" s="1811">
        <f t="shared" si="4"/>
        <v>1</v>
      </c>
      <c r="AC47" s="2673">
        <f t="shared" si="5"/>
        <v>1</v>
      </c>
    </row>
    <row r="48" spans="1:29" ht="15">
      <c r="A48" s="479" t="s">
        <v>2576</v>
      </c>
      <c r="B48" s="480"/>
      <c r="C48" s="1407" t="s">
        <v>1</v>
      </c>
      <c r="D48" s="1408"/>
      <c r="E48" s="1409"/>
      <c r="F48" s="1410"/>
      <c r="G48" s="1411"/>
      <c r="H48" s="1412"/>
      <c r="I48" s="1409"/>
      <c r="J48" s="485"/>
      <c r="K48" s="780"/>
      <c r="L48" s="1143"/>
      <c r="M48" s="1131"/>
      <c r="N48" s="1131"/>
      <c r="O48" s="1131"/>
      <c r="P48" s="3182" t="str">
        <f>A48</f>
        <v>成交单价（元/平方米）</v>
      </c>
      <c r="Q48" s="3205"/>
      <c r="R48" s="3206">
        <f>E48</f>
        <v>0</v>
      </c>
      <c r="S48" s="3206"/>
      <c r="T48" s="3206">
        <f>G48</f>
        <v>0</v>
      </c>
      <c r="U48" s="3206"/>
      <c r="V48" s="3206">
        <f>I48</f>
        <v>0</v>
      </c>
      <c r="W48" s="3206"/>
      <c r="X48" s="446"/>
      <c r="Y48" s="778"/>
      <c r="Z48" s="446"/>
      <c r="AA48" s="446"/>
      <c r="AB48" s="446"/>
      <c r="AC48" s="629"/>
    </row>
    <row r="49" spans="1:29" ht="15.75" thickBot="1">
      <c r="A49" s="486" t="s">
        <v>2667</v>
      </c>
      <c r="B49" s="487"/>
      <c r="C49" s="1413" t="e">
        <f>R50</f>
        <v>#DIV/0!</v>
      </c>
      <c r="D49" s="1414"/>
      <c r="E49" s="1415" t="e">
        <f>R49</f>
        <v>#DIV/0!</v>
      </c>
      <c r="F49" s="1415"/>
      <c r="G49" s="1413" t="e">
        <f>T49</f>
        <v>#DIV/0!</v>
      </c>
      <c r="H49" s="1414"/>
      <c r="I49" s="1415" t="e">
        <f>V49</f>
        <v>#DIV/0!</v>
      </c>
      <c r="J49" s="489"/>
      <c r="K49" s="781"/>
      <c r="L49" s="1143"/>
      <c r="M49" s="1131"/>
      <c r="N49" s="1131"/>
      <c r="O49" s="1131"/>
      <c r="P49" s="3182" t="str">
        <f>A49</f>
        <v>比较价值（元/平方米）</v>
      </c>
      <c r="Q49" s="3205"/>
      <c r="R49" s="3206" t="e">
        <f>IF(F1="售价",ROUND(PRODUCT(R48,AA7:AA47),0),ROUND(PRODUCT(R48,AA7:AA47),1))</f>
        <v>#DIV/0!</v>
      </c>
      <c r="S49" s="3206"/>
      <c r="T49" s="3206" t="e">
        <f>IF(F1="售价",ROUND(PRODUCT(T48,AB7:AB47),0),ROUND(PRODUCT(T48,AB7:AB47),1))</f>
        <v>#DIV/0!</v>
      </c>
      <c r="U49" s="3206"/>
      <c r="V49" s="3206" t="e">
        <f>IF(F1="售价",ROUND(PRODUCT(V48,AC7:AC47),0),ROUND(PRODUCT(V48,AC7:AC47),1))</f>
        <v>#DIV/0!</v>
      </c>
      <c r="W49" s="3206"/>
      <c r="X49" s="446"/>
      <c r="Y49" s="446"/>
      <c r="Z49" s="446"/>
      <c r="AA49" s="446"/>
      <c r="AB49" s="446"/>
      <c r="AC49" s="629"/>
    </row>
    <row r="50" spans="1:29" ht="15.75" thickBot="1">
      <c r="A50" s="492" t="s">
        <v>2668</v>
      </c>
      <c r="B50" s="493"/>
      <c r="C50" s="1417" t="e">
        <f>R50</f>
        <v>#DIV/0!</v>
      </c>
      <c r="D50" s="1417"/>
      <c r="E50" s="1417"/>
      <c r="F50" s="1417"/>
      <c r="G50" s="1417"/>
      <c r="H50" s="1417"/>
      <c r="I50" s="1417"/>
      <c r="J50" s="494"/>
      <c r="K50" s="782"/>
      <c r="L50" s="1143"/>
      <c r="M50" s="1131"/>
      <c r="N50" s="1131"/>
      <c r="O50" s="1131"/>
      <c r="P50" s="3246" t="str">
        <f>A50</f>
        <v>估价对象XX用房的比较价值（楼面单价，元/平方米）</v>
      </c>
      <c r="Q50" s="3247"/>
      <c r="R50" s="3248" t="e">
        <f>IF(F1="售价",ROUND(AVERAGE(R49:V49),0),ROUND(AVERAGE(R49:V49),1))</f>
        <v>#DIV/0!</v>
      </c>
      <c r="S50" s="3248"/>
      <c r="T50" s="3248"/>
      <c r="U50" s="3248"/>
      <c r="V50" s="3248"/>
      <c r="W50" s="3248"/>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0" t="s">
        <v>2672</v>
      </c>
      <c r="B58" s="756"/>
      <c r="C58" s="761"/>
      <c r="D58" s="761"/>
      <c r="E58" s="761"/>
      <c r="F58" s="762"/>
      <c r="G58" s="762"/>
      <c r="H58" s="761"/>
      <c r="I58" s="761"/>
      <c r="J58" s="761"/>
      <c r="K58" s="763"/>
      <c r="L58" s="1161"/>
      <c r="M58" s="1159"/>
      <c r="N58" s="1159"/>
      <c r="O58" s="1159"/>
      <c r="P58" s="2680"/>
      <c r="Q58" s="504"/>
    </row>
    <row r="59" spans="1:29" s="508" customFormat="1" ht="15">
      <c r="A59" s="505" t="s">
        <v>2547</v>
      </c>
      <c r="B59" s="506"/>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2584</v>
      </c>
      <c r="B61" s="516"/>
      <c r="C61" s="517"/>
      <c r="D61" s="518"/>
      <c r="E61" s="518"/>
      <c r="F61" s="518"/>
      <c r="G61" s="518"/>
      <c r="H61" s="518"/>
      <c r="I61" s="518"/>
      <c r="J61" s="518"/>
      <c r="K61" s="518"/>
      <c r="L61" s="518"/>
      <c r="M61" s="519"/>
      <c r="N61" s="518"/>
      <c r="O61" s="519"/>
      <c r="P61" s="2681"/>
      <c r="Q61" s="504"/>
    </row>
    <row r="62" spans="1:29" s="117" customFormat="1" ht="15">
      <c r="A62" s="521" t="s">
        <v>2549</v>
      </c>
      <c r="B62" s="510"/>
      <c r="C62" s="522" t="s">
        <v>2651</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2587</v>
      </c>
      <c r="B64" s="528" t="s">
        <v>2553</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2558</v>
      </c>
      <c r="B77" s="528" t="s">
        <v>2695</v>
      </c>
      <c r="C77" s="573" t="s">
        <v>2596</v>
      </c>
      <c r="D77" s="573" t="s">
        <v>2597</v>
      </c>
      <c r="E77" s="573" t="s">
        <v>2598</v>
      </c>
      <c r="F77" s="573" t="s">
        <v>2599</v>
      </c>
      <c r="G77" s="573" t="s">
        <v>2600</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2687</v>
      </c>
      <c r="C83" s="659" t="s">
        <v>2673</v>
      </c>
      <c r="D83" s="659" t="s">
        <v>2674</v>
      </c>
      <c r="E83" s="659" t="s">
        <v>2675</v>
      </c>
      <c r="F83" s="659" t="s">
        <v>2676</v>
      </c>
      <c r="G83" s="659" t="s">
        <v>2677</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3"/>
      <c r="O84" s="1153"/>
      <c r="P84" s="2683"/>
      <c r="Q84" s="504"/>
    </row>
    <row r="85" spans="1:17" ht="15.75" thickTop="1">
      <c r="A85" s="534"/>
      <c r="B85" s="538" t="s">
        <v>2696</v>
      </c>
      <c r="C85" s="578" t="s">
        <v>2596</v>
      </c>
      <c r="D85" s="578" t="s">
        <v>2597</v>
      </c>
      <c r="E85" s="578" t="s">
        <v>2598</v>
      </c>
      <c r="F85" s="578" t="s">
        <v>2599</v>
      </c>
      <c r="G85" s="578" t="s">
        <v>2600</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2697</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2562</v>
      </c>
      <c r="B101" s="528" t="s">
        <v>2611</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2613</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2615</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2"/>
      <c r="J111" s="622"/>
      <c r="K111" s="623"/>
      <c r="L111" s="624"/>
      <c r="M111" s="625"/>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2616</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2617</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5" t="s">
        <v>2699</v>
      </c>
      <c r="C119" s="583"/>
      <c r="D119" s="583"/>
      <c r="E119" s="583"/>
      <c r="F119" s="583"/>
      <c r="G119" s="583"/>
      <c r="H119" s="583"/>
      <c r="I119" s="583"/>
      <c r="J119" s="583"/>
      <c r="K119" s="583"/>
      <c r="L119" s="2688"/>
      <c r="M119" s="2689"/>
      <c r="N119" s="1153"/>
      <c r="O119" s="1153"/>
      <c r="P119" s="2690"/>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2619</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68" t="s">
        <v>2700</v>
      </c>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5"/>
      <c r="D2" s="1124" t="e">
        <f ca="1">SUMIF(INDIRECT("'"&amp;F2&amp;"'"&amp;"!A:A"),"承租人权益价值",INDIRECT("'"&amp;F2&amp;"'"&amp;"!c:c"))</f>
        <v>#REF!</v>
      </c>
      <c r="E2" s="2586" t="s">
        <v>2327</v>
      </c>
      <c r="F2" s="2587"/>
      <c r="G2" s="1125"/>
      <c r="H2" s="1125"/>
      <c r="I2" s="1125"/>
      <c r="J2" s="1125"/>
      <c r="K2" s="1125"/>
      <c r="L2" s="1128"/>
      <c r="M2" s="1129"/>
      <c r="N2" s="1129"/>
      <c r="O2" s="1129"/>
      <c r="P2" s="765"/>
      <c r="Q2" s="765"/>
      <c r="R2" s="765"/>
      <c r="S2" s="765"/>
      <c r="T2" s="765"/>
      <c r="U2" s="765"/>
      <c r="V2" s="765"/>
      <c r="W2" s="765"/>
      <c r="X2" s="765"/>
      <c r="Y2" s="765"/>
      <c r="Z2" s="765"/>
      <c r="AA2" s="765"/>
      <c r="AB2" s="765"/>
      <c r="AC2" s="779"/>
    </row>
    <row r="3" spans="1:29" s="398" customFormat="1" ht="28.5" customHeight="1" thickBot="1">
      <c r="A3" s="247" t="s">
        <v>2328</v>
      </c>
      <c r="B3" s="609" t="e">
        <f ca="1">IF(C2="——",C43,ROUND(B2*10000/D3,0))</f>
        <v>#DIV/0!</v>
      </c>
      <c r="C3" s="400" t="s">
        <v>2643</v>
      </c>
      <c r="D3" s="399">
        <f>IF(D1="",'数据-汇总表'!E3,SUMIF('数据-汇总表'!$C19:$C33,D1,'数据-汇总表'!$E19:$E33))</f>
        <v>8582.619999999999</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83" t="s">
        <v>2645</v>
      </c>
      <c r="D4" s="3184"/>
      <c r="E4" s="3185" t="s">
        <v>2646</v>
      </c>
      <c r="F4" s="3186"/>
      <c r="G4" s="3183" t="s">
        <v>2647</v>
      </c>
      <c r="H4" s="3184"/>
      <c r="I4" s="3183" t="s">
        <v>2648</v>
      </c>
      <c r="J4" s="3184"/>
      <c r="K4" s="610" t="s">
        <v>2649</v>
      </c>
      <c r="L4" s="1130"/>
      <c r="M4" s="1131"/>
      <c r="N4" s="1131"/>
      <c r="O4" s="1131"/>
      <c r="P4" s="3187" t="s">
        <v>2650</v>
      </c>
      <c r="Q4" s="3188"/>
      <c r="R4" s="3168" t="s">
        <v>2646</v>
      </c>
      <c r="S4" s="3169"/>
      <c r="T4" s="3168" t="s">
        <v>2647</v>
      </c>
      <c r="U4" s="3169"/>
      <c r="V4" s="3165" t="s">
        <v>2648</v>
      </c>
      <c r="W4" s="3165"/>
      <c r="X4" s="1813"/>
      <c r="Y4" s="3168" t="s">
        <v>2650</v>
      </c>
      <c r="Z4" s="3169"/>
      <c r="AA4" s="3162" t="s">
        <v>2646</v>
      </c>
      <c r="AB4" s="3163" t="s">
        <v>2647</v>
      </c>
      <c r="AC4" s="3162" t="s">
        <v>2648</v>
      </c>
    </row>
    <row r="5" spans="1:29" ht="15">
      <c r="A5" s="404"/>
      <c r="B5" s="405"/>
      <c r="C5" s="3174" t="s">
        <v>2541</v>
      </c>
      <c r="D5" s="3175"/>
      <c r="E5" s="3232" t="s">
        <v>2542</v>
      </c>
      <c r="F5" s="3173"/>
      <c r="G5" s="3174" t="s">
        <v>2543</v>
      </c>
      <c r="H5" s="3175"/>
      <c r="I5" s="3174" t="s">
        <v>2544</v>
      </c>
      <c r="J5" s="3175"/>
      <c r="K5" s="610"/>
      <c r="L5" s="1130"/>
      <c r="M5" s="1131"/>
      <c r="N5" s="1131"/>
      <c r="O5" s="1131"/>
      <c r="P5" s="3189"/>
      <c r="Q5" s="3190"/>
      <c r="R5" s="3170"/>
      <c r="S5" s="3171"/>
      <c r="T5" s="3170"/>
      <c r="U5" s="3171"/>
      <c r="V5" s="3165"/>
      <c r="W5" s="3165"/>
      <c r="X5" s="1813"/>
      <c r="Y5" s="3170"/>
      <c r="Z5" s="3171"/>
      <c r="AA5" s="3163"/>
      <c r="AB5" s="3163"/>
      <c r="AC5" s="3163"/>
    </row>
    <row r="6" spans="1:29" ht="15.75" thickBot="1">
      <c r="A6" s="406"/>
      <c r="B6" s="407"/>
      <c r="C6" s="3176" t="s">
        <v>2545</v>
      </c>
      <c r="D6" s="3177"/>
      <c r="E6" s="3233" t="s">
        <v>2545</v>
      </c>
      <c r="F6" s="3180"/>
      <c r="G6" s="3176" t="s">
        <v>2545</v>
      </c>
      <c r="H6" s="3177"/>
      <c r="I6" s="3176" t="s">
        <v>2545</v>
      </c>
      <c r="J6" s="3177"/>
      <c r="K6" s="610" t="s">
        <v>2546</v>
      </c>
      <c r="L6" s="1130"/>
      <c r="M6" s="1131"/>
      <c r="N6" s="1131"/>
      <c r="O6" s="1131"/>
      <c r="P6" s="3191"/>
      <c r="Q6" s="3192"/>
      <c r="R6" s="3170"/>
      <c r="S6" s="3171"/>
      <c r="T6" s="3193"/>
      <c r="U6" s="3194"/>
      <c r="V6" s="3165"/>
      <c r="W6" s="3165"/>
      <c r="X6" s="1813"/>
      <c r="Y6" s="3193"/>
      <c r="Z6" s="3194"/>
      <c r="AA6" s="3164"/>
      <c r="AB6" s="3164"/>
      <c r="AC6" s="3164"/>
    </row>
    <row r="7" spans="1:29" s="117" customFormat="1" ht="15.75" thickBot="1">
      <c r="A7" s="408" t="s">
        <v>2547</v>
      </c>
      <c r="B7" s="409"/>
      <c r="C7" s="410">
        <f>'数据-取费表'!B2</f>
        <v>43262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66" t="s">
        <v>2548</v>
      </c>
      <c r="Q7" s="3195"/>
      <c r="R7" s="767" t="s">
        <v>17</v>
      </c>
      <c r="S7" s="768">
        <f t="shared" ref="S7:S15" si="0">F7</f>
        <v>0</v>
      </c>
      <c r="T7" s="767" t="s">
        <v>17</v>
      </c>
      <c r="U7" s="768">
        <f t="shared" ref="U7:U15" si="1">H7</f>
        <v>0</v>
      </c>
      <c r="V7" s="767" t="s">
        <v>17</v>
      </c>
      <c r="W7" s="768">
        <f t="shared" ref="W7:W15" si="2">J7</f>
        <v>0</v>
      </c>
      <c r="X7" s="769"/>
      <c r="Y7" s="3166" t="s">
        <v>2548</v>
      </c>
      <c r="Z7" s="3167"/>
      <c r="AA7" s="770" t="e">
        <f>D7/F7</f>
        <v>#DIV/0!</v>
      </c>
      <c r="AB7" s="770" t="e">
        <f>D7/H7</f>
        <v>#DIV/0!</v>
      </c>
      <c r="AC7" s="770"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66" t="s">
        <v>2551</v>
      </c>
      <c r="Q8" s="3167"/>
      <c r="R8" s="767" t="s">
        <v>17</v>
      </c>
      <c r="S8" s="768">
        <f t="shared" si="0"/>
        <v>0</v>
      </c>
      <c r="T8" s="767" t="s">
        <v>17</v>
      </c>
      <c r="U8" s="768">
        <f t="shared" si="1"/>
        <v>0</v>
      </c>
      <c r="V8" s="767" t="s">
        <v>17</v>
      </c>
      <c r="W8" s="768">
        <f t="shared" si="2"/>
        <v>0</v>
      </c>
      <c r="X8" s="769"/>
      <c r="Y8" s="3166" t="s">
        <v>2551</v>
      </c>
      <c r="Z8" s="3167"/>
      <c r="AA8" s="770" t="e">
        <f t="shared" ref="AA8:AA40" si="3">D8/F8</f>
        <v>#DIV/0!</v>
      </c>
      <c r="AB8" s="770" t="e">
        <f t="shared" ref="AB8:AB40" si="4">D8/H8</f>
        <v>#DIV/0!</v>
      </c>
      <c r="AC8" s="770"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5" t="s">
        <v>2554</v>
      </c>
      <c r="Q9" s="1795" t="str">
        <f t="shared" ref="Q9:Q15" si="6">B9</f>
        <v>用途</v>
      </c>
      <c r="R9" s="767" t="s">
        <v>17</v>
      </c>
      <c r="S9" s="768">
        <f t="shared" si="0"/>
        <v>100</v>
      </c>
      <c r="T9" s="767" t="s">
        <v>17</v>
      </c>
      <c r="U9" s="768">
        <f t="shared" si="1"/>
        <v>100</v>
      </c>
      <c r="V9" s="767" t="s">
        <v>17</v>
      </c>
      <c r="W9" s="768">
        <f t="shared" si="2"/>
        <v>100</v>
      </c>
      <c r="X9" s="769"/>
      <c r="Y9" s="3034" t="s">
        <v>2555</v>
      </c>
      <c r="Z9" s="55" t="str">
        <f t="shared" ref="Z9:Z15" si="7">Q9</f>
        <v>用途</v>
      </c>
      <c r="AA9" s="770">
        <f t="shared" si="3"/>
        <v>1</v>
      </c>
      <c r="AB9" s="770">
        <f t="shared" si="4"/>
        <v>1</v>
      </c>
      <c r="AC9" s="770">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5"/>
      <c r="Q10" s="1795"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5"/>
      <c r="Q11" s="1795"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05"/>
      <c r="Q12" s="1795">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05"/>
      <c r="Q13" s="1795">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05"/>
      <c r="Q14" s="1795">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57">
      <c r="A15" s="440" t="s">
        <v>2558</v>
      </c>
      <c r="B15" s="69" t="s">
        <v>2701</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8" t="s">
        <v>2559</v>
      </c>
      <c r="Q15" s="1810" t="str">
        <f t="shared" si="6"/>
        <v>产业集聚程度</v>
      </c>
      <c r="R15" s="771" t="s">
        <v>17</v>
      </c>
      <c r="S15" s="772">
        <f t="shared" si="0"/>
        <v>100</v>
      </c>
      <c r="T15" s="771" t="s">
        <v>17</v>
      </c>
      <c r="U15" s="772">
        <f t="shared" si="1"/>
        <v>100</v>
      </c>
      <c r="V15" s="771" t="s">
        <v>17</v>
      </c>
      <c r="W15" s="772">
        <f t="shared" si="2"/>
        <v>100</v>
      </c>
      <c r="X15" s="1813"/>
      <c r="Y15" s="3198"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99"/>
      <c r="Q16" s="1810"/>
      <c r="R16" s="771"/>
      <c r="S16" s="772"/>
      <c r="T16" s="771"/>
      <c r="U16" s="772"/>
      <c r="V16" s="771"/>
      <c r="W16" s="772"/>
      <c r="X16" s="1813"/>
      <c r="Y16" s="3199"/>
      <c r="Z16" s="1814"/>
      <c r="AA16" s="1811">
        <v>1</v>
      </c>
      <c r="AB16" s="1811">
        <v>1</v>
      </c>
      <c r="AC16" s="1811">
        <v>1</v>
      </c>
    </row>
    <row r="17" spans="1:29" ht="85.5">
      <c r="A17" s="428"/>
      <c r="B17" s="451" t="s">
        <v>2095</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9"/>
      <c r="Q17" s="1810" t="str">
        <f>B17</f>
        <v>交通便捷度</v>
      </c>
      <c r="R17" s="771" t="s">
        <v>17</v>
      </c>
      <c r="S17" s="772">
        <f>F17</f>
        <v>100</v>
      </c>
      <c r="T17" s="771" t="s">
        <v>17</v>
      </c>
      <c r="U17" s="772">
        <f>H17</f>
        <v>100</v>
      </c>
      <c r="V17" s="771" t="s">
        <v>17</v>
      </c>
      <c r="W17" s="772">
        <f>J17</f>
        <v>100</v>
      </c>
      <c r="X17" s="1813"/>
      <c r="Y17" s="3199"/>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199"/>
      <c r="Q18" s="1810"/>
      <c r="R18" s="771"/>
      <c r="S18" s="772"/>
      <c r="T18" s="771"/>
      <c r="U18" s="772"/>
      <c r="V18" s="771"/>
      <c r="W18" s="772"/>
      <c r="X18" s="1813"/>
      <c r="Y18" s="3199"/>
      <c r="Z18" s="1814"/>
      <c r="AA18" s="1811">
        <v>1</v>
      </c>
      <c r="AB18" s="1811">
        <v>1</v>
      </c>
      <c r="AC18" s="1811">
        <v>1</v>
      </c>
    </row>
    <row r="19" spans="1:29" ht="42.75">
      <c r="A19" s="428"/>
      <c r="B19" s="451" t="s">
        <v>2686</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9"/>
      <c r="Q19" s="1810" t="str">
        <f>B19</f>
        <v>公共配套设施</v>
      </c>
      <c r="R19" s="771" t="s">
        <v>17</v>
      </c>
      <c r="S19" s="772">
        <f>F19</f>
        <v>100</v>
      </c>
      <c r="T19" s="771" t="s">
        <v>17</v>
      </c>
      <c r="U19" s="772">
        <f>H19</f>
        <v>100</v>
      </c>
      <c r="V19" s="771" t="s">
        <v>17</v>
      </c>
      <c r="W19" s="772">
        <f>J19</f>
        <v>100</v>
      </c>
      <c r="X19" s="1813"/>
      <c r="Y19" s="3199"/>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199"/>
      <c r="Q20" s="1810"/>
      <c r="R20" s="771"/>
      <c r="S20" s="772"/>
      <c r="T20" s="771"/>
      <c r="U20" s="772"/>
      <c r="V20" s="771"/>
      <c r="W20" s="772"/>
      <c r="X20" s="1813"/>
      <c r="Y20" s="3199"/>
      <c r="Z20" s="1814"/>
      <c r="AA20" s="1811">
        <v>1</v>
      </c>
      <c r="AB20" s="1811">
        <v>1</v>
      </c>
      <c r="AC20" s="1811">
        <v>1</v>
      </c>
    </row>
    <row r="21" spans="1:29" ht="28.5">
      <c r="A21" s="428"/>
      <c r="B21" s="1384" t="s">
        <v>2687</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9"/>
      <c r="Q21" s="1810" t="str">
        <f>B21</f>
        <v>基础设施水平</v>
      </c>
      <c r="R21" s="771" t="s">
        <v>17</v>
      </c>
      <c r="S21" s="772">
        <f>F21</f>
        <v>100</v>
      </c>
      <c r="T21" s="771" t="s">
        <v>17</v>
      </c>
      <c r="U21" s="772">
        <f>H21</f>
        <v>100</v>
      </c>
      <c r="V21" s="771" t="s">
        <v>17</v>
      </c>
      <c r="W21" s="772">
        <f>J21</f>
        <v>100</v>
      </c>
      <c r="X21" s="1813"/>
      <c r="Y21" s="3199"/>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199"/>
      <c r="Q22" s="1810"/>
      <c r="R22" s="771"/>
      <c r="S22" s="772"/>
      <c r="T22" s="771"/>
      <c r="U22" s="772"/>
      <c r="V22" s="771"/>
      <c r="W22" s="772"/>
      <c r="X22" s="1813"/>
      <c r="Y22" s="3199"/>
      <c r="Z22" s="1814"/>
      <c r="AA22" s="1811">
        <v>1</v>
      </c>
      <c r="AB22" s="1811">
        <v>1</v>
      </c>
      <c r="AC22" s="1811">
        <v>1</v>
      </c>
    </row>
    <row r="23" spans="1:29" ht="71.25">
      <c r="A23" s="428"/>
      <c r="B23" s="451" t="s">
        <v>2688</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9"/>
      <c r="Q23" s="1810" t="str">
        <f>B23</f>
        <v>环境质量</v>
      </c>
      <c r="R23" s="771" t="s">
        <v>17</v>
      </c>
      <c r="S23" s="772">
        <f>F23</f>
        <v>100</v>
      </c>
      <c r="T23" s="771" t="s">
        <v>17</v>
      </c>
      <c r="U23" s="772">
        <f>H23</f>
        <v>100</v>
      </c>
      <c r="V23" s="771" t="s">
        <v>17</v>
      </c>
      <c r="W23" s="772">
        <f>J23</f>
        <v>100</v>
      </c>
      <c r="X23" s="1813"/>
      <c r="Y23" s="3199"/>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199"/>
      <c r="Q24" s="1810"/>
      <c r="R24" s="771"/>
      <c r="S24" s="772"/>
      <c r="T24" s="771"/>
      <c r="U24" s="772"/>
      <c r="V24" s="771"/>
      <c r="W24" s="772"/>
      <c r="X24" s="1813"/>
      <c r="Y24" s="319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9"/>
      <c r="Q25" s="1810">
        <f>B25</f>
        <v>111</v>
      </c>
      <c r="R25" s="771" t="s">
        <v>17</v>
      </c>
      <c r="S25" s="772">
        <f>F25</f>
        <v>100</v>
      </c>
      <c r="T25" s="771" t="s">
        <v>17</v>
      </c>
      <c r="U25" s="772">
        <f>H25</f>
        <v>100</v>
      </c>
      <c r="V25" s="771" t="s">
        <v>17</v>
      </c>
      <c r="W25" s="772">
        <f>J25</f>
        <v>100</v>
      </c>
      <c r="X25" s="1813"/>
      <c r="Y25" s="319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9"/>
      <c r="Q26" s="1810">
        <f t="shared" ref="Q26:Q40" si="11">B26</f>
        <v>111</v>
      </c>
      <c r="R26" s="771" t="s">
        <v>17</v>
      </c>
      <c r="S26" s="772">
        <f>F26</f>
        <v>100</v>
      </c>
      <c r="T26" s="771" t="s">
        <v>17</v>
      </c>
      <c r="U26" s="772">
        <f>H26</f>
        <v>100</v>
      </c>
      <c r="V26" s="771" t="s">
        <v>17</v>
      </c>
      <c r="W26" s="772">
        <f>J26</f>
        <v>100</v>
      </c>
      <c r="X26" s="1813"/>
      <c r="Y26" s="319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9"/>
      <c r="Q27" s="1795">
        <f t="shared" si="11"/>
        <v>111</v>
      </c>
      <c r="R27" s="767" t="s">
        <v>17</v>
      </c>
      <c r="S27" s="768">
        <f>F27</f>
        <v>100</v>
      </c>
      <c r="T27" s="767" t="s">
        <v>17</v>
      </c>
      <c r="U27" s="768">
        <f>H27</f>
        <v>100</v>
      </c>
      <c r="V27" s="767" t="s">
        <v>17</v>
      </c>
      <c r="W27" s="768">
        <f>J27</f>
        <v>100</v>
      </c>
      <c r="X27" s="769"/>
      <c r="Y27" s="319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9"/>
      <c r="Q28" s="1810">
        <f t="shared" si="11"/>
        <v>111</v>
      </c>
      <c r="R28" s="771" t="s">
        <v>17</v>
      </c>
      <c r="S28" s="772">
        <f t="shared" ref="S28:S40" si="12">F28</f>
        <v>100</v>
      </c>
      <c r="T28" s="771" t="s">
        <v>17</v>
      </c>
      <c r="U28" s="772">
        <f t="shared" ref="U28:U40" si="13">H28</f>
        <v>100</v>
      </c>
      <c r="V28" s="771" t="s">
        <v>17</v>
      </c>
      <c r="W28" s="772">
        <f t="shared" ref="W28:W40" si="14">J28</f>
        <v>100</v>
      </c>
      <c r="X28" s="1813"/>
      <c r="Y28" s="3199"/>
      <c r="Z28" s="1814">
        <f t="shared" ref="Z28:Z40" si="15">Q28</f>
        <v>111</v>
      </c>
      <c r="AA28" s="1811">
        <f t="shared" si="3"/>
        <v>1</v>
      </c>
      <c r="AB28" s="1811">
        <f t="shared" si="4"/>
        <v>1</v>
      </c>
      <c r="AC28" s="1811">
        <f t="shared" si="5"/>
        <v>1</v>
      </c>
    </row>
    <row r="29" spans="1:29" ht="15">
      <c r="A29" s="466" t="s">
        <v>2562</v>
      </c>
      <c r="B29" s="71" t="s">
        <v>2691</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49" t="s">
        <v>2564</v>
      </c>
      <c r="Q29" s="1810" t="str">
        <f t="shared" si="11"/>
        <v>建筑类型</v>
      </c>
      <c r="R29" s="771" t="s">
        <v>17</v>
      </c>
      <c r="S29" s="772">
        <f t="shared" si="12"/>
        <v>100</v>
      </c>
      <c r="T29" s="771" t="s">
        <v>17</v>
      </c>
      <c r="U29" s="772">
        <f t="shared" si="13"/>
        <v>100</v>
      </c>
      <c r="V29" s="771" t="s">
        <v>17</v>
      </c>
      <c r="W29" s="772">
        <f t="shared" si="14"/>
        <v>100</v>
      </c>
      <c r="X29" s="1813"/>
      <c r="Y29" s="3203"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3"/>
      <c r="Q30" s="773" t="str">
        <f t="shared" si="11"/>
        <v>项目建筑规模</v>
      </c>
      <c r="R30" s="774" t="s">
        <v>17</v>
      </c>
      <c r="S30" s="775" t="e">
        <f t="shared" si="12"/>
        <v>#N/A</v>
      </c>
      <c r="T30" s="774" t="s">
        <v>17</v>
      </c>
      <c r="U30" s="775" t="e">
        <f t="shared" si="13"/>
        <v>#N/A</v>
      </c>
      <c r="V30" s="774" t="s">
        <v>17</v>
      </c>
      <c r="W30" s="775" t="e">
        <f t="shared" si="14"/>
        <v>#N/A</v>
      </c>
      <c r="X30" s="776"/>
      <c r="Y30" s="3203"/>
      <c r="Z30" s="777"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3"/>
      <c r="Q31" s="1810" t="str">
        <f t="shared" si="11"/>
        <v>建筑结构</v>
      </c>
      <c r="R31" s="771" t="s">
        <v>17</v>
      </c>
      <c r="S31" s="772">
        <f t="shared" si="12"/>
        <v>100</v>
      </c>
      <c r="T31" s="771" t="s">
        <v>17</v>
      </c>
      <c r="U31" s="772">
        <f t="shared" si="13"/>
        <v>100</v>
      </c>
      <c r="V31" s="771" t="s">
        <v>17</v>
      </c>
      <c r="W31" s="772">
        <f t="shared" si="14"/>
        <v>100</v>
      </c>
      <c r="X31" s="1813"/>
      <c r="Y31" s="3203"/>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3"/>
      <c r="Q32" s="1810" t="str">
        <f t="shared" si="11"/>
        <v>公共部分装修</v>
      </c>
      <c r="R32" s="771" t="s">
        <v>17</v>
      </c>
      <c r="S32" s="772">
        <f t="shared" si="12"/>
        <v>100</v>
      </c>
      <c r="T32" s="771" t="s">
        <v>17</v>
      </c>
      <c r="U32" s="772">
        <f t="shared" si="13"/>
        <v>100</v>
      </c>
      <c r="V32" s="771" t="s">
        <v>17</v>
      </c>
      <c r="W32" s="772">
        <f t="shared" si="14"/>
        <v>100</v>
      </c>
      <c r="X32" s="1813"/>
      <c r="Y32" s="3203"/>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3"/>
      <c r="Q33" s="1810" t="str">
        <f t="shared" si="11"/>
        <v>成新度</v>
      </c>
      <c r="R33" s="771" t="s">
        <v>17</v>
      </c>
      <c r="S33" s="772" t="e">
        <f t="shared" si="12"/>
        <v>#N/A</v>
      </c>
      <c r="T33" s="771" t="s">
        <v>17</v>
      </c>
      <c r="U33" s="772" t="e">
        <f t="shared" si="13"/>
        <v>#N/A</v>
      </c>
      <c r="V33" s="771" t="s">
        <v>17</v>
      </c>
      <c r="W33" s="772" t="e">
        <f t="shared" si="14"/>
        <v>#N/A</v>
      </c>
      <c r="X33" s="1813"/>
      <c r="Y33" s="3203"/>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3"/>
      <c r="Q34" s="1795" t="str">
        <f t="shared" si="11"/>
        <v>物业管理</v>
      </c>
      <c r="R34" s="767" t="s">
        <v>17</v>
      </c>
      <c r="S34" s="768">
        <f t="shared" si="12"/>
        <v>100</v>
      </c>
      <c r="T34" s="767" t="s">
        <v>17</v>
      </c>
      <c r="U34" s="768">
        <f t="shared" si="13"/>
        <v>100</v>
      </c>
      <c r="V34" s="767" t="s">
        <v>17</v>
      </c>
      <c r="W34" s="768">
        <f t="shared" si="14"/>
        <v>100</v>
      </c>
      <c r="X34" s="769"/>
      <c r="Y34" s="3203"/>
      <c r="Z34" s="55" t="str">
        <f t="shared" si="15"/>
        <v>物业管理</v>
      </c>
      <c r="AA34" s="770">
        <f t="shared" si="3"/>
        <v>1</v>
      </c>
      <c r="AB34" s="770">
        <f t="shared" si="4"/>
        <v>1</v>
      </c>
      <c r="AC34" s="770">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3" t="s">
        <v>2564</v>
      </c>
      <c r="Q35" s="1810" t="str">
        <f t="shared" si="11"/>
        <v>市政基础设施</v>
      </c>
      <c r="R35" s="771" t="s">
        <v>17</v>
      </c>
      <c r="S35" s="772">
        <f t="shared" si="12"/>
        <v>100</v>
      </c>
      <c r="T35" s="771" t="s">
        <v>17</v>
      </c>
      <c r="U35" s="772">
        <f t="shared" si="13"/>
        <v>100</v>
      </c>
      <c r="V35" s="771" t="s">
        <v>17</v>
      </c>
      <c r="W35" s="772">
        <f t="shared" si="14"/>
        <v>100</v>
      </c>
      <c r="X35" s="1813"/>
      <c r="Y35" s="3203" t="s">
        <v>2564</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3"/>
      <c r="Q36" s="1810" t="str">
        <f t="shared" si="11"/>
        <v>内部装修</v>
      </c>
      <c r="R36" s="771" t="s">
        <v>17</v>
      </c>
      <c r="S36" s="772">
        <f t="shared" si="12"/>
        <v>100</v>
      </c>
      <c r="T36" s="771" t="s">
        <v>17</v>
      </c>
      <c r="U36" s="772">
        <f t="shared" si="13"/>
        <v>100</v>
      </c>
      <c r="V36" s="771" t="s">
        <v>17</v>
      </c>
      <c r="W36" s="772">
        <f t="shared" si="14"/>
        <v>100</v>
      </c>
      <c r="X36" s="1813"/>
      <c r="Y36" s="3203"/>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3"/>
      <c r="Q37" s="1810" t="str">
        <f t="shared" si="11"/>
        <v>内部装修状况</v>
      </c>
      <c r="R37" s="771" t="s">
        <v>17</v>
      </c>
      <c r="S37" s="772">
        <f t="shared" si="12"/>
        <v>100</v>
      </c>
      <c r="T37" s="771" t="s">
        <v>17</v>
      </c>
      <c r="U37" s="772">
        <f t="shared" si="13"/>
        <v>100</v>
      </c>
      <c r="V37" s="771" t="s">
        <v>17</v>
      </c>
      <c r="W37" s="772">
        <f t="shared" si="14"/>
        <v>100</v>
      </c>
      <c r="X37" s="1813"/>
      <c r="Y37" s="320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3"/>
      <c r="Q38" s="773">
        <f t="shared" si="11"/>
        <v>111</v>
      </c>
      <c r="R38" s="774" t="s">
        <v>17</v>
      </c>
      <c r="S38" s="775">
        <f t="shared" si="12"/>
        <v>100</v>
      </c>
      <c r="T38" s="774" t="s">
        <v>17</v>
      </c>
      <c r="U38" s="775">
        <f t="shared" si="13"/>
        <v>100</v>
      </c>
      <c r="V38" s="774" t="s">
        <v>17</v>
      </c>
      <c r="W38" s="775">
        <f t="shared" si="14"/>
        <v>100</v>
      </c>
      <c r="X38" s="776"/>
      <c r="Y38" s="3203"/>
      <c r="Z38" s="777">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3"/>
      <c r="Q39" s="1810">
        <f t="shared" si="11"/>
        <v>111</v>
      </c>
      <c r="R39" s="771" t="s">
        <v>17</v>
      </c>
      <c r="S39" s="772">
        <f t="shared" si="12"/>
        <v>100</v>
      </c>
      <c r="T39" s="771" t="s">
        <v>17</v>
      </c>
      <c r="U39" s="772">
        <f t="shared" si="13"/>
        <v>100</v>
      </c>
      <c r="V39" s="771" t="s">
        <v>17</v>
      </c>
      <c r="W39" s="772">
        <f t="shared" si="14"/>
        <v>100</v>
      </c>
      <c r="X39" s="1813"/>
      <c r="Y39" s="3203"/>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04"/>
      <c r="Q40" s="1810">
        <f t="shared" si="11"/>
        <v>111</v>
      </c>
      <c r="R40" s="771" t="s">
        <v>17</v>
      </c>
      <c r="S40" s="772">
        <f t="shared" si="12"/>
        <v>100</v>
      </c>
      <c r="T40" s="771" t="s">
        <v>17</v>
      </c>
      <c r="U40" s="772">
        <f t="shared" si="13"/>
        <v>100</v>
      </c>
      <c r="V40" s="771" t="s">
        <v>17</v>
      </c>
      <c r="W40" s="772">
        <f t="shared" si="14"/>
        <v>100</v>
      </c>
      <c r="X40" s="1813"/>
      <c r="Y40" s="3204"/>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0"/>
      <c r="L41" s="1143"/>
      <c r="M41" s="1144"/>
      <c r="N41" s="1131"/>
      <c r="O41" s="1144"/>
      <c r="P41" s="3205" t="str">
        <f>A41</f>
        <v>成交单价（元/平方米）</v>
      </c>
      <c r="Q41" s="3205"/>
      <c r="R41" s="3206">
        <f>E41</f>
        <v>0</v>
      </c>
      <c r="S41" s="3206"/>
      <c r="T41" s="3206">
        <f>G41</f>
        <v>0</v>
      </c>
      <c r="U41" s="3206"/>
      <c r="V41" s="3206">
        <f>I41</f>
        <v>0</v>
      </c>
      <c r="W41" s="3206"/>
      <c r="X41" s="756"/>
      <c r="Y41" s="778"/>
      <c r="Z41" s="756"/>
      <c r="AA41" s="756"/>
      <c r="AB41" s="756"/>
      <c r="AC41" s="756"/>
    </row>
    <row r="42" spans="1:29" ht="15.75" thickBot="1">
      <c r="A42" s="486" t="s">
        <v>2667</v>
      </c>
      <c r="B42" s="487"/>
      <c r="C42" s="1413" t="e">
        <f>R43</f>
        <v>#DIV/0!</v>
      </c>
      <c r="D42" s="1414"/>
      <c r="E42" s="1415" t="e">
        <f>R42</f>
        <v>#DIV/0!</v>
      </c>
      <c r="F42" s="1415"/>
      <c r="G42" s="1413" t="e">
        <f>T42</f>
        <v>#DIV/0!</v>
      </c>
      <c r="H42" s="1414"/>
      <c r="I42" s="1415" t="e">
        <f>V42</f>
        <v>#DIV/0!</v>
      </c>
      <c r="J42" s="1414"/>
      <c r="K42" s="781"/>
      <c r="L42" s="1143"/>
      <c r="M42" s="1144"/>
      <c r="N42" s="1131"/>
      <c r="O42" s="1144"/>
      <c r="P42" s="3205" t="str">
        <f>A42</f>
        <v>比较价值（元/平方米）</v>
      </c>
      <c r="Q42" s="3205"/>
      <c r="R42" s="3206" t="e">
        <f>IF(F1="售价",ROUND(PRODUCT(R41,AA7:AA40),0),ROUND(PRODUCT(R41,AA7:AA40),1))</f>
        <v>#DIV/0!</v>
      </c>
      <c r="S42" s="3206"/>
      <c r="T42" s="3206" t="e">
        <f>IF(F1="售价",ROUND(PRODUCT(T41,AB7:AB40),0),ROUND(PRODUCT(T41,AB7:AB40),1))</f>
        <v>#DIV/0!</v>
      </c>
      <c r="U42" s="3206"/>
      <c r="V42" s="3206" t="e">
        <f>IF(F1="售价",ROUND(PRODUCT(V41,AC7:AC40),0),ROUND(PRODUCT(V41,AC7:AC40),1))</f>
        <v>#DIV/0!</v>
      </c>
      <c r="W42" s="3206"/>
      <c r="X42" s="756"/>
      <c r="Y42" s="756"/>
      <c r="Z42" s="756"/>
      <c r="AA42" s="756"/>
      <c r="AB42" s="756"/>
      <c r="AC42" s="756"/>
    </row>
    <row r="43" spans="1:29" ht="15.75" thickBot="1">
      <c r="A43" s="492" t="s">
        <v>2668</v>
      </c>
      <c r="B43" s="493"/>
      <c r="C43" s="1417" t="e">
        <f>R43</f>
        <v>#DIV/0!</v>
      </c>
      <c r="D43" s="1417"/>
      <c r="E43" s="1417"/>
      <c r="F43" s="1417"/>
      <c r="G43" s="1417"/>
      <c r="H43" s="1417"/>
      <c r="I43" s="1417"/>
      <c r="J43" s="1417"/>
      <c r="K43" s="782"/>
      <c r="L43" s="1143"/>
      <c r="M43" s="1144"/>
      <c r="N43" s="1144"/>
      <c r="O43" s="1144"/>
      <c r="P43" s="3207" t="str">
        <f>A43</f>
        <v>估价对象XX用房的比较价值（楼面单价，元/平方米）</v>
      </c>
      <c r="Q43" s="3208"/>
      <c r="R43" s="3209" t="e">
        <f>IF(F1="售价",ROUND(AVERAGE(R42:V42),0),ROUND(AVERAGE(R42:V42),1))</f>
        <v>#DIV/0!</v>
      </c>
      <c r="S43" s="3209"/>
      <c r="T43" s="3209"/>
      <c r="U43" s="3209"/>
      <c r="V43" s="3209"/>
      <c r="W43" s="3209"/>
      <c r="X43" s="756"/>
      <c r="Y43" s="756"/>
      <c r="Z43" s="756"/>
      <c r="AA43" s="756"/>
      <c r="AB43" s="756"/>
      <c r="AC43" s="756"/>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0" t="s">
        <v>2672</v>
      </c>
      <c r="B51" s="756"/>
      <c r="C51" s="761"/>
      <c r="D51" s="761"/>
      <c r="E51" s="761"/>
      <c r="F51" s="762"/>
      <c r="G51" s="762"/>
      <c r="H51" s="761"/>
      <c r="I51" s="761"/>
      <c r="J51" s="761"/>
      <c r="K51" s="1160"/>
      <c r="L51" s="1161"/>
      <c r="M51" s="1159"/>
      <c r="N51" s="1159"/>
      <c r="O51" s="1159"/>
      <c r="P51" s="503"/>
      <c r="Q51" s="504"/>
    </row>
    <row r="52" spans="1:17" s="508" customFormat="1" ht="15">
      <c r="A52" s="505" t="s">
        <v>2547</v>
      </c>
      <c r="B52" s="506"/>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8">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2703</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3"/>
      <c r="O77" s="1153"/>
      <c r="P77" s="45"/>
      <c r="Q77" s="504"/>
    </row>
    <row r="78" spans="1:17" ht="15.75" thickTop="1">
      <c r="A78" s="534"/>
      <c r="B78" s="538" t="s">
        <v>2696</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2"/>
      <c r="J98" s="622"/>
      <c r="K98" s="623"/>
      <c r="L98" s="624"/>
      <c r="M98" s="625"/>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5" t="s">
        <v>2704</v>
      </c>
      <c r="C106" s="578" t="s">
        <v>2596</v>
      </c>
      <c r="D106" s="578" t="s">
        <v>2597</v>
      </c>
      <c r="E106" s="578" t="s">
        <v>2598</v>
      </c>
      <c r="F106" s="578" t="s">
        <v>2599</v>
      </c>
      <c r="G106" s="578" t="s">
        <v>2600</v>
      </c>
      <c r="H106" s="539"/>
      <c r="I106" s="539"/>
      <c r="J106" s="539"/>
      <c r="K106" s="540"/>
      <c r="L106" s="541"/>
      <c r="M106" s="542"/>
      <c r="N106" s="1153"/>
      <c r="O106" s="1153"/>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武汉伟鹏房地产开发建筑有限公司：</v>
      </c>
    </row>
    <row r="4" spans="1:1" ht="36">
      <c r="A4" s="1948" t="str">
        <f>"受贵公司委托，我公司对"&amp;项目基本情况!S1&amp;"进行了预评估。"</f>
        <v>受贵公司委托，我公司对湖北省武汉市江夏区江夏经济开发区街文化大道36号鹏湖湾二期2-4栋/单元1-2层1号等31套商业用房房地产抵押价值进行了预评估。</v>
      </c>
    </row>
    <row r="5" spans="1:1" ht="18.75">
      <c r="A5" s="1949" t="s">
        <v>1612</v>
      </c>
    </row>
    <row r="6" spans="1:1" ht="18.75">
      <c r="A6" s="1950" t="s">
        <v>1613</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夏区江夏经济开发区街文化大道36号鹏湖湾二期2-4栋/单元1-2层1号等31套商业用房房地产，为武汉伟鹏房地产开发建筑有限公司所有。根据《不动产权证书》[鄂（2018）武汉市江夏不动产权第0016999号等31件]，估价对象（分摊）出让国有建设用地使用权面积为1023.05平方米，建筑面积为8582.62平方米。</v>
      </c>
    </row>
    <row r="8" spans="1:1" ht="57.75">
      <c r="A8" s="1951" t="s">
        <v>1614</v>
      </c>
    </row>
    <row r="9" spans="1:1" ht="18.75">
      <c r="A9" s="1950" t="s">
        <v>1615</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夏区江夏经济开发区街文化大道36号鹏湖湾二期2-4栋/单元1-2层1号等31套商业用房房地产,为武汉伟鹏房地产开发建筑有限公司开发建设的商业项目，该项目尚在开发建设中。根据《不动产权证书》[鄂（2018）武汉市江夏不动产权第0016999号等31件]，估价对象（分摊）出让国有建设用地使用权面积为1023.05平方米，规划建筑面积为8582.62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2018年6月11日（评估专业人员实地查勘之日）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11日，估价对象规划用途为商业，土地取得方式为出让，出让国有建设用地使用权剩余土地使用年限为商业28.87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商业28.87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本次评估采用的主估价方法为比较法和收益法。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2529</v>
      </c>
      <c r="D1" s="1621"/>
      <c r="E1" s="1622"/>
      <c r="F1" s="2583"/>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1419"/>
      <c r="Q2" s="765"/>
      <c r="R2" s="765"/>
      <c r="S2" s="765"/>
      <c r="T2" s="765"/>
      <c r="U2" s="765"/>
      <c r="V2" s="765"/>
      <c r="W2" s="765"/>
      <c r="X2" s="765"/>
      <c r="Y2" s="765"/>
      <c r="Z2" s="765"/>
      <c r="AA2" s="765"/>
      <c r="AB2" s="765"/>
      <c r="AC2" s="766"/>
    </row>
    <row r="3" spans="1:29" s="398" customFormat="1" ht="28.5" customHeight="1" thickBot="1">
      <c r="A3" s="247" t="s">
        <v>2328</v>
      </c>
      <c r="B3" s="609" t="e">
        <f ca="1">IF(AND(C2="——",B37="元/平方米"),C39,ROUND(B2*10000/D3,0))</f>
        <v>#DIV/0!</v>
      </c>
      <c r="C3" s="400" t="s">
        <v>2643</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5"/>
      <c r="R3" s="765"/>
      <c r="S3" s="765"/>
      <c r="T3" s="765"/>
      <c r="U3" s="765"/>
      <c r="V3" s="765"/>
      <c r="W3" s="765"/>
      <c r="X3" s="765"/>
      <c r="Y3" s="765"/>
      <c r="Z3" s="765"/>
      <c r="AA3" s="765"/>
      <c r="AB3" s="783"/>
      <c r="AC3" s="779"/>
    </row>
    <row r="4" spans="1:29" ht="15">
      <c r="A4" s="401" t="s">
        <v>2644</v>
      </c>
      <c r="B4" s="402"/>
      <c r="C4" s="3183" t="s">
        <v>2645</v>
      </c>
      <c r="D4" s="3184"/>
      <c r="E4" s="3185" t="s">
        <v>2646</v>
      </c>
      <c r="F4" s="3186"/>
      <c r="G4" s="3183" t="s">
        <v>2647</v>
      </c>
      <c r="H4" s="3184"/>
      <c r="I4" s="3183" t="s">
        <v>2648</v>
      </c>
      <c r="J4" s="3184"/>
      <c r="K4" s="610" t="s">
        <v>2649</v>
      </c>
      <c r="L4" s="1130"/>
      <c r="M4" s="1131"/>
      <c r="N4" s="1131"/>
      <c r="O4" s="1131"/>
      <c r="P4" s="3187" t="s">
        <v>2650</v>
      </c>
      <c r="Q4" s="3188"/>
      <c r="R4" s="3168" t="s">
        <v>2646</v>
      </c>
      <c r="S4" s="3169"/>
      <c r="T4" s="3168" t="s">
        <v>2647</v>
      </c>
      <c r="U4" s="3169"/>
      <c r="V4" s="3165" t="s">
        <v>2648</v>
      </c>
      <c r="W4" s="3165"/>
      <c r="X4" s="1813"/>
      <c r="Y4" s="3168" t="s">
        <v>2650</v>
      </c>
      <c r="Z4" s="3169"/>
      <c r="AA4" s="3162" t="s">
        <v>2646</v>
      </c>
      <c r="AB4" s="3163" t="s">
        <v>2647</v>
      </c>
      <c r="AC4" s="3162" t="s">
        <v>2648</v>
      </c>
    </row>
    <row r="5" spans="1:29" ht="15">
      <c r="A5" s="404"/>
      <c r="B5" s="405"/>
      <c r="C5" s="3174" t="s">
        <v>2541</v>
      </c>
      <c r="D5" s="3175"/>
      <c r="E5" s="3232" t="s">
        <v>2542</v>
      </c>
      <c r="F5" s="3173"/>
      <c r="G5" s="3174" t="s">
        <v>2543</v>
      </c>
      <c r="H5" s="3175"/>
      <c r="I5" s="3174" t="s">
        <v>2544</v>
      </c>
      <c r="J5" s="3175"/>
      <c r="K5" s="610"/>
      <c r="L5" s="1130"/>
      <c r="M5" s="1131"/>
      <c r="N5" s="1131"/>
      <c r="O5" s="1131"/>
      <c r="P5" s="3189"/>
      <c r="Q5" s="3190"/>
      <c r="R5" s="3170"/>
      <c r="S5" s="3171"/>
      <c r="T5" s="3170"/>
      <c r="U5" s="3171"/>
      <c r="V5" s="3165"/>
      <c r="W5" s="3165"/>
      <c r="X5" s="1813"/>
      <c r="Y5" s="3170"/>
      <c r="Z5" s="3171"/>
      <c r="AA5" s="3163"/>
      <c r="AB5" s="3163"/>
      <c r="AC5" s="3163"/>
    </row>
    <row r="6" spans="1:29" ht="15.75" thickBot="1">
      <c r="A6" s="406"/>
      <c r="B6" s="407"/>
      <c r="C6" s="3176" t="s">
        <v>2545</v>
      </c>
      <c r="D6" s="3177"/>
      <c r="E6" s="3233" t="s">
        <v>2545</v>
      </c>
      <c r="F6" s="3180"/>
      <c r="G6" s="3176" t="s">
        <v>2545</v>
      </c>
      <c r="H6" s="3177"/>
      <c r="I6" s="3176" t="s">
        <v>2545</v>
      </c>
      <c r="J6" s="3177"/>
      <c r="K6" s="610" t="s">
        <v>2546</v>
      </c>
      <c r="L6" s="1130"/>
      <c r="M6" s="1131"/>
      <c r="N6" s="1131"/>
      <c r="O6" s="1131"/>
      <c r="P6" s="3191"/>
      <c r="Q6" s="3192"/>
      <c r="R6" s="3170"/>
      <c r="S6" s="3171"/>
      <c r="T6" s="3193"/>
      <c r="U6" s="3194"/>
      <c r="V6" s="3165"/>
      <c r="W6" s="3165"/>
      <c r="X6" s="1813"/>
      <c r="Y6" s="3193"/>
      <c r="Z6" s="3194"/>
      <c r="AA6" s="3164"/>
      <c r="AB6" s="3164"/>
      <c r="AC6" s="3164"/>
    </row>
    <row r="7" spans="1:29" s="117" customFormat="1" ht="15.75" thickBot="1">
      <c r="A7" s="408" t="s">
        <v>2547</v>
      </c>
      <c r="B7" s="409"/>
      <c r="C7" s="410">
        <f>'数据-取费表'!B2</f>
        <v>43262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66" t="s">
        <v>2548</v>
      </c>
      <c r="Q7" s="3195"/>
      <c r="R7" s="767" t="s">
        <v>17</v>
      </c>
      <c r="S7" s="768">
        <f t="shared" ref="S7:S14" si="0">F7</f>
        <v>0</v>
      </c>
      <c r="T7" s="767" t="s">
        <v>17</v>
      </c>
      <c r="U7" s="768">
        <f t="shared" ref="U7:U14" si="1">H7</f>
        <v>0</v>
      </c>
      <c r="V7" s="767" t="s">
        <v>17</v>
      </c>
      <c r="W7" s="768">
        <f t="shared" ref="W7:W14" si="2">J7</f>
        <v>0</v>
      </c>
      <c r="X7" s="769"/>
      <c r="Y7" s="3166" t="s">
        <v>2548</v>
      </c>
      <c r="Z7" s="3167"/>
      <c r="AA7" s="770" t="e">
        <f>D7/F7</f>
        <v>#DIV/0!</v>
      </c>
      <c r="AB7" s="770" t="e">
        <f>D7/H7</f>
        <v>#DIV/0!</v>
      </c>
      <c r="AC7" s="770"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66" t="s">
        <v>2551</v>
      </c>
      <c r="Q8" s="3167"/>
      <c r="R8" s="767" t="s">
        <v>17</v>
      </c>
      <c r="S8" s="768">
        <f t="shared" si="0"/>
        <v>0</v>
      </c>
      <c r="T8" s="767" t="s">
        <v>17</v>
      </c>
      <c r="U8" s="768">
        <f t="shared" si="1"/>
        <v>0</v>
      </c>
      <c r="V8" s="767" t="s">
        <v>17</v>
      </c>
      <c r="W8" s="768">
        <f t="shared" si="2"/>
        <v>0</v>
      </c>
      <c r="X8" s="769"/>
      <c r="Y8" s="3166" t="s">
        <v>2551</v>
      </c>
      <c r="Z8" s="3167"/>
      <c r="AA8" s="770" t="e">
        <f t="shared" ref="AA8:AA36" si="3">D8/F8</f>
        <v>#DIV/0!</v>
      </c>
      <c r="AB8" s="770" t="e">
        <f t="shared" ref="AB8:AB36" si="4">D8/H8</f>
        <v>#DIV/0!</v>
      </c>
      <c r="AC8" s="770" t="e">
        <f t="shared" ref="AC8:AC36" si="5">D8/J8</f>
        <v>#DIV/0!</v>
      </c>
    </row>
    <row r="9" spans="1:29" s="117" customFormat="1">
      <c r="A9" s="68" t="s">
        <v>2552</v>
      </c>
      <c r="B9" s="639"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5" t="s">
        <v>2554</v>
      </c>
      <c r="Q9" s="1795" t="str">
        <f t="shared" ref="Q9:Q14" si="6">B9</f>
        <v>用途</v>
      </c>
      <c r="R9" s="767" t="s">
        <v>17</v>
      </c>
      <c r="S9" s="768">
        <f t="shared" si="0"/>
        <v>100</v>
      </c>
      <c r="T9" s="767" t="s">
        <v>17</v>
      </c>
      <c r="U9" s="768">
        <f t="shared" si="1"/>
        <v>100</v>
      </c>
      <c r="V9" s="767" t="s">
        <v>17</v>
      </c>
      <c r="W9" s="768">
        <f t="shared" si="2"/>
        <v>100</v>
      </c>
      <c r="X9" s="769"/>
      <c r="Y9" s="3034" t="s">
        <v>2555</v>
      </c>
      <c r="Z9" s="55" t="str">
        <f t="shared" ref="Z9:Z14" si="7">Q9</f>
        <v>用途</v>
      </c>
      <c r="AA9" s="770">
        <f t="shared" si="3"/>
        <v>1</v>
      </c>
      <c r="AB9" s="770">
        <f t="shared" si="4"/>
        <v>1</v>
      </c>
      <c r="AC9" s="770">
        <f t="shared" si="5"/>
        <v>1</v>
      </c>
    </row>
    <row r="10" spans="1:29" s="427" customFormat="1" ht="27">
      <c r="A10" s="640"/>
      <c r="B10" s="641"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5"/>
      <c r="Q10" s="1795"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5"/>
      <c r="Q11" s="1795">
        <f t="shared" si="6"/>
        <v>111</v>
      </c>
      <c r="R11" s="767" t="s">
        <v>17</v>
      </c>
      <c r="S11" s="768">
        <f t="shared" si="0"/>
        <v>100</v>
      </c>
      <c r="T11" s="767" t="s">
        <v>17</v>
      </c>
      <c r="U11" s="768">
        <f t="shared" si="1"/>
        <v>100</v>
      </c>
      <c r="V11" s="767" t="s">
        <v>17</v>
      </c>
      <c r="W11" s="768">
        <f t="shared" si="2"/>
        <v>100</v>
      </c>
      <c r="X11" s="769"/>
      <c r="Y11" s="3034"/>
      <c r="Z11" s="55">
        <f t="shared" si="7"/>
        <v>111</v>
      </c>
      <c r="AA11" s="770">
        <f t="shared" si="3"/>
        <v>1</v>
      </c>
      <c r="AB11" s="770">
        <f t="shared" si="4"/>
        <v>1</v>
      </c>
      <c r="AC11" s="770">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5"/>
      <c r="Q12" s="1795">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5"/>
      <c r="Q13" s="1795">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85.5">
      <c r="A14" s="401" t="s">
        <v>2558</v>
      </c>
      <c r="B14" s="628" t="s">
        <v>2707</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8" t="s">
        <v>2559</v>
      </c>
      <c r="Q14" s="1810" t="str">
        <f t="shared" si="6"/>
        <v>交通便捷度</v>
      </c>
      <c r="R14" s="771" t="s">
        <v>17</v>
      </c>
      <c r="S14" s="772">
        <f t="shared" si="0"/>
        <v>100</v>
      </c>
      <c r="T14" s="771" t="s">
        <v>17</v>
      </c>
      <c r="U14" s="772">
        <f t="shared" si="1"/>
        <v>100</v>
      </c>
      <c r="V14" s="771" t="s">
        <v>17</v>
      </c>
      <c r="W14" s="772">
        <f t="shared" si="2"/>
        <v>100</v>
      </c>
      <c r="X14" s="1813"/>
      <c r="Y14" s="3198" t="s">
        <v>2559</v>
      </c>
      <c r="Z14" s="1814" t="str">
        <f t="shared" si="7"/>
        <v>交通便捷度</v>
      </c>
      <c r="AA14" s="1811">
        <f t="shared" si="3"/>
        <v>1</v>
      </c>
      <c r="AB14" s="1811">
        <f t="shared" si="4"/>
        <v>1</v>
      </c>
      <c r="AC14" s="1811">
        <f t="shared" si="5"/>
        <v>1</v>
      </c>
    </row>
    <row r="15" spans="1:29" ht="15">
      <c r="A15" s="404"/>
      <c r="B15" s="646"/>
      <c r="C15" s="447"/>
      <c r="D15" s="448"/>
      <c r="E15" s="447"/>
      <c r="F15" s="449"/>
      <c r="G15" s="447"/>
      <c r="H15" s="450"/>
      <c r="I15" s="447"/>
      <c r="J15" s="448"/>
      <c r="K15" s="615"/>
      <c r="L15" s="1140"/>
      <c r="M15" s="1131"/>
      <c r="N15" s="1131"/>
      <c r="O15" s="1131"/>
      <c r="P15" s="3199"/>
      <c r="Q15" s="1810"/>
      <c r="R15" s="771"/>
      <c r="S15" s="772"/>
      <c r="T15" s="771"/>
      <c r="U15" s="772"/>
      <c r="V15" s="771"/>
      <c r="W15" s="772"/>
      <c r="X15" s="1813"/>
      <c r="Y15" s="3199"/>
      <c r="Z15" s="1814"/>
      <c r="AA15" s="1811">
        <v>1</v>
      </c>
      <c r="AB15" s="1811">
        <v>1</v>
      </c>
      <c r="AC15" s="1811">
        <v>1</v>
      </c>
    </row>
    <row r="16" spans="1:29" ht="42.75">
      <c r="A16" s="404"/>
      <c r="B16" s="630" t="s">
        <v>2686</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9"/>
      <c r="Q16" s="1810" t="str">
        <f>B16</f>
        <v>公共配套设施</v>
      </c>
      <c r="R16" s="771" t="s">
        <v>17</v>
      </c>
      <c r="S16" s="772">
        <f>F16</f>
        <v>100</v>
      </c>
      <c r="T16" s="771" t="s">
        <v>17</v>
      </c>
      <c r="U16" s="772">
        <f>H16</f>
        <v>100</v>
      </c>
      <c r="V16" s="771" t="s">
        <v>17</v>
      </c>
      <c r="W16" s="772">
        <f>J16</f>
        <v>100</v>
      </c>
      <c r="X16" s="1813"/>
      <c r="Y16" s="3199"/>
      <c r="Z16" s="1814" t="str">
        <f>Q16</f>
        <v>公共配套设施</v>
      </c>
      <c r="AA16" s="1811">
        <f t="shared" si="3"/>
        <v>1</v>
      </c>
      <c r="AB16" s="1811">
        <f t="shared" si="4"/>
        <v>1</v>
      </c>
      <c r="AC16" s="1811">
        <f t="shared" si="5"/>
        <v>1</v>
      </c>
    </row>
    <row r="17" spans="1:29" ht="15">
      <c r="A17" s="404"/>
      <c r="B17" s="631"/>
      <c r="C17" s="2607"/>
      <c r="D17" s="448"/>
      <c r="E17" s="447"/>
      <c r="F17" s="449"/>
      <c r="G17" s="447"/>
      <c r="H17" s="448"/>
      <c r="I17" s="447"/>
      <c r="J17" s="448"/>
      <c r="K17" s="615"/>
      <c r="L17" s="1140"/>
      <c r="M17" s="1131"/>
      <c r="N17" s="1131"/>
      <c r="O17" s="1131"/>
      <c r="P17" s="3199"/>
      <c r="Q17" s="1810"/>
      <c r="R17" s="771"/>
      <c r="S17" s="772"/>
      <c r="T17" s="771"/>
      <c r="U17" s="772"/>
      <c r="V17" s="771"/>
      <c r="W17" s="772"/>
      <c r="X17" s="1813"/>
      <c r="Y17" s="3199"/>
      <c r="Z17" s="1814"/>
      <c r="AA17" s="1811">
        <v>1</v>
      </c>
      <c r="AB17" s="1811">
        <v>1</v>
      </c>
      <c r="AC17" s="1811">
        <v>1</v>
      </c>
    </row>
    <row r="18" spans="1:29" ht="28.5">
      <c r="A18" s="404"/>
      <c r="B18" s="632" t="s">
        <v>2687</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9"/>
      <c r="Q18" s="1810" t="str">
        <f>B18</f>
        <v>基础设施水平</v>
      </c>
      <c r="R18" s="771" t="s">
        <v>17</v>
      </c>
      <c r="S18" s="772">
        <f>F18</f>
        <v>100</v>
      </c>
      <c r="T18" s="771" t="s">
        <v>17</v>
      </c>
      <c r="U18" s="772">
        <f>H18</f>
        <v>100</v>
      </c>
      <c r="V18" s="771" t="s">
        <v>17</v>
      </c>
      <c r="W18" s="772">
        <f>J18</f>
        <v>100</v>
      </c>
      <c r="X18" s="1813"/>
      <c r="Y18" s="3199"/>
      <c r="Z18" s="1814" t="str">
        <f>Q18</f>
        <v>基础设施水平</v>
      </c>
      <c r="AA18" s="1811">
        <f t="shared" ref="AA18" si="8">D18/F18</f>
        <v>1</v>
      </c>
      <c r="AB18" s="1811">
        <f t="shared" ref="AB18" si="9">D18/H18</f>
        <v>1</v>
      </c>
      <c r="AC18" s="1811">
        <f t="shared" ref="AC18" si="10">D18/J18</f>
        <v>1</v>
      </c>
    </row>
    <row r="19" spans="1:29" ht="15">
      <c r="A19" s="404"/>
      <c r="B19" s="632"/>
      <c r="C19" s="2607"/>
      <c r="D19" s="450"/>
      <c r="E19" s="2607"/>
      <c r="F19" s="453"/>
      <c r="G19" s="2607"/>
      <c r="H19" s="448"/>
      <c r="I19" s="447"/>
      <c r="J19" s="448"/>
      <c r="K19" s="1383"/>
      <c r="L19" s="1140"/>
      <c r="M19" s="1131"/>
      <c r="N19" s="1131"/>
      <c r="O19" s="1131"/>
      <c r="P19" s="3199"/>
      <c r="Q19" s="1810"/>
      <c r="R19" s="771"/>
      <c r="S19" s="772"/>
      <c r="T19" s="771"/>
      <c r="U19" s="772"/>
      <c r="V19" s="771"/>
      <c r="W19" s="772"/>
      <c r="X19" s="1813"/>
      <c r="Y19" s="3199"/>
      <c r="Z19" s="1814"/>
      <c r="AA19" s="1811">
        <v>1</v>
      </c>
      <c r="AB19" s="1811">
        <v>1</v>
      </c>
      <c r="AC19" s="1811">
        <v>1</v>
      </c>
    </row>
    <row r="20" spans="1:29" ht="57">
      <c r="A20" s="404"/>
      <c r="B20" s="630" t="s">
        <v>2708</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9"/>
      <c r="Q20" s="1810" t="str">
        <f>B20</f>
        <v>自然及人文环境</v>
      </c>
      <c r="R20" s="771" t="s">
        <v>17</v>
      </c>
      <c r="S20" s="772">
        <f>F20</f>
        <v>100</v>
      </c>
      <c r="T20" s="771" t="s">
        <v>17</v>
      </c>
      <c r="U20" s="772">
        <f>H20</f>
        <v>100</v>
      </c>
      <c r="V20" s="771" t="s">
        <v>17</v>
      </c>
      <c r="W20" s="772">
        <f>J20</f>
        <v>100</v>
      </c>
      <c r="X20" s="1813"/>
      <c r="Y20" s="3199"/>
      <c r="Z20" s="1814" t="str">
        <f>Q20</f>
        <v>自然及人文环境</v>
      </c>
      <c r="AA20" s="1811">
        <f t="shared" si="3"/>
        <v>1</v>
      </c>
      <c r="AB20" s="1811">
        <f t="shared" si="4"/>
        <v>1</v>
      </c>
      <c r="AC20" s="1811">
        <f t="shared" si="5"/>
        <v>1</v>
      </c>
    </row>
    <row r="21" spans="1:29" ht="15">
      <c r="A21" s="404"/>
      <c r="B21" s="631"/>
      <c r="C21" s="447"/>
      <c r="D21" s="448"/>
      <c r="E21" s="447"/>
      <c r="F21" s="449"/>
      <c r="G21" s="447"/>
      <c r="H21" s="448"/>
      <c r="I21" s="447"/>
      <c r="J21" s="448"/>
      <c r="K21" s="615"/>
      <c r="L21" s="1140"/>
      <c r="M21" s="1131"/>
      <c r="N21" s="1131"/>
      <c r="O21" s="1131"/>
      <c r="P21" s="3199"/>
      <c r="Q21" s="1810"/>
      <c r="R21" s="771"/>
      <c r="S21" s="772"/>
      <c r="T21" s="771"/>
      <c r="U21" s="772"/>
      <c r="V21" s="771"/>
      <c r="W21" s="772"/>
      <c r="X21" s="1813"/>
      <c r="Y21" s="3199"/>
      <c r="Z21" s="1814"/>
      <c r="AA21" s="1811">
        <v>1</v>
      </c>
      <c r="AB21" s="1811">
        <v>1</v>
      </c>
      <c r="AC21" s="1811">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9"/>
      <c r="Q22" s="1810" t="str">
        <f>B22</f>
        <v>楼层</v>
      </c>
      <c r="R22" s="771" t="s">
        <v>17</v>
      </c>
      <c r="S22" s="772">
        <f>F22</f>
        <v>100</v>
      </c>
      <c r="T22" s="771" t="s">
        <v>17</v>
      </c>
      <c r="U22" s="772">
        <f>H22</f>
        <v>100</v>
      </c>
      <c r="V22" s="771" t="s">
        <v>17</v>
      </c>
      <c r="W22" s="772">
        <f>J22</f>
        <v>100</v>
      </c>
      <c r="X22" s="1813"/>
      <c r="Y22" s="3199"/>
      <c r="Z22" s="1814" t="str">
        <f>Q22</f>
        <v>楼层</v>
      </c>
      <c r="AA22" s="1811">
        <f t="shared" si="3"/>
        <v>1</v>
      </c>
      <c r="AB22" s="1811">
        <f t="shared" si="4"/>
        <v>1</v>
      </c>
      <c r="AC22" s="1811">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9"/>
      <c r="Q23" s="1810">
        <f>B23</f>
        <v>111</v>
      </c>
      <c r="R23" s="771" t="s">
        <v>17</v>
      </c>
      <c r="S23" s="772">
        <f>F23</f>
        <v>100</v>
      </c>
      <c r="T23" s="771" t="s">
        <v>17</v>
      </c>
      <c r="U23" s="772">
        <f>H23</f>
        <v>100</v>
      </c>
      <c r="V23" s="771" t="s">
        <v>17</v>
      </c>
      <c r="W23" s="772">
        <f>J23</f>
        <v>100</v>
      </c>
      <c r="X23" s="1813"/>
      <c r="Y23" s="3199"/>
      <c r="Z23" s="1814">
        <f>Q23</f>
        <v>111</v>
      </c>
      <c r="AA23" s="1811">
        <f t="shared" si="3"/>
        <v>1</v>
      </c>
      <c r="AB23" s="1811">
        <f t="shared" si="4"/>
        <v>1</v>
      </c>
      <c r="AC23" s="1811">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9"/>
      <c r="Q24" s="1810">
        <f t="shared" ref="Q24:Q36" si="11">B24</f>
        <v>111</v>
      </c>
      <c r="R24" s="771" t="s">
        <v>17</v>
      </c>
      <c r="S24" s="772">
        <f>F24</f>
        <v>100</v>
      </c>
      <c r="T24" s="771" t="s">
        <v>17</v>
      </c>
      <c r="U24" s="772">
        <f>H24</f>
        <v>100</v>
      </c>
      <c r="V24" s="771" t="s">
        <v>17</v>
      </c>
      <c r="W24" s="772">
        <f>J24</f>
        <v>100</v>
      </c>
      <c r="X24" s="1813"/>
      <c r="Y24" s="3199"/>
      <c r="Z24" s="1814">
        <f>Q24</f>
        <v>111</v>
      </c>
      <c r="AA24" s="1811">
        <f t="shared" si="3"/>
        <v>1</v>
      </c>
      <c r="AB24" s="1811">
        <f t="shared" si="4"/>
        <v>1</v>
      </c>
      <c r="AC24" s="1811">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2"/>
      <c r="M25" s="1133"/>
      <c r="N25" s="1133"/>
      <c r="O25" s="1133"/>
      <c r="P25" s="3199"/>
      <c r="Q25" s="1795">
        <f t="shared" si="11"/>
        <v>111</v>
      </c>
      <c r="R25" s="767" t="s">
        <v>17</v>
      </c>
      <c r="S25" s="768">
        <f>F25</f>
        <v>100</v>
      </c>
      <c r="T25" s="767" t="s">
        <v>17</v>
      </c>
      <c r="U25" s="768">
        <f>H25</f>
        <v>100</v>
      </c>
      <c r="V25" s="767" t="s">
        <v>17</v>
      </c>
      <c r="W25" s="768">
        <f>J25</f>
        <v>100</v>
      </c>
      <c r="X25" s="769"/>
      <c r="Y25" s="3199"/>
      <c r="Z25" s="55">
        <f>Q25</f>
        <v>111</v>
      </c>
      <c r="AA25" s="1811">
        <f>D25/F25</f>
        <v>1</v>
      </c>
      <c r="AB25" s="1811">
        <f>D25/H25</f>
        <v>1</v>
      </c>
      <c r="AC25" s="1811">
        <f>D25/J25</f>
        <v>1</v>
      </c>
    </row>
    <row r="26" spans="1:29" ht="15">
      <c r="A26" s="651" t="s">
        <v>2562</v>
      </c>
      <c r="B26" s="70" t="s">
        <v>2710</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49" t="s">
        <v>2564</v>
      </c>
      <c r="Q26" s="1810" t="str">
        <f t="shared" si="11"/>
        <v>配套类型</v>
      </c>
      <c r="R26" s="771" t="s">
        <v>17</v>
      </c>
      <c r="S26" s="772">
        <f t="shared" ref="S26:S36" si="12">F26</f>
        <v>100</v>
      </c>
      <c r="T26" s="771" t="s">
        <v>17</v>
      </c>
      <c r="U26" s="772">
        <f t="shared" ref="U26:U36" si="13">H26</f>
        <v>100</v>
      </c>
      <c r="V26" s="771" t="s">
        <v>17</v>
      </c>
      <c r="W26" s="772">
        <f t="shared" ref="W26:W36" si="14">J26</f>
        <v>100</v>
      </c>
      <c r="X26" s="1813"/>
      <c r="Y26" s="3203" t="s">
        <v>2564</v>
      </c>
      <c r="Z26" s="1814" t="str">
        <f t="shared" ref="Z26:Z36" si="15">Q26</f>
        <v>配套类型</v>
      </c>
      <c r="AA26" s="1811">
        <f t="shared" si="3"/>
        <v>1</v>
      </c>
      <c r="AB26" s="1811">
        <f t="shared" si="4"/>
        <v>1</v>
      </c>
      <c r="AC26" s="1811">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38"/>
      <c r="M27" s="1141"/>
      <c r="N27" s="1141"/>
      <c r="O27" s="1141"/>
      <c r="P27" s="3203"/>
      <c r="Q27" s="773" t="str">
        <f t="shared" si="11"/>
        <v>项目停车位配比</v>
      </c>
      <c r="R27" s="774" t="s">
        <v>17</v>
      </c>
      <c r="S27" s="775">
        <f t="shared" si="12"/>
        <v>100</v>
      </c>
      <c r="T27" s="774" t="s">
        <v>17</v>
      </c>
      <c r="U27" s="775">
        <f t="shared" si="13"/>
        <v>100</v>
      </c>
      <c r="V27" s="774" t="s">
        <v>17</v>
      </c>
      <c r="W27" s="775">
        <f t="shared" si="14"/>
        <v>100</v>
      </c>
      <c r="X27" s="776"/>
      <c r="Y27" s="3203"/>
      <c r="Z27" s="777" t="str">
        <f t="shared" si="15"/>
        <v>项目停车位配比</v>
      </c>
      <c r="AA27" s="1811">
        <f t="shared" si="3"/>
        <v>1</v>
      </c>
      <c r="AB27" s="1811">
        <f t="shared" si="4"/>
        <v>1</v>
      </c>
      <c r="AC27" s="1811">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3"/>
      <c r="Q28" s="1810" t="str">
        <f t="shared" si="11"/>
        <v>公共部分装修</v>
      </c>
      <c r="R28" s="771" t="s">
        <v>17</v>
      </c>
      <c r="S28" s="772">
        <f t="shared" si="12"/>
        <v>100</v>
      </c>
      <c r="T28" s="771" t="s">
        <v>17</v>
      </c>
      <c r="U28" s="772">
        <f t="shared" si="13"/>
        <v>100</v>
      </c>
      <c r="V28" s="771" t="s">
        <v>17</v>
      </c>
      <c r="W28" s="772">
        <f t="shared" si="14"/>
        <v>100</v>
      </c>
      <c r="X28" s="1813"/>
      <c r="Y28" s="3203"/>
      <c r="Z28" s="1814" t="str">
        <f t="shared" si="15"/>
        <v>公共部分装修</v>
      </c>
      <c r="AA28" s="1811">
        <f t="shared" si="3"/>
        <v>1</v>
      </c>
      <c r="AB28" s="1811">
        <f t="shared" si="4"/>
        <v>1</v>
      </c>
      <c r="AC28" s="1811">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3"/>
      <c r="Q29" s="1810" t="str">
        <f t="shared" si="11"/>
        <v>成新率</v>
      </c>
      <c r="R29" s="771" t="s">
        <v>17</v>
      </c>
      <c r="S29" s="772" t="e">
        <f t="shared" si="12"/>
        <v>#N/A</v>
      </c>
      <c r="T29" s="771" t="s">
        <v>17</v>
      </c>
      <c r="U29" s="772" t="e">
        <f t="shared" si="13"/>
        <v>#N/A</v>
      </c>
      <c r="V29" s="771" t="s">
        <v>17</v>
      </c>
      <c r="W29" s="772" t="e">
        <f t="shared" si="14"/>
        <v>#N/A</v>
      </c>
      <c r="X29" s="1813"/>
      <c r="Y29" s="3203"/>
      <c r="Z29" s="1814" t="str">
        <f t="shared" si="15"/>
        <v>成新率</v>
      </c>
      <c r="AA29" s="1811" t="e">
        <f t="shared" si="3"/>
        <v>#N/A</v>
      </c>
      <c r="AB29" s="1811" t="e">
        <f t="shared" si="4"/>
        <v>#N/A</v>
      </c>
      <c r="AC29" s="1811"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0"/>
      <c r="M30" s="1131"/>
      <c r="N30" s="1131"/>
      <c r="O30" s="1131"/>
      <c r="P30" s="3203"/>
      <c r="Q30" s="1810" t="str">
        <f t="shared" si="11"/>
        <v>物业等级</v>
      </c>
      <c r="R30" s="771" t="s">
        <v>17</v>
      </c>
      <c r="S30" s="772">
        <f t="shared" si="12"/>
        <v>100</v>
      </c>
      <c r="T30" s="771" t="s">
        <v>17</v>
      </c>
      <c r="U30" s="772">
        <f t="shared" si="13"/>
        <v>100</v>
      </c>
      <c r="V30" s="771" t="s">
        <v>17</v>
      </c>
      <c r="W30" s="772">
        <f t="shared" si="14"/>
        <v>100</v>
      </c>
      <c r="X30" s="1813"/>
      <c r="Y30" s="3203"/>
      <c r="Z30" s="1814" t="str">
        <f t="shared" si="15"/>
        <v>物业等级</v>
      </c>
      <c r="AA30" s="1811">
        <f t="shared" si="3"/>
        <v>1</v>
      </c>
      <c r="AB30" s="1811">
        <f t="shared" si="4"/>
        <v>1</v>
      </c>
      <c r="AC30" s="1811">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3"/>
      <c r="Q31" s="1795" t="str">
        <f t="shared" si="11"/>
        <v>停车位面积</v>
      </c>
      <c r="R31" s="767" t="s">
        <v>17</v>
      </c>
      <c r="S31" s="768" t="e">
        <f t="shared" si="12"/>
        <v>#N/A</v>
      </c>
      <c r="T31" s="767" t="s">
        <v>17</v>
      </c>
      <c r="U31" s="768" t="e">
        <f t="shared" si="13"/>
        <v>#N/A</v>
      </c>
      <c r="V31" s="767" t="s">
        <v>17</v>
      </c>
      <c r="W31" s="768" t="e">
        <f t="shared" si="14"/>
        <v>#N/A</v>
      </c>
      <c r="X31" s="769"/>
      <c r="Y31" s="3203"/>
      <c r="Z31" s="55" t="str">
        <f t="shared" si="15"/>
        <v>停车位面积</v>
      </c>
      <c r="AA31" s="770" t="e">
        <f t="shared" si="3"/>
        <v>#N/A</v>
      </c>
      <c r="AB31" s="770" t="e">
        <f t="shared" si="4"/>
        <v>#N/A</v>
      </c>
      <c r="AC31" s="770"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3" t="s">
        <v>2564</v>
      </c>
      <c r="Q32" s="1810" t="str">
        <f t="shared" si="11"/>
        <v>车位类型</v>
      </c>
      <c r="R32" s="771" t="s">
        <v>17</v>
      </c>
      <c r="S32" s="772">
        <f t="shared" si="12"/>
        <v>100</v>
      </c>
      <c r="T32" s="771" t="s">
        <v>17</v>
      </c>
      <c r="U32" s="772">
        <f t="shared" si="13"/>
        <v>100</v>
      </c>
      <c r="V32" s="771" t="s">
        <v>17</v>
      </c>
      <c r="W32" s="772">
        <f t="shared" si="14"/>
        <v>100</v>
      </c>
      <c r="X32" s="1813"/>
      <c r="Y32" s="3203" t="s">
        <v>2564</v>
      </c>
      <c r="Z32" s="1814" t="str">
        <f t="shared" si="15"/>
        <v>车位类型</v>
      </c>
      <c r="AA32" s="1811">
        <f t="shared" si="3"/>
        <v>1</v>
      </c>
      <c r="AB32" s="1811">
        <f t="shared" si="4"/>
        <v>1</v>
      </c>
      <c r="AC32" s="1811">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3"/>
      <c r="Q33" s="1810" t="str">
        <f t="shared" si="11"/>
        <v>是否直接入户</v>
      </c>
      <c r="R33" s="771" t="s">
        <v>17</v>
      </c>
      <c r="S33" s="772">
        <f t="shared" si="12"/>
        <v>100</v>
      </c>
      <c r="T33" s="771" t="s">
        <v>17</v>
      </c>
      <c r="U33" s="772">
        <f t="shared" si="13"/>
        <v>100</v>
      </c>
      <c r="V33" s="771" t="s">
        <v>17</v>
      </c>
      <c r="W33" s="772">
        <f t="shared" si="14"/>
        <v>100</v>
      </c>
      <c r="X33" s="1813"/>
      <c r="Y33" s="3203"/>
      <c r="Z33" s="1814" t="str">
        <f t="shared" si="15"/>
        <v>是否直接入户</v>
      </c>
      <c r="AA33" s="1811">
        <f t="shared" si="3"/>
        <v>1</v>
      </c>
      <c r="AB33" s="1811">
        <f t="shared" si="4"/>
        <v>1</v>
      </c>
      <c r="AC33" s="1811">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3"/>
      <c r="Q34" s="1810">
        <f t="shared" si="11"/>
        <v>111</v>
      </c>
      <c r="R34" s="771" t="s">
        <v>17</v>
      </c>
      <c r="S34" s="772">
        <f t="shared" si="12"/>
        <v>100</v>
      </c>
      <c r="T34" s="771" t="s">
        <v>17</v>
      </c>
      <c r="U34" s="772">
        <f t="shared" si="13"/>
        <v>100</v>
      </c>
      <c r="V34" s="771" t="s">
        <v>17</v>
      </c>
      <c r="W34" s="772">
        <f t="shared" si="14"/>
        <v>100</v>
      </c>
      <c r="X34" s="1813"/>
      <c r="Y34" s="3203"/>
      <c r="Z34" s="1814">
        <f t="shared" si="15"/>
        <v>111</v>
      </c>
      <c r="AA34" s="1811">
        <f t="shared" si="3"/>
        <v>1</v>
      </c>
      <c r="AB34" s="1811">
        <f t="shared" si="4"/>
        <v>1</v>
      </c>
      <c r="AC34" s="1811">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3"/>
      <c r="Q35" s="773">
        <f t="shared" si="11"/>
        <v>111</v>
      </c>
      <c r="R35" s="774" t="s">
        <v>17</v>
      </c>
      <c r="S35" s="775">
        <f t="shared" si="12"/>
        <v>100</v>
      </c>
      <c r="T35" s="774" t="s">
        <v>17</v>
      </c>
      <c r="U35" s="775">
        <f t="shared" si="13"/>
        <v>100</v>
      </c>
      <c r="V35" s="774" t="s">
        <v>17</v>
      </c>
      <c r="W35" s="775">
        <f t="shared" si="14"/>
        <v>100</v>
      </c>
      <c r="X35" s="776"/>
      <c r="Y35" s="3203"/>
      <c r="Z35" s="777">
        <f t="shared" si="15"/>
        <v>111</v>
      </c>
      <c r="AA35" s="1811">
        <f t="shared" si="3"/>
        <v>1</v>
      </c>
      <c r="AB35" s="1811">
        <f t="shared" si="4"/>
        <v>1</v>
      </c>
      <c r="AC35" s="1811">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3"/>
      <c r="Q36" s="1810">
        <f t="shared" si="11"/>
        <v>111</v>
      </c>
      <c r="R36" s="771" t="s">
        <v>17</v>
      </c>
      <c r="S36" s="772">
        <f t="shared" si="12"/>
        <v>100</v>
      </c>
      <c r="T36" s="771" t="s">
        <v>17</v>
      </c>
      <c r="U36" s="772">
        <f t="shared" si="13"/>
        <v>100</v>
      </c>
      <c r="V36" s="771" t="s">
        <v>17</v>
      </c>
      <c r="W36" s="772">
        <f t="shared" si="14"/>
        <v>100</v>
      </c>
      <c r="X36" s="1813"/>
      <c r="Y36" s="3203"/>
      <c r="Z36" s="1814">
        <f t="shared" si="15"/>
        <v>111</v>
      </c>
      <c r="AA36" s="1811">
        <f t="shared" si="3"/>
        <v>1</v>
      </c>
      <c r="AB36" s="1811">
        <f t="shared" si="4"/>
        <v>1</v>
      </c>
      <c r="AC36" s="1811">
        <f t="shared" si="5"/>
        <v>1</v>
      </c>
    </row>
    <row r="37" spans="1:29" ht="15">
      <c r="A37" s="479" t="s">
        <v>2718</v>
      </c>
      <c r="B37" s="2694" t="s">
        <v>2719</v>
      </c>
      <c r="C37" s="1407" t="s">
        <v>1</v>
      </c>
      <c r="D37" s="1408"/>
      <c r="E37" s="1409"/>
      <c r="F37" s="1410"/>
      <c r="G37" s="1411"/>
      <c r="H37" s="1412"/>
      <c r="I37" s="1409"/>
      <c r="J37" s="1412"/>
      <c r="K37" s="618"/>
      <c r="L37" s="1143"/>
      <c r="M37" s="1144"/>
      <c r="N37" s="1131"/>
      <c r="O37" s="1144"/>
      <c r="P37" s="3205" t="str">
        <f>A37</f>
        <v>成交单价</v>
      </c>
      <c r="Q37" s="3205"/>
      <c r="R37" s="3206">
        <f>E37</f>
        <v>0</v>
      </c>
      <c r="S37" s="3206"/>
      <c r="T37" s="3206">
        <f>G37</f>
        <v>0</v>
      </c>
      <c r="U37" s="3206"/>
      <c r="V37" s="3206">
        <f>I37</f>
        <v>0</v>
      </c>
      <c r="W37" s="3206"/>
      <c r="X37" s="756"/>
      <c r="Y37" s="778"/>
      <c r="Z37" s="756"/>
      <c r="AA37" s="756"/>
      <c r="AB37" s="756"/>
      <c r="AC37" s="756"/>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19"/>
      <c r="L38" s="1143"/>
      <c r="M38" s="1144"/>
      <c r="N38" s="1144"/>
      <c r="O38" s="1144"/>
      <c r="P38" s="3205" t="str">
        <f>A38</f>
        <v>比较价值（元/平方米）</v>
      </c>
      <c r="Q38" s="3205"/>
      <c r="R38" s="3206" t="e">
        <f>IF(F1="售价",ROUND(PRODUCT(R37,AA7:AA36),0),ROUND(PRODUCT(R37,AA7:AA36),1))</f>
        <v>#DIV/0!</v>
      </c>
      <c r="S38" s="3206"/>
      <c r="T38" s="3206" t="e">
        <f>IF(F1="售价",ROUND(PRODUCT(T37,AB7:AB36),0),ROUND(PRODUCT(T37,AB7:AB36),1))</f>
        <v>#DIV/0!</v>
      </c>
      <c r="U38" s="3206"/>
      <c r="V38" s="3206" t="e">
        <f>IF(F1="售价",ROUND(PRODUCT(V37,AC7:AC36),0),ROUND(PRODUCT(V37,AC7:AC36),1))</f>
        <v>#DIV/0!</v>
      </c>
      <c r="W38" s="3206"/>
      <c r="X38" s="756"/>
      <c r="Y38" s="756"/>
      <c r="Z38" s="756"/>
      <c r="AA38" s="756"/>
      <c r="AB38" s="756"/>
      <c r="AC38" s="756"/>
    </row>
    <row r="39" spans="1:29" ht="15.75" thickBot="1">
      <c r="A39" s="492" t="s">
        <v>2721</v>
      </c>
      <c r="B39" s="493"/>
      <c r="C39" s="1417" t="e">
        <f>R39</f>
        <v>#DIV/0!</v>
      </c>
      <c r="D39" s="1417"/>
      <c r="E39" s="1417"/>
      <c r="F39" s="1417"/>
      <c r="G39" s="1417"/>
      <c r="H39" s="1417"/>
      <c r="I39" s="1417"/>
      <c r="J39" s="1417"/>
      <c r="K39" s="620"/>
      <c r="L39" s="1143"/>
      <c r="M39" s="1144"/>
      <c r="N39" s="1144"/>
      <c r="O39" s="1144"/>
      <c r="P39" s="3207" t="str">
        <f>A39</f>
        <v>估价对象XX用房的比较价值（楼面单价，元/平方米）</v>
      </c>
      <c r="Q39" s="3208"/>
      <c r="R39" s="3209" t="e">
        <f>IF(F1="售价",ROUND(AVERAGE(R38:V38),0),ROUND(AVERAGE(R38:V38),1))</f>
        <v>#DIV/0!</v>
      </c>
      <c r="S39" s="3209"/>
      <c r="T39" s="3209"/>
      <c r="U39" s="3209"/>
      <c r="V39" s="3209"/>
      <c r="W39" s="3209"/>
      <c r="X39" s="756"/>
      <c r="Y39" s="756"/>
      <c r="Z39" s="756"/>
      <c r="AA39" s="756"/>
      <c r="AB39" s="756"/>
      <c r="AC39" s="756"/>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8">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59">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59" t="s">
        <v>2673</v>
      </c>
      <c r="D67" s="659" t="s">
        <v>2674</v>
      </c>
      <c r="E67" s="659" t="s">
        <v>2675</v>
      </c>
      <c r="F67" s="659" t="s">
        <v>2676</v>
      </c>
      <c r="G67" s="659"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0"/>
      <c r="D81" s="660"/>
      <c r="E81" s="660"/>
      <c r="F81" s="660"/>
      <c r="G81" s="660"/>
      <c r="H81" s="660"/>
      <c r="I81" s="660"/>
      <c r="J81" s="660"/>
      <c r="K81" s="661"/>
      <c r="L81" s="662"/>
      <c r="M81" s="663"/>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2"/>
      <c r="J86" s="622"/>
      <c r="K86" s="623"/>
      <c r="L86" s="624"/>
      <c r="M86" s="625"/>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5">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2529</v>
      </c>
      <c r="D1" s="1621"/>
      <c r="E1" s="1630"/>
      <c r="F1" s="2583"/>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5"/>
      <c r="D2" s="1124" t="e">
        <f ca="1">SUMIF(INDIRECT("'"&amp;F2&amp;"'"&amp;"!A:A"),"承租人权益价值",INDIRECT("'"&amp;F2&amp;"'"&amp;"!c:c"))</f>
        <v>#REF!</v>
      </c>
      <c r="E2" s="2586" t="s">
        <v>2327</v>
      </c>
      <c r="F2" s="2587"/>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83" t="s">
        <v>2645</v>
      </c>
      <c r="D4" s="3184"/>
      <c r="E4" s="3185" t="s">
        <v>2646</v>
      </c>
      <c r="F4" s="3186"/>
      <c r="G4" s="3183" t="s">
        <v>2647</v>
      </c>
      <c r="H4" s="3184"/>
      <c r="I4" s="3183" t="s">
        <v>2648</v>
      </c>
      <c r="J4" s="3184"/>
      <c r="K4" s="610" t="s">
        <v>2649</v>
      </c>
      <c r="L4" s="1130"/>
      <c r="M4" s="1131"/>
      <c r="N4" s="1131"/>
      <c r="O4" s="1131"/>
      <c r="P4" s="3187" t="s">
        <v>2650</v>
      </c>
      <c r="Q4" s="3188"/>
      <c r="R4" s="3168" t="s">
        <v>2646</v>
      </c>
      <c r="S4" s="3169"/>
      <c r="T4" s="3168" t="s">
        <v>2647</v>
      </c>
      <c r="U4" s="3169"/>
      <c r="V4" s="3165" t="s">
        <v>2648</v>
      </c>
      <c r="W4" s="3165"/>
      <c r="X4" s="1813"/>
      <c r="Y4" s="3168" t="s">
        <v>2650</v>
      </c>
      <c r="Z4" s="3169"/>
      <c r="AA4" s="3162" t="s">
        <v>2646</v>
      </c>
      <c r="AB4" s="3163" t="s">
        <v>2647</v>
      </c>
      <c r="AC4" s="3162" t="s">
        <v>2648</v>
      </c>
    </row>
    <row r="5" spans="1:29" ht="15">
      <c r="A5" s="404"/>
      <c r="B5" s="405"/>
      <c r="C5" s="3174" t="s">
        <v>2541</v>
      </c>
      <c r="D5" s="3175"/>
      <c r="E5" s="3232" t="s">
        <v>2542</v>
      </c>
      <c r="F5" s="3173"/>
      <c r="G5" s="3174" t="s">
        <v>2543</v>
      </c>
      <c r="H5" s="3175"/>
      <c r="I5" s="3174" t="s">
        <v>2544</v>
      </c>
      <c r="J5" s="3175"/>
      <c r="K5" s="610"/>
      <c r="L5" s="1130"/>
      <c r="M5" s="1131"/>
      <c r="N5" s="1131"/>
      <c r="O5" s="1131"/>
      <c r="P5" s="3189"/>
      <c r="Q5" s="3190"/>
      <c r="R5" s="3170"/>
      <c r="S5" s="3171"/>
      <c r="T5" s="3170"/>
      <c r="U5" s="3171"/>
      <c r="V5" s="3165"/>
      <c r="W5" s="3165"/>
      <c r="X5" s="1813"/>
      <c r="Y5" s="3170"/>
      <c r="Z5" s="3171"/>
      <c r="AA5" s="3163"/>
      <c r="AB5" s="3163"/>
      <c r="AC5" s="3163"/>
    </row>
    <row r="6" spans="1:29" ht="15.75" thickBot="1">
      <c r="A6" s="406"/>
      <c r="B6" s="407"/>
      <c r="C6" s="3176" t="s">
        <v>2545</v>
      </c>
      <c r="D6" s="3177"/>
      <c r="E6" s="3233" t="s">
        <v>2545</v>
      </c>
      <c r="F6" s="3180"/>
      <c r="G6" s="3176" t="s">
        <v>2545</v>
      </c>
      <c r="H6" s="3177"/>
      <c r="I6" s="3176" t="s">
        <v>2545</v>
      </c>
      <c r="J6" s="3177"/>
      <c r="K6" s="610" t="s">
        <v>2546</v>
      </c>
      <c r="L6" s="1130"/>
      <c r="M6" s="1131"/>
      <c r="N6" s="1131"/>
      <c r="O6" s="1131"/>
      <c r="P6" s="3191"/>
      <c r="Q6" s="3192"/>
      <c r="R6" s="3170"/>
      <c r="S6" s="3171"/>
      <c r="T6" s="3193"/>
      <c r="U6" s="3194"/>
      <c r="V6" s="3165"/>
      <c r="W6" s="3165"/>
      <c r="X6" s="1813"/>
      <c r="Y6" s="3193"/>
      <c r="Z6" s="3194"/>
      <c r="AA6" s="3164"/>
      <c r="AB6" s="3164"/>
      <c r="AC6" s="3164"/>
    </row>
    <row r="7" spans="1:29" s="117" customFormat="1" ht="15.75" thickBot="1">
      <c r="A7" s="408" t="s">
        <v>2547</v>
      </c>
      <c r="B7" s="409"/>
      <c r="C7" s="410">
        <f>'数据-取费表'!B2</f>
        <v>43262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66" t="s">
        <v>2548</v>
      </c>
      <c r="Q7" s="3195"/>
      <c r="R7" s="767" t="s">
        <v>17</v>
      </c>
      <c r="S7" s="768">
        <f t="shared" ref="S7:S14" si="0">F7</f>
        <v>0</v>
      </c>
      <c r="T7" s="767" t="s">
        <v>17</v>
      </c>
      <c r="U7" s="768">
        <f t="shared" ref="U7:U14" si="1">H7</f>
        <v>0</v>
      </c>
      <c r="V7" s="767" t="s">
        <v>17</v>
      </c>
      <c r="W7" s="768">
        <f t="shared" ref="W7:W14" si="2">J7</f>
        <v>0</v>
      </c>
      <c r="X7" s="769"/>
      <c r="Y7" s="3166" t="s">
        <v>2548</v>
      </c>
      <c r="Z7" s="3167"/>
      <c r="AA7" s="770" t="e">
        <f>D7/F7</f>
        <v>#DIV/0!</v>
      </c>
      <c r="AB7" s="770" t="e">
        <f>D7/H7</f>
        <v>#DIV/0!</v>
      </c>
      <c r="AC7" s="770"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66" t="s">
        <v>2551</v>
      </c>
      <c r="Q8" s="3167"/>
      <c r="R8" s="767" t="s">
        <v>17</v>
      </c>
      <c r="S8" s="768">
        <f t="shared" si="0"/>
        <v>0</v>
      </c>
      <c r="T8" s="767" t="s">
        <v>17</v>
      </c>
      <c r="U8" s="768">
        <f t="shared" si="1"/>
        <v>0</v>
      </c>
      <c r="V8" s="767" t="s">
        <v>17</v>
      </c>
      <c r="W8" s="768">
        <f t="shared" si="2"/>
        <v>0</v>
      </c>
      <c r="X8" s="769"/>
      <c r="Y8" s="3166" t="s">
        <v>2551</v>
      </c>
      <c r="Z8" s="3167"/>
      <c r="AA8" s="770" t="e">
        <f t="shared" ref="AA8:AA34" si="3">D8/F8</f>
        <v>#DIV/0!</v>
      </c>
      <c r="AB8" s="770" t="e">
        <f t="shared" ref="AB8:AB34" si="4">D8/H8</f>
        <v>#DIV/0!</v>
      </c>
      <c r="AC8" s="770"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5" t="s">
        <v>2554</v>
      </c>
      <c r="Q9" s="1795" t="str">
        <f t="shared" ref="Q9:Q14" si="6">B9</f>
        <v>用途</v>
      </c>
      <c r="R9" s="767" t="s">
        <v>17</v>
      </c>
      <c r="S9" s="768">
        <f t="shared" si="0"/>
        <v>100</v>
      </c>
      <c r="T9" s="767" t="s">
        <v>17</v>
      </c>
      <c r="U9" s="768">
        <f t="shared" si="1"/>
        <v>100</v>
      </c>
      <c r="V9" s="767" t="s">
        <v>17</v>
      </c>
      <c r="W9" s="768">
        <f t="shared" si="2"/>
        <v>100</v>
      </c>
      <c r="X9" s="769"/>
      <c r="Y9" s="3034" t="s">
        <v>2555</v>
      </c>
      <c r="Z9" s="55" t="str">
        <f t="shared" ref="Z9:Z14" si="7">Q9</f>
        <v>用途</v>
      </c>
      <c r="AA9" s="770">
        <f t="shared" si="3"/>
        <v>1</v>
      </c>
      <c r="AB9" s="770">
        <f t="shared" si="4"/>
        <v>1</v>
      </c>
      <c r="AC9" s="770">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5"/>
      <c r="Q10" s="1795" t="str">
        <f t="shared" si="6"/>
        <v>土地使用年限（年）</v>
      </c>
      <c r="R10" s="767" t="s">
        <v>17</v>
      </c>
      <c r="S10" s="768">
        <f t="shared" si="0"/>
        <v>100</v>
      </c>
      <c r="T10" s="767" t="s">
        <v>17</v>
      </c>
      <c r="U10" s="768">
        <f t="shared" si="1"/>
        <v>100</v>
      </c>
      <c r="V10" s="767" t="s">
        <v>17</v>
      </c>
      <c r="W10" s="768">
        <f t="shared" si="2"/>
        <v>100</v>
      </c>
      <c r="X10" s="769"/>
      <c r="Y10" s="3034"/>
      <c r="Z10" s="55" t="str">
        <f t="shared" si="7"/>
        <v>土地使用年限（年）</v>
      </c>
      <c r="AA10" s="770">
        <f t="shared" si="3"/>
        <v>1</v>
      </c>
      <c r="AB10" s="770">
        <f t="shared" si="4"/>
        <v>1</v>
      </c>
      <c r="AC10" s="770">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5"/>
      <c r="Q11" s="1795">
        <f t="shared" si="6"/>
        <v>111</v>
      </c>
      <c r="R11" s="767" t="s">
        <v>17</v>
      </c>
      <c r="S11" s="768">
        <f t="shared" si="0"/>
        <v>100</v>
      </c>
      <c r="T11" s="767" t="s">
        <v>17</v>
      </c>
      <c r="U11" s="768">
        <f t="shared" si="1"/>
        <v>100</v>
      </c>
      <c r="V11" s="767" t="s">
        <v>17</v>
      </c>
      <c r="W11" s="768">
        <f t="shared" si="2"/>
        <v>100</v>
      </c>
      <c r="X11" s="769"/>
      <c r="Y11" s="3034"/>
      <c r="Z11" s="55">
        <f t="shared" si="7"/>
        <v>111</v>
      </c>
      <c r="AA11" s="770">
        <f t="shared" si="3"/>
        <v>1</v>
      </c>
      <c r="AB11" s="770">
        <f t="shared" si="4"/>
        <v>1</v>
      </c>
      <c r="AC11" s="770">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5"/>
      <c r="Q12" s="1795">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05"/>
      <c r="Q13" s="1795">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85.5">
      <c r="A14" s="440" t="s">
        <v>2558</v>
      </c>
      <c r="B14" s="69" t="s">
        <v>2707</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8" t="s">
        <v>2559</v>
      </c>
      <c r="Q14" s="1810" t="str">
        <f t="shared" si="6"/>
        <v>交通便捷度</v>
      </c>
      <c r="R14" s="771" t="s">
        <v>17</v>
      </c>
      <c r="S14" s="772">
        <f t="shared" si="0"/>
        <v>100</v>
      </c>
      <c r="T14" s="771" t="s">
        <v>17</v>
      </c>
      <c r="U14" s="772">
        <f t="shared" si="1"/>
        <v>100</v>
      </c>
      <c r="V14" s="771" t="s">
        <v>17</v>
      </c>
      <c r="W14" s="772">
        <f t="shared" si="2"/>
        <v>100</v>
      </c>
      <c r="X14" s="1813"/>
      <c r="Y14" s="3198"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99"/>
      <c r="Q15" s="1810"/>
      <c r="R15" s="771"/>
      <c r="S15" s="772"/>
      <c r="T15" s="771"/>
      <c r="U15" s="772"/>
      <c r="V15" s="771"/>
      <c r="W15" s="772"/>
      <c r="X15" s="1813"/>
      <c r="Y15" s="3199"/>
      <c r="Z15" s="1814"/>
      <c r="AA15" s="1811">
        <v>1</v>
      </c>
      <c r="AB15" s="1811">
        <v>1</v>
      </c>
      <c r="AC15" s="1811">
        <v>1</v>
      </c>
    </row>
    <row r="16" spans="1:29" ht="42.75">
      <c r="A16" s="428"/>
      <c r="B16" s="451" t="s">
        <v>2686</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9"/>
      <c r="Q16" s="1810" t="str">
        <f>B16</f>
        <v>公共配套设施</v>
      </c>
      <c r="R16" s="771" t="s">
        <v>17</v>
      </c>
      <c r="S16" s="772">
        <f>F16</f>
        <v>100</v>
      </c>
      <c r="T16" s="771" t="s">
        <v>17</v>
      </c>
      <c r="U16" s="772">
        <f>H16</f>
        <v>100</v>
      </c>
      <c r="V16" s="771" t="s">
        <v>17</v>
      </c>
      <c r="W16" s="772">
        <f>J16</f>
        <v>100</v>
      </c>
      <c r="X16" s="1813"/>
      <c r="Y16" s="3199"/>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199"/>
      <c r="Q17" s="1810"/>
      <c r="R17" s="771"/>
      <c r="S17" s="772"/>
      <c r="T17" s="771"/>
      <c r="U17" s="772"/>
      <c r="V17" s="771"/>
      <c r="W17" s="772"/>
      <c r="X17" s="1813"/>
      <c r="Y17" s="3199"/>
      <c r="Z17" s="1814"/>
      <c r="AA17" s="1811">
        <v>1</v>
      </c>
      <c r="AB17" s="1811">
        <v>1</v>
      </c>
      <c r="AC17" s="1811">
        <v>1</v>
      </c>
    </row>
    <row r="18" spans="1:29" ht="28.5">
      <c r="A18" s="428"/>
      <c r="B18" s="1384" t="s">
        <v>2687</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9"/>
      <c r="Q18" s="1810" t="str">
        <f>B18</f>
        <v>基础设施水平</v>
      </c>
      <c r="R18" s="771" t="s">
        <v>17</v>
      </c>
      <c r="S18" s="772">
        <f>F18</f>
        <v>100</v>
      </c>
      <c r="T18" s="771" t="s">
        <v>17</v>
      </c>
      <c r="U18" s="772">
        <f>H18</f>
        <v>100</v>
      </c>
      <c r="V18" s="771" t="s">
        <v>17</v>
      </c>
      <c r="W18" s="772">
        <f>J18</f>
        <v>100</v>
      </c>
      <c r="X18" s="1813"/>
      <c r="Y18" s="3199"/>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199"/>
      <c r="Q19" s="1810"/>
      <c r="R19" s="771"/>
      <c r="S19" s="772"/>
      <c r="T19" s="771"/>
      <c r="U19" s="772"/>
      <c r="V19" s="771"/>
      <c r="W19" s="772"/>
      <c r="X19" s="1813"/>
      <c r="Y19" s="3199"/>
      <c r="Z19" s="1814"/>
      <c r="AA19" s="1811">
        <v>1</v>
      </c>
      <c r="AB19" s="1811">
        <v>1</v>
      </c>
      <c r="AC19" s="1811">
        <v>1</v>
      </c>
    </row>
    <row r="20" spans="1:29" ht="57">
      <c r="A20" s="428"/>
      <c r="B20" s="451" t="s">
        <v>2708</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9"/>
      <c r="Q20" s="1810" t="str">
        <f>B20</f>
        <v>自然及人文环境</v>
      </c>
      <c r="R20" s="771" t="s">
        <v>17</v>
      </c>
      <c r="S20" s="772">
        <f>F20</f>
        <v>100</v>
      </c>
      <c r="T20" s="771" t="s">
        <v>17</v>
      </c>
      <c r="U20" s="772">
        <f>H20</f>
        <v>100</v>
      </c>
      <c r="V20" s="771" t="s">
        <v>17</v>
      </c>
      <c r="W20" s="772">
        <f>J20</f>
        <v>100</v>
      </c>
      <c r="X20" s="1813"/>
      <c r="Y20" s="319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99"/>
      <c r="Q21" s="1810"/>
      <c r="R21" s="771"/>
      <c r="S21" s="772"/>
      <c r="T21" s="771"/>
      <c r="U21" s="772"/>
      <c r="V21" s="771"/>
      <c r="W21" s="772"/>
      <c r="X21" s="1813"/>
      <c r="Y21" s="3199"/>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9"/>
      <c r="Q22" s="1810" t="str">
        <f>B22</f>
        <v>楼层</v>
      </c>
      <c r="R22" s="771" t="s">
        <v>17</v>
      </c>
      <c r="S22" s="772">
        <f>F22</f>
        <v>100</v>
      </c>
      <c r="T22" s="771" t="s">
        <v>17</v>
      </c>
      <c r="U22" s="772">
        <f>H22</f>
        <v>100</v>
      </c>
      <c r="V22" s="771" t="s">
        <v>17</v>
      </c>
      <c r="W22" s="772">
        <f>J22</f>
        <v>100</v>
      </c>
      <c r="X22" s="1813"/>
      <c r="Y22" s="3199"/>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9"/>
      <c r="Q23" s="1810">
        <f>B23</f>
        <v>111</v>
      </c>
      <c r="R23" s="771" t="s">
        <v>17</v>
      </c>
      <c r="S23" s="772">
        <f>F23</f>
        <v>100</v>
      </c>
      <c r="T23" s="771" t="s">
        <v>17</v>
      </c>
      <c r="U23" s="772">
        <f>H23</f>
        <v>100</v>
      </c>
      <c r="V23" s="771" t="s">
        <v>17</v>
      </c>
      <c r="W23" s="772">
        <f>J23</f>
        <v>100</v>
      </c>
      <c r="X23" s="1813"/>
      <c r="Y23" s="3199"/>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9"/>
      <c r="Q24" s="1810">
        <f t="shared" ref="Q24:Q34" si="11">B24</f>
        <v>111</v>
      </c>
      <c r="R24" s="771" t="s">
        <v>17</v>
      </c>
      <c r="S24" s="772">
        <f>F24</f>
        <v>100</v>
      </c>
      <c r="T24" s="771" t="s">
        <v>17</v>
      </c>
      <c r="U24" s="772">
        <f>H24</f>
        <v>100</v>
      </c>
      <c r="V24" s="771" t="s">
        <v>17</v>
      </c>
      <c r="W24" s="772">
        <f>J24</f>
        <v>100</v>
      </c>
      <c r="X24" s="1813"/>
      <c r="Y24" s="3199"/>
      <c r="Z24" s="1814">
        <f>Q24</f>
        <v>111</v>
      </c>
      <c r="AA24" s="1811">
        <f t="shared" si="3"/>
        <v>1</v>
      </c>
      <c r="AB24" s="1811">
        <f t="shared" si="4"/>
        <v>1</v>
      </c>
      <c r="AC24" s="1811">
        <f t="shared" si="5"/>
        <v>1</v>
      </c>
    </row>
    <row r="25" spans="1:29" s="117" customFormat="1" ht="15.75" thickBot="1">
      <c r="A25" s="431"/>
      <c r="B25" s="2599">
        <v>111</v>
      </c>
      <c r="C25" s="2697"/>
      <c r="D25" s="664">
        <v>100</v>
      </c>
      <c r="E25" s="2697"/>
      <c r="F25" s="665">
        <f>SUMIF(75:75,E25,76:76)-SUMIF(75:75,C25,76:76)+100</f>
        <v>100</v>
      </c>
      <c r="G25" s="2697"/>
      <c r="H25" s="664">
        <f>SUMIF(75:75,G25,76:76)-SUMIF(75:75,C25,76:76)+100</f>
        <v>100</v>
      </c>
      <c r="I25" s="2697"/>
      <c r="J25" s="664">
        <f>SUMIF(75:75,I25,76:76)-SUMIF(75:75,C25,76:76)+100</f>
        <v>100</v>
      </c>
      <c r="K25" s="613"/>
      <c r="L25" s="1132"/>
      <c r="M25" s="1133"/>
      <c r="N25" s="1133"/>
      <c r="O25" s="1134"/>
      <c r="P25" s="3199"/>
      <c r="Q25" s="1795">
        <f t="shared" si="11"/>
        <v>111</v>
      </c>
      <c r="R25" s="767" t="s">
        <v>17</v>
      </c>
      <c r="S25" s="768">
        <f>F25</f>
        <v>100</v>
      </c>
      <c r="T25" s="767" t="s">
        <v>17</v>
      </c>
      <c r="U25" s="768">
        <f>H25</f>
        <v>100</v>
      </c>
      <c r="V25" s="767" t="s">
        <v>17</v>
      </c>
      <c r="W25" s="768">
        <f>J25</f>
        <v>100</v>
      </c>
      <c r="X25" s="769"/>
      <c r="Y25" s="3199"/>
      <c r="Z25" s="55">
        <f>Q25</f>
        <v>111</v>
      </c>
      <c r="AA25" s="1811">
        <f>D25/F25</f>
        <v>1</v>
      </c>
      <c r="AB25" s="1811">
        <f>D25/H25</f>
        <v>1</v>
      </c>
      <c r="AC25" s="1811">
        <f>D25/J25</f>
        <v>1</v>
      </c>
    </row>
    <row r="26" spans="1:29" ht="15">
      <c r="A26" s="466" t="s">
        <v>2562</v>
      </c>
      <c r="B26" s="71" t="s">
        <v>2712</v>
      </c>
      <c r="C26" s="2678"/>
      <c r="D26" s="467">
        <v>100</v>
      </c>
      <c r="E26" s="2678"/>
      <c r="F26" s="666">
        <f>SUMIF(77:77,E26,78:78)-SUMIF(77:77,C26,78:78)+100</f>
        <v>100</v>
      </c>
      <c r="G26" s="2678"/>
      <c r="H26" s="467">
        <f>SUMIF(77:77,G26,78:78)-SUMIF(77:77,C26,78:78)+100</f>
        <v>100</v>
      </c>
      <c r="I26" s="2678"/>
      <c r="J26" s="467">
        <f>SUMIF(77:77,I26,78:78)-SUMIF(77:77,C26,78:78)+100</f>
        <v>100</v>
      </c>
      <c r="K26" s="612"/>
      <c r="L26" s="1140"/>
      <c r="M26" s="1131"/>
      <c r="N26" s="1131"/>
      <c r="O26" s="1139"/>
      <c r="P26" s="3249" t="s">
        <v>2564</v>
      </c>
      <c r="Q26" s="1810" t="str">
        <f t="shared" si="11"/>
        <v>公共部分装修</v>
      </c>
      <c r="R26" s="771" t="s">
        <v>17</v>
      </c>
      <c r="S26" s="772">
        <f t="shared" ref="S26:S34" si="12">F26</f>
        <v>100</v>
      </c>
      <c r="T26" s="771" t="s">
        <v>17</v>
      </c>
      <c r="U26" s="772">
        <f t="shared" ref="U26:U34" si="13">H26</f>
        <v>100</v>
      </c>
      <c r="V26" s="771" t="s">
        <v>17</v>
      </c>
      <c r="W26" s="772">
        <f t="shared" ref="W26:W34" si="14">J26</f>
        <v>100</v>
      </c>
      <c r="X26" s="1813"/>
      <c r="Y26" s="3203" t="s">
        <v>2564</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3"/>
      <c r="Q27" s="773" t="str">
        <f t="shared" si="11"/>
        <v>成新率</v>
      </c>
      <c r="R27" s="774" t="s">
        <v>17</v>
      </c>
      <c r="S27" s="775" t="e">
        <f t="shared" si="12"/>
        <v>#N/A</v>
      </c>
      <c r="T27" s="774" t="s">
        <v>17</v>
      </c>
      <c r="U27" s="775" t="e">
        <f t="shared" si="13"/>
        <v>#N/A</v>
      </c>
      <c r="V27" s="774" t="s">
        <v>17</v>
      </c>
      <c r="W27" s="775" t="e">
        <f t="shared" si="14"/>
        <v>#N/A</v>
      </c>
      <c r="X27" s="776"/>
      <c r="Y27" s="3203"/>
      <c r="Z27" s="777"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3"/>
      <c r="Q28" s="1810" t="str">
        <f t="shared" si="11"/>
        <v>物业等级</v>
      </c>
      <c r="R28" s="771" t="s">
        <v>17</v>
      </c>
      <c r="S28" s="772">
        <f t="shared" si="12"/>
        <v>100</v>
      </c>
      <c r="T28" s="771" t="s">
        <v>17</v>
      </c>
      <c r="U28" s="772">
        <f t="shared" si="13"/>
        <v>100</v>
      </c>
      <c r="V28" s="771" t="s">
        <v>17</v>
      </c>
      <c r="W28" s="772">
        <f t="shared" si="14"/>
        <v>100</v>
      </c>
      <c r="X28" s="1813"/>
      <c r="Y28" s="3203"/>
      <c r="Z28" s="1814" t="str">
        <f t="shared" si="15"/>
        <v>物业等级</v>
      </c>
      <c r="AA28" s="1811">
        <f t="shared" si="3"/>
        <v>1</v>
      </c>
      <c r="AB28" s="1811">
        <f t="shared" si="4"/>
        <v>1</v>
      </c>
      <c r="AC28" s="1811">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0"/>
      <c r="M29" s="1131"/>
      <c r="N29" s="1131"/>
      <c r="O29" s="1139"/>
      <c r="P29" s="3203"/>
      <c r="Q29" s="1810" t="str">
        <f t="shared" si="11"/>
        <v>有无电梯</v>
      </c>
      <c r="R29" s="771" t="s">
        <v>17</v>
      </c>
      <c r="S29" s="772">
        <f t="shared" si="12"/>
        <v>100</v>
      </c>
      <c r="T29" s="771" t="s">
        <v>17</v>
      </c>
      <c r="U29" s="772">
        <f t="shared" si="13"/>
        <v>100</v>
      </c>
      <c r="V29" s="771" t="s">
        <v>17</v>
      </c>
      <c r="W29" s="772">
        <f t="shared" si="14"/>
        <v>100</v>
      </c>
      <c r="X29" s="1813"/>
      <c r="Y29" s="3203"/>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3"/>
      <c r="Q30" s="1810" t="str">
        <f t="shared" si="11"/>
        <v>建筑面积</v>
      </c>
      <c r="R30" s="771" t="s">
        <v>17</v>
      </c>
      <c r="S30" s="772" t="e">
        <f t="shared" si="12"/>
        <v>#N/A</v>
      </c>
      <c r="T30" s="771" t="s">
        <v>17</v>
      </c>
      <c r="U30" s="772" t="e">
        <f t="shared" si="13"/>
        <v>#N/A</v>
      </c>
      <c r="V30" s="771" t="s">
        <v>17</v>
      </c>
      <c r="W30" s="772" t="e">
        <f t="shared" si="14"/>
        <v>#N/A</v>
      </c>
      <c r="X30" s="1813"/>
      <c r="Y30" s="3203"/>
      <c r="Z30" s="1814" t="str">
        <f t="shared" si="15"/>
        <v>建筑面积</v>
      </c>
      <c r="AA30" s="1811" t="e">
        <f t="shared" si="3"/>
        <v>#N/A</v>
      </c>
      <c r="AB30" s="1811" t="e">
        <f t="shared" si="4"/>
        <v>#N/A</v>
      </c>
      <c r="AC30" s="1811"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2"/>
      <c r="M31" s="1133"/>
      <c r="N31" s="1133"/>
      <c r="O31" s="1134"/>
      <c r="P31" s="3203"/>
      <c r="Q31" s="1795" t="str">
        <f t="shared" si="11"/>
        <v>是否封闭</v>
      </c>
      <c r="R31" s="767" t="s">
        <v>17</v>
      </c>
      <c r="S31" s="768">
        <f t="shared" si="12"/>
        <v>100</v>
      </c>
      <c r="T31" s="767" t="s">
        <v>17</v>
      </c>
      <c r="U31" s="768">
        <f t="shared" si="13"/>
        <v>100</v>
      </c>
      <c r="V31" s="767" t="s">
        <v>17</v>
      </c>
      <c r="W31" s="768">
        <f t="shared" si="14"/>
        <v>100</v>
      </c>
      <c r="X31" s="769"/>
      <c r="Y31" s="3203"/>
      <c r="Z31" s="55" t="str">
        <f t="shared" si="15"/>
        <v>是否封闭</v>
      </c>
      <c r="AA31" s="770">
        <f t="shared" si="3"/>
        <v>1</v>
      </c>
      <c r="AB31" s="770">
        <f t="shared" si="4"/>
        <v>1</v>
      </c>
      <c r="AC31" s="770">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3" t="s">
        <v>2564</v>
      </c>
      <c r="Q32" s="1810">
        <f t="shared" si="11"/>
        <v>111</v>
      </c>
      <c r="R32" s="771" t="s">
        <v>17</v>
      </c>
      <c r="S32" s="772">
        <f t="shared" si="12"/>
        <v>100</v>
      </c>
      <c r="T32" s="771" t="s">
        <v>17</v>
      </c>
      <c r="U32" s="772">
        <f t="shared" si="13"/>
        <v>100</v>
      </c>
      <c r="V32" s="771" t="s">
        <v>17</v>
      </c>
      <c r="W32" s="772">
        <f t="shared" si="14"/>
        <v>100</v>
      </c>
      <c r="X32" s="1813"/>
      <c r="Y32" s="3203" t="s">
        <v>2564</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3"/>
      <c r="Q33" s="1810">
        <f t="shared" si="11"/>
        <v>111</v>
      </c>
      <c r="R33" s="771" t="s">
        <v>17</v>
      </c>
      <c r="S33" s="772">
        <f t="shared" si="12"/>
        <v>100</v>
      </c>
      <c r="T33" s="771" t="s">
        <v>17</v>
      </c>
      <c r="U33" s="772">
        <f t="shared" si="13"/>
        <v>100</v>
      </c>
      <c r="V33" s="771" t="s">
        <v>17</v>
      </c>
      <c r="W33" s="772">
        <f t="shared" si="14"/>
        <v>100</v>
      </c>
      <c r="X33" s="1813"/>
      <c r="Y33" s="3203"/>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03"/>
      <c r="Q34" s="1810">
        <f t="shared" si="11"/>
        <v>111</v>
      </c>
      <c r="R34" s="771" t="s">
        <v>17</v>
      </c>
      <c r="S34" s="772">
        <f t="shared" si="12"/>
        <v>100</v>
      </c>
      <c r="T34" s="771" t="s">
        <v>17</v>
      </c>
      <c r="U34" s="772">
        <f t="shared" si="13"/>
        <v>100</v>
      </c>
      <c r="V34" s="771" t="s">
        <v>17</v>
      </c>
      <c r="W34" s="772">
        <f t="shared" si="14"/>
        <v>100</v>
      </c>
      <c r="X34" s="1813"/>
      <c r="Y34" s="3203"/>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0"/>
      <c r="L35" s="1143"/>
      <c r="M35" s="1144"/>
      <c r="N35" s="1131"/>
      <c r="O35" s="1144"/>
      <c r="P35" s="3205" t="str">
        <f>A35</f>
        <v>成交单价（元/平方米）</v>
      </c>
      <c r="Q35" s="3205"/>
      <c r="R35" s="3206">
        <f>E35</f>
        <v>0</v>
      </c>
      <c r="S35" s="3206"/>
      <c r="T35" s="3206">
        <f>G35</f>
        <v>0</v>
      </c>
      <c r="U35" s="3206"/>
      <c r="V35" s="3206">
        <f>I35</f>
        <v>0</v>
      </c>
      <c r="W35" s="3206"/>
      <c r="X35" s="756"/>
      <c r="Y35" s="778"/>
      <c r="Z35" s="756"/>
      <c r="AA35" s="756"/>
      <c r="AB35" s="756"/>
      <c r="AC35" s="756"/>
    </row>
    <row r="36" spans="1:29" ht="15.75" thickBot="1">
      <c r="A36" s="486" t="s">
        <v>2667</v>
      </c>
      <c r="B36" s="487"/>
      <c r="C36" s="1413" t="e">
        <f>R37</f>
        <v>#DIV/0!</v>
      </c>
      <c r="D36" s="1414"/>
      <c r="E36" s="1415" t="e">
        <f>R36</f>
        <v>#DIV/0!</v>
      </c>
      <c r="F36" s="1415"/>
      <c r="G36" s="1413" t="e">
        <f>T36</f>
        <v>#DIV/0!</v>
      </c>
      <c r="H36" s="1414"/>
      <c r="I36" s="1415" t="e">
        <f>V36</f>
        <v>#DIV/0!</v>
      </c>
      <c r="J36" s="1414"/>
      <c r="K36" s="781"/>
      <c r="L36" s="1143"/>
      <c r="M36" s="1144"/>
      <c r="N36" s="1131"/>
      <c r="O36" s="1144"/>
      <c r="P36" s="3205" t="str">
        <f>A36</f>
        <v>比较价值（元/平方米）</v>
      </c>
      <c r="Q36" s="3205"/>
      <c r="R36" s="3206" t="e">
        <f>IF(F1="售价",ROUND(PRODUCT(R35,AA7:AA34),0),ROUND(PRODUCT(R35,AA7:AA34),1))</f>
        <v>#DIV/0!</v>
      </c>
      <c r="S36" s="3206"/>
      <c r="T36" s="3206" t="e">
        <f>IF(F1="售价",ROUND(PRODUCT(T35,AB7:AB34),0),ROUND(PRODUCT(T35,AB7:AB34),1))</f>
        <v>#DIV/0!</v>
      </c>
      <c r="U36" s="3206"/>
      <c r="V36" s="3206" t="e">
        <f>IF(F1="售价",ROUND(PRODUCT(V35,AC7:AC34),0),ROUND(PRODUCT(V35,AC7:AC34),1))</f>
        <v>#DIV/0!</v>
      </c>
      <c r="W36" s="3206"/>
      <c r="X36" s="756"/>
      <c r="Y36" s="756"/>
      <c r="Z36" s="756"/>
      <c r="AA36" s="756"/>
      <c r="AB36" s="756"/>
      <c r="AC36" s="756"/>
    </row>
    <row r="37" spans="1:29" ht="15.75" thickBot="1">
      <c r="A37" s="492" t="s">
        <v>2668</v>
      </c>
      <c r="B37" s="493"/>
      <c r="C37" s="1417" t="e">
        <f>R37</f>
        <v>#DIV/0!</v>
      </c>
      <c r="D37" s="1417"/>
      <c r="E37" s="1417"/>
      <c r="F37" s="1417"/>
      <c r="G37" s="1417"/>
      <c r="H37" s="1417"/>
      <c r="I37" s="1417"/>
      <c r="J37" s="1417"/>
      <c r="K37" s="782"/>
      <c r="L37" s="1143"/>
      <c r="M37" s="1144"/>
      <c r="N37" s="1144"/>
      <c r="O37" s="1144"/>
      <c r="P37" s="3207" t="str">
        <f>A37</f>
        <v>估价对象XX用房的比较价值（楼面单价，元/平方米）</v>
      </c>
      <c r="Q37" s="3208"/>
      <c r="R37" s="3209" t="e">
        <f>IF(F1="售价",ROUND(AVERAGE(R36:V36),0),ROUND(AVERAGE(R36:V36),1))</f>
        <v>#DIV/0!</v>
      </c>
      <c r="S37" s="3209"/>
      <c r="T37" s="3209"/>
      <c r="U37" s="3209"/>
      <c r="V37" s="3209"/>
      <c r="W37" s="3209"/>
      <c r="X37" s="756"/>
      <c r="Y37" s="756"/>
      <c r="Z37" s="756"/>
      <c r="AA37" s="756"/>
      <c r="AB37" s="756"/>
      <c r="AC37" s="756"/>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0" t="s">
        <v>2672</v>
      </c>
      <c r="B45" s="756"/>
      <c r="C45" s="761"/>
      <c r="D45" s="761"/>
      <c r="E45" s="761"/>
      <c r="F45" s="762"/>
      <c r="G45" s="762"/>
      <c r="H45" s="761"/>
      <c r="I45" s="761"/>
      <c r="J45" s="761"/>
      <c r="K45" s="763"/>
      <c r="L45" s="764"/>
      <c r="M45" s="761"/>
      <c r="N45" s="761"/>
      <c r="O45" s="761"/>
      <c r="P45" s="503"/>
      <c r="Q45" s="504"/>
    </row>
    <row r="46" spans="1:29" s="508" customFormat="1" ht="15">
      <c r="A46" s="505" t="s">
        <v>2547</v>
      </c>
      <c r="B46" s="506"/>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8">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59">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59"/>
      <c r="J80" s="659"/>
      <c r="K80" s="667"/>
      <c r="L80" s="668"/>
      <c r="M80" s="669"/>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5">
        <f>B34</f>
        <v>111</v>
      </c>
      <c r="C95" s="549"/>
      <c r="D95" s="549"/>
      <c r="E95" s="549"/>
      <c r="F95" s="549"/>
      <c r="G95" s="554"/>
      <c r="H95" s="555"/>
      <c r="I95" s="555"/>
      <c r="J95" s="555"/>
      <c r="K95" s="555"/>
      <c r="L95" s="556"/>
      <c r="M95" s="557"/>
      <c r="N95" s="1153"/>
      <c r="O95" s="1153"/>
      <c r="P95" s="636"/>
      <c r="Q95" s="637"/>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2326</v>
      </c>
      <c r="B2" s="670" t="e">
        <f>F66</f>
        <v>#DIV/0!</v>
      </c>
      <c r="C2" s="1124"/>
      <c r="D2" s="1124"/>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c r="AD2" s="397"/>
    </row>
    <row r="3" spans="1:30"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30" ht="15">
      <c r="A4" s="401" t="s">
        <v>2644</v>
      </c>
      <c r="B4" s="402"/>
      <c r="C4" s="3183" t="s">
        <v>2645</v>
      </c>
      <c r="D4" s="3184"/>
      <c r="E4" s="3185" t="s">
        <v>2646</v>
      </c>
      <c r="F4" s="3186"/>
      <c r="G4" s="3183" t="s">
        <v>2647</v>
      </c>
      <c r="H4" s="3184"/>
      <c r="I4" s="3183" t="s">
        <v>2648</v>
      </c>
      <c r="J4" s="3184"/>
      <c r="K4" s="610" t="s">
        <v>2649</v>
      </c>
      <c r="L4" s="1130"/>
      <c r="M4" s="1131"/>
      <c r="N4" s="1131"/>
      <c r="O4" s="1131"/>
      <c r="P4" s="3187" t="s">
        <v>2650</v>
      </c>
      <c r="Q4" s="3188"/>
      <c r="R4" s="3168" t="s">
        <v>2646</v>
      </c>
      <c r="S4" s="3169"/>
      <c r="T4" s="3168" t="s">
        <v>2647</v>
      </c>
      <c r="U4" s="3169"/>
      <c r="V4" s="3165" t="s">
        <v>2648</v>
      </c>
      <c r="W4" s="3165"/>
      <c r="X4" s="1813"/>
      <c r="Y4" s="3168" t="s">
        <v>2650</v>
      </c>
      <c r="Z4" s="3169"/>
      <c r="AA4" s="3162" t="s">
        <v>2646</v>
      </c>
      <c r="AB4" s="3163" t="s">
        <v>2647</v>
      </c>
      <c r="AC4" s="3162" t="s">
        <v>2648</v>
      </c>
    </row>
    <row r="5" spans="1:30" ht="15">
      <c r="A5" s="404"/>
      <c r="B5" s="405"/>
      <c r="C5" s="3174" t="s">
        <v>2541</v>
      </c>
      <c r="D5" s="3175"/>
      <c r="E5" s="3232" t="s">
        <v>2542</v>
      </c>
      <c r="F5" s="3173"/>
      <c r="G5" s="3174" t="s">
        <v>2543</v>
      </c>
      <c r="H5" s="3175"/>
      <c r="I5" s="3174" t="s">
        <v>2544</v>
      </c>
      <c r="J5" s="3175"/>
      <c r="K5" s="610"/>
      <c r="L5" s="1130"/>
      <c r="M5" s="1131"/>
      <c r="N5" s="1131"/>
      <c r="O5" s="1131"/>
      <c r="P5" s="3189"/>
      <c r="Q5" s="3190"/>
      <c r="R5" s="3170"/>
      <c r="S5" s="3171"/>
      <c r="T5" s="3170"/>
      <c r="U5" s="3171"/>
      <c r="V5" s="3165"/>
      <c r="W5" s="3165"/>
      <c r="X5" s="1813"/>
      <c r="Y5" s="3170"/>
      <c r="Z5" s="3171"/>
      <c r="AA5" s="3163"/>
      <c r="AB5" s="3163"/>
      <c r="AC5" s="3163"/>
    </row>
    <row r="6" spans="1:30" ht="15.75" thickBot="1">
      <c r="A6" s="406"/>
      <c r="B6" s="407"/>
      <c r="C6" s="3176" t="s">
        <v>2545</v>
      </c>
      <c r="D6" s="3177"/>
      <c r="E6" s="3233" t="s">
        <v>2545</v>
      </c>
      <c r="F6" s="3180"/>
      <c r="G6" s="3176" t="s">
        <v>2545</v>
      </c>
      <c r="H6" s="3177"/>
      <c r="I6" s="3176" t="s">
        <v>2545</v>
      </c>
      <c r="J6" s="3177"/>
      <c r="K6" s="610" t="s">
        <v>2546</v>
      </c>
      <c r="L6" s="1130"/>
      <c r="M6" s="1131"/>
      <c r="N6" s="1131"/>
      <c r="O6" s="1131"/>
      <c r="P6" s="3191"/>
      <c r="Q6" s="3192"/>
      <c r="R6" s="3170"/>
      <c r="S6" s="3171"/>
      <c r="T6" s="3193"/>
      <c r="U6" s="3194"/>
      <c r="V6" s="3165"/>
      <c r="W6" s="3165"/>
      <c r="X6" s="1813"/>
      <c r="Y6" s="3193"/>
      <c r="Z6" s="3194"/>
      <c r="AA6" s="3164"/>
      <c r="AB6" s="3164"/>
      <c r="AC6" s="3164"/>
    </row>
    <row r="7" spans="1:30" s="117" customFormat="1" ht="15.75" thickBot="1">
      <c r="A7" s="408" t="s">
        <v>2547</v>
      </c>
      <c r="B7" s="409"/>
      <c r="C7" s="410">
        <f>'数据-取费表'!B2</f>
        <v>43262</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66" t="s">
        <v>2548</v>
      </c>
      <c r="Q7" s="3195"/>
      <c r="R7" s="767" t="s">
        <v>17</v>
      </c>
      <c r="S7" s="768">
        <f t="shared" ref="S7:S15" si="0">F7</f>
        <v>0</v>
      </c>
      <c r="T7" s="767" t="s">
        <v>17</v>
      </c>
      <c r="U7" s="768">
        <f t="shared" ref="U7:U15" si="1">H7</f>
        <v>0</v>
      </c>
      <c r="V7" s="767" t="s">
        <v>17</v>
      </c>
      <c r="W7" s="768">
        <f t="shared" ref="W7:W15" si="2">J7</f>
        <v>0</v>
      </c>
      <c r="X7" s="769"/>
      <c r="Y7" s="3166" t="s">
        <v>2548</v>
      </c>
      <c r="Z7" s="3167"/>
      <c r="AA7" s="770" t="e">
        <f>D7/F7</f>
        <v>#DIV/0!</v>
      </c>
      <c r="AB7" s="770" t="e">
        <f>D7/H7</f>
        <v>#DIV/0!</v>
      </c>
      <c r="AC7" s="770"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66" t="s">
        <v>2551</v>
      </c>
      <c r="Q8" s="3167"/>
      <c r="R8" s="767" t="s">
        <v>17</v>
      </c>
      <c r="S8" s="768">
        <f t="shared" si="0"/>
        <v>0</v>
      </c>
      <c r="T8" s="767" t="s">
        <v>17</v>
      </c>
      <c r="U8" s="768">
        <f t="shared" si="1"/>
        <v>0</v>
      </c>
      <c r="V8" s="767" t="s">
        <v>17</v>
      </c>
      <c r="W8" s="768">
        <f t="shared" si="2"/>
        <v>0</v>
      </c>
      <c r="X8" s="769"/>
      <c r="Y8" s="3166" t="s">
        <v>2551</v>
      </c>
      <c r="Z8" s="3167"/>
      <c r="AA8" s="770" t="e">
        <f t="shared" ref="AA8:AA45" si="3">D8/F8</f>
        <v>#DIV/0!</v>
      </c>
      <c r="AB8" s="770" t="e">
        <f t="shared" ref="AB8:AB45" si="4">D8/H8</f>
        <v>#DIV/0!</v>
      </c>
      <c r="AC8" s="770" t="e">
        <f t="shared" ref="AC8:AC45" si="5">D8/J8</f>
        <v>#DIV/0!</v>
      </c>
    </row>
    <row r="9" spans="1:30" s="117" customFormat="1">
      <c r="A9" s="415" t="s">
        <v>2552</v>
      </c>
      <c r="B9" s="71" t="s">
        <v>2553</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05" t="s">
        <v>2554</v>
      </c>
      <c r="Q9" s="1795" t="str">
        <f t="shared" ref="Q9:Q15" si="6">B9</f>
        <v>用途</v>
      </c>
      <c r="R9" s="767" t="s">
        <v>17</v>
      </c>
      <c r="S9" s="768">
        <f t="shared" si="0"/>
        <v>100</v>
      </c>
      <c r="T9" s="767" t="s">
        <v>17</v>
      </c>
      <c r="U9" s="768">
        <f t="shared" si="1"/>
        <v>100</v>
      </c>
      <c r="V9" s="767" t="s">
        <v>17</v>
      </c>
      <c r="W9" s="768">
        <f t="shared" si="2"/>
        <v>100</v>
      </c>
      <c r="X9" s="769"/>
      <c r="Y9" s="3034" t="s">
        <v>2555</v>
      </c>
      <c r="Z9" s="55" t="str">
        <f t="shared" ref="Z9:Z15" si="7">Q9</f>
        <v>用途</v>
      </c>
      <c r="AA9" s="770">
        <f t="shared" si="3"/>
        <v>1</v>
      </c>
      <c r="AB9" s="770">
        <f t="shared" si="4"/>
        <v>1</v>
      </c>
      <c r="AC9" s="770">
        <f t="shared" si="5"/>
        <v>1</v>
      </c>
    </row>
    <row r="10" spans="1:30" s="427" customFormat="1" ht="27">
      <c r="A10" s="421"/>
      <c r="B10" s="422" t="s">
        <v>2556</v>
      </c>
      <c r="C10" s="432"/>
      <c r="D10" s="136">
        <v>100</v>
      </c>
      <c r="E10" s="465"/>
      <c r="F10" s="136">
        <f>ROUND(100/'数据-取费表'!G16,0)</f>
        <v>114</v>
      </c>
      <c r="G10" s="463"/>
      <c r="H10" s="136">
        <f>ROUND(100/'数据-取费表'!G16,0)</f>
        <v>114</v>
      </c>
      <c r="I10" s="463"/>
      <c r="J10" s="136">
        <f>ROUND(100/'数据-取费表'!G16,0)</f>
        <v>114</v>
      </c>
      <c r="K10" s="671"/>
      <c r="L10" s="1135"/>
      <c r="M10" s="1136"/>
      <c r="N10" s="1136"/>
      <c r="O10" s="1137"/>
      <c r="P10" s="3205"/>
      <c r="Q10" s="1795" t="str">
        <f t="shared" si="6"/>
        <v>土地使用年限（年）</v>
      </c>
      <c r="R10" s="767" t="s">
        <v>17</v>
      </c>
      <c r="S10" s="768">
        <f t="shared" si="0"/>
        <v>114</v>
      </c>
      <c r="T10" s="767" t="s">
        <v>17</v>
      </c>
      <c r="U10" s="768">
        <f t="shared" si="1"/>
        <v>114</v>
      </c>
      <c r="V10" s="767" t="s">
        <v>17</v>
      </c>
      <c r="W10" s="768">
        <f t="shared" si="2"/>
        <v>114</v>
      </c>
      <c r="X10" s="769"/>
      <c r="Y10" s="3034"/>
      <c r="Z10" s="55" t="str">
        <f t="shared" si="7"/>
        <v>土地使用年限（年）</v>
      </c>
      <c r="AA10" s="770">
        <f t="shared" si="3"/>
        <v>0.8771929824561403</v>
      </c>
      <c r="AB10" s="770">
        <f t="shared" si="4"/>
        <v>0.8771929824561403</v>
      </c>
      <c r="AC10" s="770">
        <f t="shared" si="5"/>
        <v>0.8771929824561403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8"/>
      <c r="M11" s="1131"/>
      <c r="N11" s="1131"/>
      <c r="O11" s="1139"/>
      <c r="P11" s="3205"/>
      <c r="Q11" s="1795"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30" s="117" customFormat="1" ht="15">
      <c r="A12" s="431"/>
      <c r="B12" s="2599" t="s">
        <v>2745</v>
      </c>
      <c r="C12" s="432"/>
      <c r="D12" s="433">
        <v>100</v>
      </c>
      <c r="E12" s="465"/>
      <c r="F12" s="136">
        <f>SUMIF(82:82,E12,83:83)-SUMIF(82:82,C12,83:83)+100</f>
        <v>100</v>
      </c>
      <c r="G12" s="463"/>
      <c r="H12" s="136">
        <f>SUMIF(82:82,G12,83:83)-SUMIF(82:82,C12,83:83)+100</f>
        <v>100</v>
      </c>
      <c r="I12" s="465"/>
      <c r="J12" s="136">
        <f>SUMIF(82:82,I12,83:83)-SUMIF(82:82,C12,83:83)+100</f>
        <v>100</v>
      </c>
      <c r="K12" s="671"/>
      <c r="L12" s="1132"/>
      <c r="M12" s="1133"/>
      <c r="N12" s="1133"/>
      <c r="O12" s="1134"/>
      <c r="P12" s="3205"/>
      <c r="Q12" s="1795" t="str">
        <f t="shared" si="6"/>
        <v>配建</v>
      </c>
      <c r="R12" s="767" t="s">
        <v>17</v>
      </c>
      <c r="S12" s="768">
        <f t="shared" si="0"/>
        <v>100</v>
      </c>
      <c r="T12" s="767" t="s">
        <v>17</v>
      </c>
      <c r="U12" s="768">
        <f t="shared" si="1"/>
        <v>100</v>
      </c>
      <c r="V12" s="767" t="s">
        <v>17</v>
      </c>
      <c r="W12" s="768">
        <f t="shared" si="2"/>
        <v>100</v>
      </c>
      <c r="X12" s="769"/>
      <c r="Y12" s="3034"/>
      <c r="Z12" s="55" t="str">
        <f t="shared" si="7"/>
        <v>配建</v>
      </c>
      <c r="AA12" s="770">
        <f>D12/F12</f>
        <v>1</v>
      </c>
      <c r="AB12" s="770">
        <f>D12/H12</f>
        <v>1</v>
      </c>
      <c r="AC12" s="770">
        <f>D12/J12</f>
        <v>1</v>
      </c>
    </row>
    <row r="13" spans="1:30" ht="15">
      <c r="A13" s="428"/>
      <c r="B13" s="2599">
        <v>111</v>
      </c>
      <c r="C13" s="434"/>
      <c r="D13" s="435">
        <v>100</v>
      </c>
      <c r="E13" s="549"/>
      <c r="F13" s="136">
        <f>SUMIF(84:84,E13,85:85)-SUMIF(84:84,C13,85:85)+100</f>
        <v>100</v>
      </c>
      <c r="G13" s="673"/>
      <c r="H13" s="435">
        <f>SUMIF(84:84,G13,85:85)-SUMIF(84:84,C13,85:85)+100</f>
        <v>100</v>
      </c>
      <c r="I13" s="673"/>
      <c r="J13" s="435">
        <f>SUMIF(84:84,I13,85:85)-SUMIF(84:84,C13,85:85)+100</f>
        <v>100</v>
      </c>
      <c r="K13" s="671"/>
      <c r="L13" s="1140"/>
      <c r="M13" s="1131"/>
      <c r="N13" s="1131"/>
      <c r="O13" s="1139"/>
      <c r="P13" s="3205"/>
      <c r="Q13" s="1795">
        <f t="shared" si="6"/>
        <v>111</v>
      </c>
      <c r="R13" s="767" t="s">
        <v>17</v>
      </c>
      <c r="S13" s="768">
        <f t="shared" si="0"/>
        <v>100</v>
      </c>
      <c r="T13" s="767" t="s">
        <v>17</v>
      </c>
      <c r="U13" s="768">
        <f t="shared" si="1"/>
        <v>100</v>
      </c>
      <c r="V13" s="767" t="s">
        <v>17</v>
      </c>
      <c r="W13" s="768">
        <f t="shared" si="2"/>
        <v>100</v>
      </c>
      <c r="X13" s="769"/>
      <c r="Y13" s="3034"/>
      <c r="Z13" s="55">
        <f t="shared" si="7"/>
        <v>111</v>
      </c>
      <c r="AA13" s="770">
        <f>D13/F13</f>
        <v>1</v>
      </c>
      <c r="AB13" s="770">
        <f>D13/H13</f>
        <v>1</v>
      </c>
      <c r="AC13" s="770">
        <f>D13/J13</f>
        <v>1</v>
      </c>
    </row>
    <row r="14" spans="1:30" ht="15.75" thickBot="1">
      <c r="A14" s="436"/>
      <c r="B14" s="2601">
        <v>111</v>
      </c>
      <c r="C14" s="437"/>
      <c r="D14" s="438">
        <v>100</v>
      </c>
      <c r="E14" s="549"/>
      <c r="F14" s="438">
        <f>SUMIF(86:86,E14,87:87)-SUMIF(86:86,C14,87:87)+100</f>
        <v>100</v>
      </c>
      <c r="G14" s="673"/>
      <c r="H14" s="438">
        <f>SUMIF(86:86,G14,87:87)-SUMIF(86:86,C14,87:87)+100</f>
        <v>100</v>
      </c>
      <c r="I14" s="673"/>
      <c r="J14" s="438">
        <f>SUMIF(86:86,I14,87:87)-SUMIF(86:86,C14,87:87)+100</f>
        <v>100</v>
      </c>
      <c r="K14" s="671"/>
      <c r="L14" s="1140"/>
      <c r="M14" s="1131"/>
      <c r="N14" s="1131"/>
      <c r="O14" s="1139"/>
      <c r="P14" s="3205"/>
      <c r="Q14" s="1795">
        <f t="shared" si="6"/>
        <v>111</v>
      </c>
      <c r="R14" s="767" t="s">
        <v>17</v>
      </c>
      <c r="S14" s="768">
        <f t="shared" si="0"/>
        <v>100</v>
      </c>
      <c r="T14" s="767" t="s">
        <v>17</v>
      </c>
      <c r="U14" s="768">
        <f t="shared" si="1"/>
        <v>100</v>
      </c>
      <c r="V14" s="767" t="s">
        <v>17</v>
      </c>
      <c r="W14" s="768">
        <f t="shared" si="2"/>
        <v>100</v>
      </c>
      <c r="X14" s="769"/>
      <c r="Y14" s="3034"/>
      <c r="Z14" s="55">
        <f t="shared" si="7"/>
        <v>111</v>
      </c>
      <c r="AA14" s="770">
        <f>D14/F14</f>
        <v>1</v>
      </c>
      <c r="AB14" s="770">
        <f>D14/H14</f>
        <v>1</v>
      </c>
      <c r="AC14" s="770">
        <f>D14/J14</f>
        <v>1</v>
      </c>
    </row>
    <row r="15" spans="1:30" ht="99.75">
      <c r="A15" s="440" t="s">
        <v>2558</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0"/>
      <c r="M15" s="1131"/>
      <c r="N15" s="1131"/>
      <c r="O15" s="1139"/>
      <c r="P15" s="3198" t="s">
        <v>2559</v>
      </c>
      <c r="Q15" s="1810" t="str">
        <f t="shared" si="6"/>
        <v>居住社区成熟度</v>
      </c>
      <c r="R15" s="771" t="s">
        <v>17</v>
      </c>
      <c r="S15" s="772">
        <f t="shared" si="0"/>
        <v>100</v>
      </c>
      <c r="T15" s="771" t="s">
        <v>17</v>
      </c>
      <c r="U15" s="772">
        <f t="shared" si="1"/>
        <v>100</v>
      </c>
      <c r="V15" s="771" t="s">
        <v>17</v>
      </c>
      <c r="W15" s="772">
        <f t="shared" si="2"/>
        <v>100</v>
      </c>
      <c r="X15" s="1813"/>
      <c r="Y15" s="3198" t="s">
        <v>2559</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1"/>
      <c r="L16" s="1140"/>
      <c r="M16" s="1131"/>
      <c r="N16" s="1131"/>
      <c r="O16" s="1139"/>
      <c r="P16" s="3199"/>
      <c r="Q16" s="1810"/>
      <c r="R16" s="771"/>
      <c r="S16" s="772"/>
      <c r="T16" s="771"/>
      <c r="U16" s="772"/>
      <c r="V16" s="771"/>
      <c r="W16" s="772"/>
      <c r="X16" s="1813"/>
      <c r="Y16" s="3199"/>
      <c r="Z16" s="1814"/>
      <c r="AA16" s="1811">
        <v>1</v>
      </c>
      <c r="AB16" s="1811">
        <v>1</v>
      </c>
      <c r="AC16" s="1811">
        <v>1</v>
      </c>
    </row>
    <row r="17" spans="1:29" ht="71.25">
      <c r="A17" s="428"/>
      <c r="B17" s="451" t="s">
        <v>2652</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0"/>
      <c r="M17" s="1131"/>
      <c r="N17" s="1131"/>
      <c r="O17" s="1139"/>
      <c r="P17" s="3199"/>
      <c r="Q17" s="1810" t="str">
        <f>B17</f>
        <v>商业繁华度</v>
      </c>
      <c r="R17" s="771" t="s">
        <v>17</v>
      </c>
      <c r="S17" s="772">
        <f>F17</f>
        <v>100</v>
      </c>
      <c r="T17" s="771" t="s">
        <v>17</v>
      </c>
      <c r="U17" s="772">
        <f>H17</f>
        <v>100</v>
      </c>
      <c r="V17" s="771" t="s">
        <v>17</v>
      </c>
      <c r="W17" s="772">
        <f>J17</f>
        <v>100</v>
      </c>
      <c r="X17" s="1813"/>
      <c r="Y17" s="3199"/>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1"/>
      <c r="L18" s="1140"/>
      <c r="M18" s="1131"/>
      <c r="N18" s="1131"/>
      <c r="O18" s="1139"/>
      <c r="P18" s="3199"/>
      <c r="Q18" s="1810"/>
      <c r="R18" s="771"/>
      <c r="S18" s="772"/>
      <c r="T18" s="771"/>
      <c r="U18" s="772"/>
      <c r="V18" s="771"/>
      <c r="W18" s="772"/>
      <c r="X18" s="1813"/>
      <c r="Y18" s="3199"/>
      <c r="Z18" s="1814"/>
      <c r="AA18" s="1811">
        <v>1</v>
      </c>
      <c r="AB18" s="1811">
        <v>1</v>
      </c>
      <c r="AC18" s="1811">
        <v>1</v>
      </c>
    </row>
    <row r="19" spans="1:29" ht="71.25">
      <c r="A19" s="428"/>
      <c r="B19" s="451" t="s">
        <v>2685</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0"/>
      <c r="M19" s="1131"/>
      <c r="N19" s="1131"/>
      <c r="O19" s="1139"/>
      <c r="P19" s="3199"/>
      <c r="Q19" s="1810" t="str">
        <f>B19</f>
        <v>办公集聚程度</v>
      </c>
      <c r="R19" s="771" t="s">
        <v>17</v>
      </c>
      <c r="S19" s="772">
        <f>F19</f>
        <v>100</v>
      </c>
      <c r="T19" s="771" t="s">
        <v>17</v>
      </c>
      <c r="U19" s="772">
        <f>H19</f>
        <v>100</v>
      </c>
      <c r="V19" s="771" t="s">
        <v>17</v>
      </c>
      <c r="W19" s="772">
        <f>J19</f>
        <v>100</v>
      </c>
      <c r="X19" s="1813"/>
      <c r="Y19" s="3199"/>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1"/>
      <c r="L20" s="1140"/>
      <c r="M20" s="1131"/>
      <c r="N20" s="1131"/>
      <c r="O20" s="1139"/>
      <c r="P20" s="3199"/>
      <c r="Q20" s="1810"/>
      <c r="R20" s="771"/>
      <c r="S20" s="772"/>
      <c r="T20" s="771"/>
      <c r="U20" s="772"/>
      <c r="V20" s="771"/>
      <c r="W20" s="772"/>
      <c r="X20" s="1813"/>
      <c r="Y20" s="3199"/>
      <c r="Z20" s="1814"/>
      <c r="AA20" s="1811">
        <v>1</v>
      </c>
      <c r="AB20" s="1811">
        <v>1</v>
      </c>
      <c r="AC20" s="1811">
        <v>1</v>
      </c>
    </row>
    <row r="21" spans="1:29" ht="85.5">
      <c r="A21" s="428"/>
      <c r="B21" s="451" t="s">
        <v>2707</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0"/>
      <c r="M21" s="1131"/>
      <c r="N21" s="1131"/>
      <c r="O21" s="1139"/>
      <c r="P21" s="3199"/>
      <c r="Q21" s="1810" t="str">
        <f>B21</f>
        <v>交通便捷度</v>
      </c>
      <c r="R21" s="771" t="s">
        <v>17</v>
      </c>
      <c r="S21" s="772">
        <f>F21</f>
        <v>100</v>
      </c>
      <c r="T21" s="771" t="s">
        <v>17</v>
      </c>
      <c r="U21" s="772">
        <f>H21</f>
        <v>100</v>
      </c>
      <c r="V21" s="771" t="s">
        <v>17</v>
      </c>
      <c r="W21" s="772">
        <f>J21</f>
        <v>100</v>
      </c>
      <c r="X21" s="1813"/>
      <c r="Y21" s="3199"/>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1"/>
      <c r="L22" s="1140"/>
      <c r="M22" s="1131"/>
      <c r="N22" s="1131"/>
      <c r="O22" s="1139"/>
      <c r="P22" s="3199"/>
      <c r="Q22" s="1810"/>
      <c r="R22" s="771"/>
      <c r="S22" s="772"/>
      <c r="T22" s="771"/>
      <c r="U22" s="772"/>
      <c r="V22" s="771"/>
      <c r="W22" s="772"/>
      <c r="X22" s="1813"/>
      <c r="Y22" s="3199"/>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0"/>
      <c r="M23" s="1131"/>
      <c r="N23" s="1131"/>
      <c r="O23" s="1139"/>
      <c r="P23" s="3199"/>
      <c r="Q23" s="1810" t="str">
        <f t="shared" ref="Q23:Q37" si="8">B23</f>
        <v>区域土地利用方向</v>
      </c>
      <c r="R23" s="771" t="s">
        <v>17</v>
      </c>
      <c r="S23" s="772">
        <f>F23</f>
        <v>100</v>
      </c>
      <c r="T23" s="771" t="s">
        <v>17</v>
      </c>
      <c r="U23" s="772">
        <f>H23</f>
        <v>100</v>
      </c>
      <c r="V23" s="771" t="s">
        <v>17</v>
      </c>
      <c r="W23" s="772">
        <f>J23</f>
        <v>100</v>
      </c>
      <c r="X23" s="1813"/>
      <c r="Y23" s="3199"/>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09"/>
      <c r="L24" s="1140"/>
      <c r="M24" s="1131"/>
      <c r="N24" s="1131"/>
      <c r="O24" s="1139"/>
      <c r="P24" s="3199"/>
      <c r="Q24" s="1810"/>
      <c r="R24" s="771"/>
      <c r="S24" s="772"/>
      <c r="T24" s="771"/>
      <c r="U24" s="772"/>
      <c r="V24" s="771"/>
      <c r="W24" s="772"/>
      <c r="X24" s="1813"/>
      <c r="Y24" s="3199"/>
      <c r="Z24" s="1814"/>
      <c r="AA24" s="1811"/>
      <c r="AB24" s="1811"/>
      <c r="AC24" s="1811"/>
    </row>
    <row r="25" spans="1:29" ht="57">
      <c r="A25" s="404"/>
      <c r="B25" s="1384" t="s">
        <v>2747</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0"/>
      <c r="M25" s="1131"/>
      <c r="N25" s="1131"/>
      <c r="O25" s="1139"/>
      <c r="P25" s="3199"/>
      <c r="Q25" s="1810" t="str">
        <f t="shared" si="8"/>
        <v>自然及人文环境状况</v>
      </c>
      <c r="R25" s="771" t="s">
        <v>17</v>
      </c>
      <c r="S25" s="772">
        <f>F25</f>
        <v>100</v>
      </c>
      <c r="T25" s="771" t="s">
        <v>17</v>
      </c>
      <c r="U25" s="772">
        <f>H25</f>
        <v>100</v>
      </c>
      <c r="V25" s="771" t="s">
        <v>17</v>
      </c>
      <c r="W25" s="772">
        <f>J25</f>
        <v>100</v>
      </c>
      <c r="X25" s="1813"/>
      <c r="Y25" s="3199"/>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1"/>
      <c r="L26" s="1140"/>
      <c r="M26" s="1131"/>
      <c r="N26" s="1131"/>
      <c r="O26" s="1139"/>
      <c r="P26" s="3199"/>
      <c r="Q26" s="1810"/>
      <c r="R26" s="771"/>
      <c r="S26" s="772"/>
      <c r="T26" s="771"/>
      <c r="U26" s="772"/>
      <c r="V26" s="771"/>
      <c r="W26" s="772"/>
      <c r="X26" s="1813"/>
      <c r="Y26" s="3199"/>
      <c r="Z26" s="1814"/>
      <c r="AA26" s="1811">
        <v>1</v>
      </c>
      <c r="AB26" s="1811">
        <v>1</v>
      </c>
      <c r="AC26" s="1811">
        <v>1</v>
      </c>
    </row>
    <row r="27" spans="1:29" s="117" customFormat="1" ht="42.75">
      <c r="A27" s="648"/>
      <c r="B27" s="1384" t="s">
        <v>2653</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2"/>
      <c r="M27" s="1133"/>
      <c r="N27" s="1133"/>
      <c r="O27" s="1134"/>
      <c r="P27" s="3199"/>
      <c r="Q27" s="1795" t="str">
        <f t="shared" si="8"/>
        <v>公共配套设施</v>
      </c>
      <c r="R27" s="767" t="s">
        <v>17</v>
      </c>
      <c r="S27" s="768">
        <f>F27</f>
        <v>100</v>
      </c>
      <c r="T27" s="767" t="s">
        <v>17</v>
      </c>
      <c r="U27" s="768">
        <f>H27</f>
        <v>100</v>
      </c>
      <c r="V27" s="767" t="s">
        <v>17</v>
      </c>
      <c r="W27" s="768">
        <f>J27</f>
        <v>100</v>
      </c>
      <c r="X27" s="769"/>
      <c r="Y27" s="3199"/>
      <c r="Z27" s="55" t="str">
        <f>Q27</f>
        <v>公共配套设施</v>
      </c>
      <c r="AA27" s="1811">
        <f>D27/F27</f>
        <v>1</v>
      </c>
      <c r="AB27" s="1811">
        <f>D27/H27</f>
        <v>1</v>
      </c>
      <c r="AC27" s="1811">
        <f>D27/J27</f>
        <v>1</v>
      </c>
    </row>
    <row r="28" spans="1:29" s="117" customFormat="1" ht="15">
      <c r="A28" s="648"/>
      <c r="B28" s="456"/>
      <c r="C28" s="2699"/>
      <c r="D28" s="448"/>
      <c r="E28" s="2610"/>
      <c r="F28" s="448"/>
      <c r="G28" s="2610"/>
      <c r="H28" s="448"/>
      <c r="I28" s="447"/>
      <c r="J28" s="448"/>
      <c r="K28" s="671"/>
      <c r="L28" s="1132"/>
      <c r="M28" s="1133"/>
      <c r="N28" s="1133"/>
      <c r="O28" s="1134"/>
      <c r="P28" s="3199"/>
      <c r="Q28" s="1795"/>
      <c r="R28" s="767"/>
      <c r="S28" s="768"/>
      <c r="T28" s="767"/>
      <c r="U28" s="768"/>
      <c r="V28" s="767"/>
      <c r="W28" s="768"/>
      <c r="X28" s="769"/>
      <c r="Y28" s="3199"/>
      <c r="Z28" s="55"/>
      <c r="AA28" s="1811">
        <v>1</v>
      </c>
      <c r="AB28" s="1811">
        <v>1</v>
      </c>
      <c r="AC28" s="1811">
        <v>1</v>
      </c>
    </row>
    <row r="29" spans="1:29" s="117" customFormat="1" ht="28.5">
      <c r="A29" s="648"/>
      <c r="B29" s="1384" t="s">
        <v>2654</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2"/>
      <c r="M29" s="1133"/>
      <c r="N29" s="1133"/>
      <c r="O29" s="1134"/>
      <c r="P29" s="3199"/>
      <c r="Q29" s="1795" t="str">
        <f t="shared" ref="Q29" si="9">B29</f>
        <v>基础设施水平</v>
      </c>
      <c r="R29" s="767" t="s">
        <v>17</v>
      </c>
      <c r="S29" s="768">
        <f>F29</f>
        <v>100</v>
      </c>
      <c r="T29" s="767" t="s">
        <v>17</v>
      </c>
      <c r="U29" s="768">
        <f>H29</f>
        <v>100</v>
      </c>
      <c r="V29" s="767" t="s">
        <v>17</v>
      </c>
      <c r="W29" s="768">
        <f>J29</f>
        <v>100</v>
      </c>
      <c r="X29" s="769"/>
      <c r="Y29" s="3199"/>
      <c r="Z29" s="55" t="str">
        <f>Q29</f>
        <v>基础设施水平</v>
      </c>
      <c r="AA29" s="1811">
        <f>D29/F29</f>
        <v>1</v>
      </c>
      <c r="AB29" s="1811">
        <f>D29/H29</f>
        <v>1</v>
      </c>
      <c r="AC29" s="1811">
        <f>D29/J29</f>
        <v>1</v>
      </c>
    </row>
    <row r="30" spans="1:29" s="117" customFormat="1" ht="15">
      <c r="A30" s="648"/>
      <c r="B30" s="456"/>
      <c r="C30" s="2699"/>
      <c r="D30" s="448"/>
      <c r="E30" s="2700"/>
      <c r="F30" s="448"/>
      <c r="G30" s="2700"/>
      <c r="H30" s="448"/>
      <c r="I30" s="2700"/>
      <c r="J30" s="448"/>
      <c r="K30" s="671"/>
      <c r="L30" s="1132"/>
      <c r="M30" s="1133"/>
      <c r="N30" s="1133"/>
      <c r="O30" s="1134"/>
      <c r="P30" s="3199"/>
      <c r="Q30" s="1795"/>
      <c r="R30" s="767"/>
      <c r="S30" s="768"/>
      <c r="T30" s="767"/>
      <c r="U30" s="768"/>
      <c r="V30" s="767"/>
      <c r="W30" s="768"/>
      <c r="X30" s="769"/>
      <c r="Y30" s="3199"/>
      <c r="Z30" s="55"/>
      <c r="AA30" s="1811">
        <v>1</v>
      </c>
      <c r="AB30" s="1811">
        <v>1</v>
      </c>
      <c r="AC30" s="1811">
        <v>1</v>
      </c>
    </row>
    <row r="31" spans="1:29" ht="15">
      <c r="A31" s="428"/>
      <c r="B31" s="456" t="s">
        <v>2655</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0"/>
      <c r="M31" s="1131"/>
      <c r="N31" s="1131"/>
      <c r="O31" s="1139"/>
      <c r="P31" s="3199"/>
      <c r="Q31" s="1810" t="str">
        <f t="shared" si="8"/>
        <v>临街状况</v>
      </c>
      <c r="R31" s="771" t="s">
        <v>17</v>
      </c>
      <c r="S31" s="772">
        <f t="shared" ref="S31:S45" si="10">F31</f>
        <v>100</v>
      </c>
      <c r="T31" s="771" t="s">
        <v>17</v>
      </c>
      <c r="U31" s="772">
        <f t="shared" ref="U31:U45" si="11">H31</f>
        <v>100</v>
      </c>
      <c r="V31" s="771" t="s">
        <v>17</v>
      </c>
      <c r="W31" s="772">
        <f t="shared" ref="W31:W45" si="12">J31</f>
        <v>100</v>
      </c>
      <c r="X31" s="1813"/>
      <c r="Y31" s="3199"/>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0"/>
      <c r="M32" s="1131"/>
      <c r="N32" s="1131"/>
      <c r="O32" s="1139"/>
      <c r="P32" s="3199"/>
      <c r="Q32" s="1810" t="str">
        <f t="shared" si="8"/>
        <v>毗邻道路的类型与等级</v>
      </c>
      <c r="R32" s="771" t="s">
        <v>17</v>
      </c>
      <c r="S32" s="772">
        <f t="shared" si="10"/>
        <v>100</v>
      </c>
      <c r="T32" s="771" t="s">
        <v>17</v>
      </c>
      <c r="U32" s="772">
        <f t="shared" si="11"/>
        <v>100</v>
      </c>
      <c r="V32" s="771" t="s">
        <v>17</v>
      </c>
      <c r="W32" s="772">
        <f t="shared" si="12"/>
        <v>100</v>
      </c>
      <c r="X32" s="1813"/>
      <c r="Y32" s="3199"/>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199"/>
      <c r="Q33" s="1810"/>
      <c r="R33" s="771"/>
      <c r="S33" s="772"/>
      <c r="T33" s="771"/>
      <c r="U33" s="772"/>
      <c r="V33" s="771"/>
      <c r="W33" s="772"/>
      <c r="X33" s="1813"/>
      <c r="Y33" s="3199"/>
      <c r="Z33" s="1814"/>
      <c r="AA33" s="1811">
        <v>1</v>
      </c>
      <c r="AB33" s="1811">
        <v>1</v>
      </c>
      <c r="AC33" s="1811">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0"/>
      <c r="M34" s="1131"/>
      <c r="N34" s="1131"/>
      <c r="O34" s="1139"/>
      <c r="P34" s="3199"/>
      <c r="Q34" s="1810" t="str">
        <f t="shared" si="8"/>
        <v>土地级别</v>
      </c>
      <c r="R34" s="771" t="s">
        <v>17</v>
      </c>
      <c r="S34" s="772">
        <f t="shared" si="10"/>
        <v>100</v>
      </c>
      <c r="T34" s="771" t="s">
        <v>17</v>
      </c>
      <c r="U34" s="772">
        <f t="shared" si="11"/>
        <v>100</v>
      </c>
      <c r="V34" s="771" t="s">
        <v>17</v>
      </c>
      <c r="W34" s="772">
        <f t="shared" si="12"/>
        <v>100</v>
      </c>
      <c r="X34" s="1813"/>
      <c r="Y34" s="3199"/>
      <c r="Z34" s="1814" t="str">
        <f t="shared" si="13"/>
        <v>土地级别</v>
      </c>
      <c r="AA34" s="1811">
        <f t="shared" si="3"/>
        <v>1</v>
      </c>
      <c r="AB34" s="1811">
        <f t="shared" si="4"/>
        <v>1</v>
      </c>
      <c r="AC34" s="1811">
        <f t="shared" si="5"/>
        <v>1</v>
      </c>
    </row>
    <row r="35" spans="1:29" ht="15">
      <c r="A35" s="404"/>
      <c r="B35" s="1386">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0"/>
      <c r="M35" s="1131"/>
      <c r="N35" s="1131"/>
      <c r="O35" s="1139"/>
      <c r="P35" s="3199"/>
      <c r="Q35" s="1810">
        <f t="shared" si="8"/>
        <v>111</v>
      </c>
      <c r="R35" s="771" t="s">
        <v>17</v>
      </c>
      <c r="S35" s="772">
        <f t="shared" si="10"/>
        <v>100</v>
      </c>
      <c r="T35" s="771" t="s">
        <v>17</v>
      </c>
      <c r="U35" s="772">
        <f t="shared" si="11"/>
        <v>100</v>
      </c>
      <c r="V35" s="771" t="s">
        <v>17</v>
      </c>
      <c r="W35" s="772">
        <f t="shared" si="12"/>
        <v>100</v>
      </c>
      <c r="X35" s="1813"/>
      <c r="Y35" s="3199"/>
      <c r="Z35" s="1814">
        <f t="shared" si="13"/>
        <v>111</v>
      </c>
      <c r="AA35" s="1811">
        <f t="shared" si="3"/>
        <v>1</v>
      </c>
      <c r="AB35" s="1811">
        <f t="shared" si="4"/>
        <v>1</v>
      </c>
      <c r="AC35" s="1811">
        <f t="shared" si="5"/>
        <v>1</v>
      </c>
    </row>
    <row r="36" spans="1:29" ht="15">
      <c r="A36" s="674"/>
      <c r="B36" s="1387">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0"/>
      <c r="M36" s="1131"/>
      <c r="N36" s="1131"/>
      <c r="O36" s="1139"/>
      <c r="P36" s="3249" t="s">
        <v>2564</v>
      </c>
      <c r="Q36" s="1810">
        <f t="shared" si="8"/>
        <v>111</v>
      </c>
      <c r="R36" s="771" t="s">
        <v>17</v>
      </c>
      <c r="S36" s="772">
        <f t="shared" si="10"/>
        <v>100</v>
      </c>
      <c r="T36" s="771" t="s">
        <v>17</v>
      </c>
      <c r="U36" s="772">
        <f t="shared" si="11"/>
        <v>100</v>
      </c>
      <c r="V36" s="771" t="s">
        <v>17</v>
      </c>
      <c r="W36" s="772">
        <f t="shared" si="12"/>
        <v>100</v>
      </c>
      <c r="X36" s="1813"/>
      <c r="Y36" s="3203" t="s">
        <v>2564</v>
      </c>
      <c r="Z36" s="1814">
        <f t="shared" si="13"/>
        <v>111</v>
      </c>
      <c r="AA36" s="1811">
        <f t="shared" si="3"/>
        <v>1</v>
      </c>
      <c r="AB36" s="1811">
        <f t="shared" si="4"/>
        <v>1</v>
      </c>
      <c r="AC36" s="1811">
        <f t="shared" si="5"/>
        <v>1</v>
      </c>
    </row>
    <row r="37" spans="1:29" s="471" customFormat="1" ht="15.75" thickBot="1">
      <c r="A37" s="675"/>
      <c r="B37" s="1388">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8"/>
      <c r="M37" s="1141"/>
      <c r="N37" s="1141"/>
      <c r="O37" s="1142"/>
      <c r="P37" s="3203"/>
      <c r="Q37" s="1810">
        <f t="shared" si="8"/>
        <v>111</v>
      </c>
      <c r="R37" s="774" t="s">
        <v>17</v>
      </c>
      <c r="S37" s="775">
        <f t="shared" si="10"/>
        <v>100</v>
      </c>
      <c r="T37" s="774" t="s">
        <v>17</v>
      </c>
      <c r="U37" s="775">
        <f t="shared" si="11"/>
        <v>100</v>
      </c>
      <c r="V37" s="774" t="s">
        <v>17</v>
      </c>
      <c r="W37" s="775">
        <f t="shared" si="12"/>
        <v>100</v>
      </c>
      <c r="X37" s="776"/>
      <c r="Y37" s="3203"/>
      <c r="Z37" s="777">
        <f t="shared" si="13"/>
        <v>111</v>
      </c>
      <c r="AA37" s="1811">
        <f t="shared" si="3"/>
        <v>1</v>
      </c>
      <c r="AB37" s="1811">
        <f t="shared" si="4"/>
        <v>1</v>
      </c>
      <c r="AC37" s="1811">
        <f t="shared" si="5"/>
        <v>1</v>
      </c>
    </row>
    <row r="38" spans="1:29" ht="15">
      <c r="A38" s="472" t="s">
        <v>2562</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0"/>
      <c r="M38" s="1131"/>
      <c r="N38" s="1131"/>
      <c r="O38" s="1139"/>
      <c r="P38" s="3203"/>
      <c r="Q38" s="1810" t="str">
        <f>B38</f>
        <v>宗地面积</v>
      </c>
      <c r="R38" s="771" t="s">
        <v>17</v>
      </c>
      <c r="S38" s="772" t="e">
        <f t="shared" si="10"/>
        <v>#N/A</v>
      </c>
      <c r="T38" s="771" t="s">
        <v>17</v>
      </c>
      <c r="U38" s="772" t="e">
        <f t="shared" si="11"/>
        <v>#N/A</v>
      </c>
      <c r="V38" s="771" t="s">
        <v>17</v>
      </c>
      <c r="W38" s="772" t="e">
        <f t="shared" si="12"/>
        <v>#N/A</v>
      </c>
      <c r="X38" s="1813"/>
      <c r="Y38" s="3203"/>
      <c r="Z38" s="1814" t="str">
        <f t="shared" si="13"/>
        <v>宗地面积</v>
      </c>
      <c r="AA38" s="1811" t="e">
        <f t="shared" si="3"/>
        <v>#N/A</v>
      </c>
      <c r="AB38" s="1811" t="e">
        <f t="shared" si="4"/>
        <v>#N/A</v>
      </c>
      <c r="AC38" s="1811" t="e">
        <f t="shared" si="5"/>
        <v>#N/A</v>
      </c>
    </row>
    <row r="39" spans="1:29" ht="15">
      <c r="A39" s="472"/>
      <c r="B39" s="422" t="s">
        <v>2750</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03"/>
      <c r="Q39" s="1810" t="str">
        <f t="shared" ref="Q39:Q45" si="14">B39</f>
        <v>宗地形状</v>
      </c>
      <c r="R39" s="771" t="s">
        <v>17</v>
      </c>
      <c r="S39" s="772">
        <f t="shared" si="10"/>
        <v>100</v>
      </c>
      <c r="T39" s="771" t="s">
        <v>17</v>
      </c>
      <c r="U39" s="772">
        <f t="shared" si="11"/>
        <v>100</v>
      </c>
      <c r="V39" s="771" t="s">
        <v>17</v>
      </c>
      <c r="W39" s="772">
        <f t="shared" si="12"/>
        <v>100</v>
      </c>
      <c r="X39" s="1813"/>
      <c r="Y39" s="3203"/>
      <c r="Z39" s="1814" t="str">
        <f t="shared" si="13"/>
        <v>宗地形状</v>
      </c>
      <c r="AA39" s="1811">
        <f t="shared" si="3"/>
        <v>1</v>
      </c>
      <c r="AB39" s="1811">
        <f t="shared" si="4"/>
        <v>1</v>
      </c>
      <c r="AC39" s="1811">
        <f t="shared" si="5"/>
        <v>1</v>
      </c>
    </row>
    <row r="40" spans="1:29" ht="15">
      <c r="A40" s="472"/>
      <c r="B40" s="422" t="s">
        <v>2751</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03"/>
      <c r="Q40" s="1810" t="str">
        <f t="shared" si="14"/>
        <v>临街宽度及深度</v>
      </c>
      <c r="R40" s="771" t="s">
        <v>17</v>
      </c>
      <c r="S40" s="772">
        <f t="shared" si="10"/>
        <v>100</v>
      </c>
      <c r="T40" s="771" t="s">
        <v>17</v>
      </c>
      <c r="U40" s="772">
        <f t="shared" si="11"/>
        <v>100</v>
      </c>
      <c r="V40" s="771" t="s">
        <v>17</v>
      </c>
      <c r="W40" s="772">
        <f t="shared" si="12"/>
        <v>100</v>
      </c>
      <c r="X40" s="1813"/>
      <c r="Y40" s="3203"/>
      <c r="Z40" s="1814" t="str">
        <f t="shared" si="13"/>
        <v>临街宽度及深度</v>
      </c>
      <c r="AA40" s="1811">
        <f t="shared" si="3"/>
        <v>1</v>
      </c>
      <c r="AB40" s="1811">
        <f t="shared" si="4"/>
        <v>1</v>
      </c>
      <c r="AC40" s="1811">
        <f t="shared" si="5"/>
        <v>1</v>
      </c>
    </row>
    <row r="41" spans="1:29" s="117" customFormat="1" ht="15">
      <c r="A41" s="473"/>
      <c r="B41" s="422" t="s">
        <v>2752</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03"/>
      <c r="Q41" s="1810" t="str">
        <f t="shared" si="14"/>
        <v>宗地开发程度</v>
      </c>
      <c r="R41" s="767" t="s">
        <v>17</v>
      </c>
      <c r="S41" s="768">
        <f t="shared" si="10"/>
        <v>100</v>
      </c>
      <c r="T41" s="767" t="s">
        <v>17</v>
      </c>
      <c r="U41" s="768">
        <f t="shared" si="11"/>
        <v>100</v>
      </c>
      <c r="V41" s="767" t="s">
        <v>17</v>
      </c>
      <c r="W41" s="768">
        <f t="shared" si="12"/>
        <v>100</v>
      </c>
      <c r="X41" s="769"/>
      <c r="Y41" s="3203"/>
      <c r="Z41" s="55" t="str">
        <f t="shared" si="13"/>
        <v>宗地开发程度</v>
      </c>
      <c r="AA41" s="770">
        <f t="shared" si="3"/>
        <v>1</v>
      </c>
      <c r="AB41" s="770">
        <f t="shared" si="4"/>
        <v>1</v>
      </c>
      <c r="AC41" s="770">
        <f t="shared" si="5"/>
        <v>1</v>
      </c>
    </row>
    <row r="42" spans="1:29" ht="15">
      <c r="A42" s="472"/>
      <c r="B42" s="422" t="s">
        <v>2753</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03" t="s">
        <v>2564</v>
      </c>
      <c r="Q42" s="1810" t="str">
        <f t="shared" si="14"/>
        <v>工程地质条件</v>
      </c>
      <c r="R42" s="771" t="s">
        <v>17</v>
      </c>
      <c r="S42" s="772">
        <f t="shared" si="10"/>
        <v>100</v>
      </c>
      <c r="T42" s="771" t="s">
        <v>17</v>
      </c>
      <c r="U42" s="772">
        <f t="shared" si="11"/>
        <v>100</v>
      </c>
      <c r="V42" s="771" t="s">
        <v>17</v>
      </c>
      <c r="W42" s="772">
        <f t="shared" si="12"/>
        <v>100</v>
      </c>
      <c r="X42" s="1813"/>
      <c r="Y42" s="3203" t="s">
        <v>2564</v>
      </c>
      <c r="Z42" s="1814" t="str">
        <f t="shared" si="13"/>
        <v>工程地质条件</v>
      </c>
      <c r="AA42" s="1811">
        <f t="shared" si="3"/>
        <v>1</v>
      </c>
      <c r="AB42" s="1811">
        <f t="shared" si="4"/>
        <v>1</v>
      </c>
      <c r="AC42" s="1811">
        <f t="shared" si="5"/>
        <v>1</v>
      </c>
    </row>
    <row r="43" spans="1:29" ht="15">
      <c r="A43" s="472"/>
      <c r="B43" s="1387">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0"/>
      <c r="M43" s="1131"/>
      <c r="N43" s="1131"/>
      <c r="O43" s="1139"/>
      <c r="P43" s="3203"/>
      <c r="Q43" s="1810">
        <f t="shared" si="14"/>
        <v>111</v>
      </c>
      <c r="R43" s="771" t="s">
        <v>17</v>
      </c>
      <c r="S43" s="772">
        <f t="shared" si="10"/>
        <v>100</v>
      </c>
      <c r="T43" s="771" t="s">
        <v>17</v>
      </c>
      <c r="U43" s="772">
        <f t="shared" si="11"/>
        <v>100</v>
      </c>
      <c r="V43" s="771" t="s">
        <v>17</v>
      </c>
      <c r="W43" s="772">
        <f t="shared" si="12"/>
        <v>100</v>
      </c>
      <c r="X43" s="1813"/>
      <c r="Y43" s="3203"/>
      <c r="Z43" s="1814">
        <f t="shared" si="13"/>
        <v>111</v>
      </c>
      <c r="AA43" s="1811">
        <f t="shared" si="3"/>
        <v>1</v>
      </c>
      <c r="AB43" s="1811">
        <f t="shared" si="4"/>
        <v>1</v>
      </c>
      <c r="AC43" s="1811">
        <f t="shared" si="5"/>
        <v>1</v>
      </c>
    </row>
    <row r="44" spans="1:29" ht="15">
      <c r="A44" s="472"/>
      <c r="B44" s="1387">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0"/>
      <c r="M44" s="1131"/>
      <c r="N44" s="1131"/>
      <c r="O44" s="1139"/>
      <c r="P44" s="3203"/>
      <c r="Q44" s="1810">
        <f t="shared" si="14"/>
        <v>111</v>
      </c>
      <c r="R44" s="771" t="s">
        <v>17</v>
      </c>
      <c r="S44" s="772">
        <f t="shared" si="10"/>
        <v>100</v>
      </c>
      <c r="T44" s="771" t="s">
        <v>17</v>
      </c>
      <c r="U44" s="772">
        <f t="shared" si="11"/>
        <v>100</v>
      </c>
      <c r="V44" s="771" t="s">
        <v>17</v>
      </c>
      <c r="W44" s="772">
        <f t="shared" si="12"/>
        <v>100</v>
      </c>
      <c r="X44" s="1813"/>
      <c r="Y44" s="3203"/>
      <c r="Z44" s="1814">
        <f t="shared" si="13"/>
        <v>111</v>
      </c>
      <c r="AA44" s="1811">
        <f t="shared" si="3"/>
        <v>1</v>
      </c>
      <c r="AB44" s="1811">
        <f t="shared" si="4"/>
        <v>1</v>
      </c>
      <c r="AC44" s="1811">
        <f t="shared" si="5"/>
        <v>1</v>
      </c>
    </row>
    <row r="45" spans="1:29" s="471" customFormat="1" ht="15.75" thickBot="1">
      <c r="A45" s="468"/>
      <c r="B45" s="1387">
        <v>111</v>
      </c>
      <c r="C45" s="2702"/>
      <c r="D45" s="679">
        <v>100</v>
      </c>
      <c r="E45" s="673"/>
      <c r="F45" s="438">
        <f>SUMIF(131:131,E45,132:132)-SUMIF(131:131,C45,132:132)+100</f>
        <v>100</v>
      </c>
      <c r="G45" s="673"/>
      <c r="H45" s="438">
        <f>SUMIF(131:131,G45,132:132)-SUMIF(131:131,C45,132:132)+100</f>
        <v>100</v>
      </c>
      <c r="I45" s="673"/>
      <c r="J45" s="438">
        <f>SUMIF(131:131,I45,132:132)-SUMIF(131:131,C45,132:132)+100</f>
        <v>100</v>
      </c>
      <c r="K45" s="680"/>
      <c r="L45" s="1138"/>
      <c r="M45" s="1141"/>
      <c r="N45" s="1141"/>
      <c r="O45" s="1142"/>
      <c r="P45" s="3203"/>
      <c r="Q45" s="1810">
        <f t="shared" si="14"/>
        <v>111</v>
      </c>
      <c r="R45" s="774" t="s">
        <v>17</v>
      </c>
      <c r="S45" s="775">
        <f t="shared" si="10"/>
        <v>100</v>
      </c>
      <c r="T45" s="774" t="s">
        <v>17</v>
      </c>
      <c r="U45" s="775">
        <f t="shared" si="11"/>
        <v>100</v>
      </c>
      <c r="V45" s="774" t="s">
        <v>17</v>
      </c>
      <c r="W45" s="775">
        <f t="shared" si="12"/>
        <v>100</v>
      </c>
      <c r="X45" s="776"/>
      <c r="Y45" s="3203"/>
      <c r="Z45" s="777">
        <f t="shared" si="13"/>
        <v>111</v>
      </c>
      <c r="AA45" s="1811">
        <f t="shared" si="3"/>
        <v>1</v>
      </c>
      <c r="AB45" s="1811">
        <f t="shared" si="4"/>
        <v>1</v>
      </c>
      <c r="AC45" s="1811">
        <f t="shared" si="5"/>
        <v>1</v>
      </c>
    </row>
    <row r="46" spans="1:29" ht="15">
      <c r="A46" s="479" t="s">
        <v>2718</v>
      </c>
      <c r="B46" s="2703" t="s">
        <v>2754</v>
      </c>
      <c r="C46" s="681" t="s">
        <v>1</v>
      </c>
      <c r="D46" s="481"/>
      <c r="E46" s="482"/>
      <c r="F46" s="483"/>
      <c r="G46" s="484"/>
      <c r="H46" s="485"/>
      <c r="I46" s="482"/>
      <c r="J46" s="485"/>
      <c r="K46" s="780"/>
      <c r="L46" s="1143"/>
      <c r="M46" s="1144"/>
      <c r="N46" s="1131"/>
      <c r="O46" s="1144"/>
      <c r="P46" s="3205" t="str">
        <f>A46</f>
        <v>成交单价</v>
      </c>
      <c r="Q46" s="3205"/>
      <c r="R46" s="3165">
        <f>E46</f>
        <v>0</v>
      </c>
      <c r="S46" s="3165"/>
      <c r="T46" s="3165">
        <f>G46</f>
        <v>0</v>
      </c>
      <c r="U46" s="3165"/>
      <c r="V46" s="3165">
        <f>I46</f>
        <v>0</v>
      </c>
      <c r="W46" s="3165"/>
      <c r="X46" s="756"/>
      <c r="Y46" s="778"/>
      <c r="Z46" s="756"/>
      <c r="AA46" s="756"/>
      <c r="AB46" s="756"/>
      <c r="AC46" s="756"/>
    </row>
    <row r="47" spans="1:29" ht="15.75" thickBot="1">
      <c r="A47" s="486" t="s">
        <v>2667</v>
      </c>
      <c r="B47" s="682"/>
      <c r="C47" s="490" t="e">
        <f>R48</f>
        <v>#DIV/0!</v>
      </c>
      <c r="D47" s="489"/>
      <c r="E47" s="490" t="e">
        <f>R47</f>
        <v>#DIV/0!</v>
      </c>
      <c r="F47" s="491"/>
      <c r="G47" s="488" t="e">
        <f>T47</f>
        <v>#DIV/0!</v>
      </c>
      <c r="H47" s="489"/>
      <c r="I47" s="490" t="e">
        <f>V47</f>
        <v>#DIV/0!</v>
      </c>
      <c r="J47" s="489"/>
      <c r="K47" s="781"/>
      <c r="L47" s="1143"/>
      <c r="M47" s="1144"/>
      <c r="N47" s="1144"/>
      <c r="O47" s="1144"/>
      <c r="P47" s="3205" t="str">
        <f>A47</f>
        <v>比较价值（元/平方米）</v>
      </c>
      <c r="Q47" s="3205"/>
      <c r="R47" s="3250" t="e">
        <f>ROUND(PRODUCT(R46,AA7:AA45),0)</f>
        <v>#DIV/0!</v>
      </c>
      <c r="S47" s="3250"/>
      <c r="T47" s="3250" t="e">
        <f>ROUND(PRODUCT(T46,AB7:AB45),0)</f>
        <v>#DIV/0!</v>
      </c>
      <c r="U47" s="3250"/>
      <c r="V47" s="3250" t="e">
        <f>ROUND(PRODUCT(V46,AC7:AC45),0)</f>
        <v>#DIV/0!</v>
      </c>
      <c r="W47" s="3250"/>
      <c r="X47" s="756"/>
      <c r="Y47" s="756"/>
      <c r="Z47" s="756"/>
      <c r="AA47" s="756"/>
      <c r="AB47" s="756"/>
      <c r="AC47" s="756"/>
    </row>
    <row r="48" spans="1:29" ht="15.75" thickBot="1">
      <c r="A48" s="492" t="s">
        <v>2755</v>
      </c>
      <c r="B48" s="493"/>
      <c r="C48" s="494" t="e">
        <f>R48</f>
        <v>#DIV/0!</v>
      </c>
      <c r="D48" s="494"/>
      <c r="E48" s="494"/>
      <c r="F48" s="494"/>
      <c r="G48" s="494"/>
      <c r="H48" s="494"/>
      <c r="I48" s="494"/>
      <c r="J48" s="494"/>
      <c r="K48" s="782"/>
      <c r="L48" s="1143"/>
      <c r="M48" s="1144"/>
      <c r="N48" s="1144"/>
      <c r="O48" s="1144"/>
      <c r="P48" s="3207" t="str">
        <f>A48</f>
        <v>估价对象XX用房的比较价值（楼面单价，元/平方米）</v>
      </c>
      <c r="Q48" s="3208"/>
      <c r="R48" s="3251" t="e">
        <f>ROUND(AVERAGE(R47:V47),0)</f>
        <v>#DIV/0!</v>
      </c>
      <c r="S48" s="3251"/>
      <c r="T48" s="3251"/>
      <c r="U48" s="3251"/>
      <c r="V48" s="3251"/>
      <c r="W48" s="3251"/>
      <c r="X48" s="756"/>
      <c r="Y48" s="756"/>
      <c r="Z48" s="756"/>
      <c r="AA48" s="756"/>
      <c r="AB48" s="756"/>
      <c r="AC48" s="756"/>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59"/>
      <c r="D54" s="757"/>
      <c r="E54" s="757"/>
      <c r="F54" s="757"/>
      <c r="G54" s="757"/>
      <c r="H54" s="757"/>
      <c r="I54" s="757"/>
      <c r="J54" s="757"/>
      <c r="K54" s="1148"/>
      <c r="L54" s="1149"/>
      <c r="M54" s="1145"/>
      <c r="N54" s="1145"/>
      <c r="O54" s="1145"/>
    </row>
    <row r="55" spans="1:15" ht="27" customHeight="1">
      <c r="A55" s="683" t="s">
        <v>2756</v>
      </c>
      <c r="B55" s="684" t="s">
        <v>2757</v>
      </c>
      <c r="C55" s="2704" t="s">
        <v>2758</v>
      </c>
      <c r="D55" s="2705" t="s">
        <v>2759</v>
      </c>
      <c r="E55" s="685" t="s">
        <v>2760</v>
      </c>
      <c r="F55" s="1107" t="s">
        <v>2761</v>
      </c>
      <c r="G55" s="3183" t="s">
        <v>2762</v>
      </c>
      <c r="H55" s="3252"/>
      <c r="I55" s="144" t="s">
        <v>2763</v>
      </c>
      <c r="J55" s="2706" t="str">
        <f>项目基本情况!F35</f>
        <v>湖北省武汉市江夏区江夏经济开发区街文化大道36号鹏湖湾二期2-4栋/单元1-2层1号等31套商业用房</v>
      </c>
      <c r="K55" s="2707" t="s">
        <v>2764</v>
      </c>
      <c r="L55" s="1106"/>
      <c r="M55" s="1144"/>
      <c r="N55" s="1144"/>
      <c r="O55" s="1144"/>
    </row>
    <row r="56" spans="1:15" s="691" customFormat="1">
      <c r="A56" s="687" t="s">
        <v>2765</v>
      </c>
      <c r="B56" s="688" t="e">
        <f>C48</f>
        <v>#DIV/0!</v>
      </c>
      <c r="C56" s="689">
        <v>1</v>
      </c>
      <c r="D56" s="1163">
        <v>1</v>
      </c>
      <c r="E56" s="689">
        <f>'数据-汇总表'!E8+'数据-汇总表'!E9</f>
        <v>8582.619999999999</v>
      </c>
      <c r="F56" s="1103" t="e">
        <f t="shared" ref="F56:F65" si="15">ROUND(B56*E56/10000,0)</f>
        <v>#DIV/0!</v>
      </c>
      <c r="G56" s="3182"/>
      <c r="H56" s="3205"/>
      <c r="I56" s="1108">
        <v>1</v>
      </c>
      <c r="J56" s="1111">
        <v>1</v>
      </c>
      <c r="K56" s="1145"/>
      <c r="L56" s="941"/>
      <c r="M56" s="941"/>
      <c r="N56" s="941"/>
      <c r="O56" s="941"/>
    </row>
    <row r="57" spans="1:15" s="691" customFormat="1">
      <c r="A57" s="692" t="s">
        <v>2766</v>
      </c>
      <c r="B57" s="262" t="e">
        <f>ROUND($C$48*C57*D57,0)</f>
        <v>#DIV/0!</v>
      </c>
      <c r="C57" s="200">
        <f t="shared" ref="C57:C65" si="16">IF($C$55="北京市系数",I57,J57)</f>
        <v>0</v>
      </c>
      <c r="D57" s="1164">
        <v>0.25</v>
      </c>
      <c r="E57" s="693"/>
      <c r="F57" s="1103" t="e">
        <f t="shared" si="15"/>
        <v>#DIV/0!</v>
      </c>
      <c r="G57" s="3253" t="s">
        <v>2767</v>
      </c>
      <c r="H57" s="1104">
        <f>项目基本情况!B37</f>
        <v>0</v>
      </c>
      <c r="I57" s="1108">
        <f>SUMIF(修正!A45:A56,H57,修正!B45:B56)</f>
        <v>0</v>
      </c>
      <c r="J57" s="1112"/>
      <c r="K57" s="1144"/>
      <c r="L57" s="941"/>
      <c r="M57" s="941"/>
      <c r="N57" s="941"/>
      <c r="O57" s="941"/>
    </row>
    <row r="58" spans="1:15" s="691" customFormat="1">
      <c r="A58" s="692" t="s">
        <v>2768</v>
      </c>
      <c r="B58" s="262" t="e">
        <f t="shared" ref="B58:B65" si="17">ROUND($C$48*C58*D58,0)</f>
        <v>#DIV/0!</v>
      </c>
      <c r="C58" s="200">
        <f t="shared" si="16"/>
        <v>0</v>
      </c>
      <c r="D58" s="1164">
        <v>0.25</v>
      </c>
      <c r="E58" s="693"/>
      <c r="F58" s="1103" t="e">
        <f t="shared" si="15"/>
        <v>#DIV/0!</v>
      </c>
      <c r="G58" s="3253"/>
      <c r="H58" s="1104">
        <f>项目基本情况!B37</f>
        <v>0</v>
      </c>
      <c r="I58" s="1108">
        <f>SUMIF(修正!A45:A56,H58,修正!C45:C56)</f>
        <v>0</v>
      </c>
      <c r="J58" s="1112"/>
      <c r="K58" s="1145"/>
      <c r="L58" s="941"/>
      <c r="M58" s="941"/>
      <c r="N58" s="941"/>
      <c r="O58" s="941"/>
    </row>
    <row r="59" spans="1:15" s="691" customFormat="1">
      <c r="A59" s="692" t="s">
        <v>2769</v>
      </c>
      <c r="B59" s="262" t="e">
        <f t="shared" si="17"/>
        <v>#DIV/0!</v>
      </c>
      <c r="C59" s="200">
        <f t="shared" si="16"/>
        <v>0</v>
      </c>
      <c r="D59" s="1164">
        <v>0.25</v>
      </c>
      <c r="E59" s="693"/>
      <c r="F59" s="1103" t="e">
        <f t="shared" si="15"/>
        <v>#DIV/0!</v>
      </c>
      <c r="G59" s="3253"/>
      <c r="H59" s="1104">
        <f>项目基本情况!B37</f>
        <v>0</v>
      </c>
      <c r="I59" s="1108">
        <f>SUMIF(修正!A45:A56,H59,修正!D45:D56)</f>
        <v>0</v>
      </c>
      <c r="J59" s="1112"/>
      <c r="K59" s="1144"/>
      <c r="L59" s="941"/>
      <c r="M59" s="941"/>
      <c r="N59" s="941"/>
      <c r="O59" s="941"/>
    </row>
    <row r="60" spans="1:15" s="691" customFormat="1">
      <c r="A60" s="692" t="s">
        <v>2770</v>
      </c>
      <c r="B60" s="262" t="e">
        <f t="shared" si="17"/>
        <v>#DIV/0!</v>
      </c>
      <c r="C60" s="200">
        <f t="shared" si="16"/>
        <v>0</v>
      </c>
      <c r="D60" s="1164">
        <v>0.25</v>
      </c>
      <c r="E60" s="693"/>
      <c r="F60" s="1103" t="e">
        <f t="shared" si="15"/>
        <v>#DIV/0!</v>
      </c>
      <c r="G60" s="3253"/>
      <c r="H60" s="1104">
        <f>项目基本情况!B37</f>
        <v>0</v>
      </c>
      <c r="I60" s="1108">
        <f>SUMIF(修正!A45:A56,H60,修正!E45:E56)</f>
        <v>0</v>
      </c>
      <c r="J60" s="1112"/>
      <c r="K60" s="1145"/>
      <c r="L60" s="941"/>
      <c r="M60" s="941"/>
      <c r="N60" s="941"/>
      <c r="O60" s="941"/>
    </row>
    <row r="61" spans="1:15" s="691" customFormat="1">
      <c r="A61" s="692" t="s">
        <v>2771</v>
      </c>
      <c r="B61" s="262" t="e">
        <f t="shared" si="17"/>
        <v>#DIV/0!</v>
      </c>
      <c r="C61" s="200">
        <f t="shared" si="16"/>
        <v>0</v>
      </c>
      <c r="D61" s="1164">
        <v>0.25</v>
      </c>
      <c r="E61" s="261">
        <f>'数据-汇总表'!E11</f>
        <v>0</v>
      </c>
      <c r="F61" s="1103" t="e">
        <f t="shared" si="15"/>
        <v>#DIV/0!</v>
      </c>
      <c r="G61" s="2708" t="s">
        <v>2772</v>
      </c>
      <c r="H61" s="1104">
        <f>项目基本情况!C37</f>
        <v>0</v>
      </c>
      <c r="I61" s="1108">
        <f>SUMIF(修正!A45:A56,H61,修正!F45:F56)</f>
        <v>0</v>
      </c>
      <c r="J61" s="1112"/>
      <c r="K61" s="1144"/>
      <c r="L61" s="941"/>
      <c r="M61" s="941"/>
      <c r="N61" s="941"/>
      <c r="O61" s="941"/>
    </row>
    <row r="62" spans="1:15" s="691" customFormat="1">
      <c r="A62" s="692" t="s">
        <v>2773</v>
      </c>
      <c r="B62" s="262" t="e">
        <f t="shared" si="17"/>
        <v>#DIV/0!</v>
      </c>
      <c r="C62" s="200">
        <f t="shared" si="16"/>
        <v>0</v>
      </c>
      <c r="D62" s="1164">
        <v>0.25</v>
      </c>
      <c r="E62" s="261">
        <f>'数据-汇总表'!E12</f>
        <v>0</v>
      </c>
      <c r="F62" s="1103" t="e">
        <f t="shared" si="15"/>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1" customFormat="1">
      <c r="A63" s="692" t="s">
        <v>2775</v>
      </c>
      <c r="B63" s="262" t="e">
        <f t="shared" si="17"/>
        <v>#DIV/0!</v>
      </c>
      <c r="C63" s="200">
        <f t="shared" si="16"/>
        <v>0</v>
      </c>
      <c r="D63" s="1164">
        <v>0.25</v>
      </c>
      <c r="E63" s="261">
        <f>'数据-汇总表'!E13</f>
        <v>0</v>
      </c>
      <c r="F63" s="1103" t="e">
        <f t="shared" si="15"/>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1" customFormat="1">
      <c r="A64" s="692" t="s">
        <v>2777</v>
      </c>
      <c r="B64" s="262" t="e">
        <f t="shared" si="17"/>
        <v>#DIV/0!</v>
      </c>
      <c r="C64" s="200">
        <f t="shared" si="16"/>
        <v>0</v>
      </c>
      <c r="D64" s="1164">
        <v>0.25</v>
      </c>
      <c r="E64" s="261">
        <f>'数据-汇总表'!E14</f>
        <v>0</v>
      </c>
      <c r="F64" s="1103" t="e">
        <f t="shared" si="15"/>
        <v>#DIV/0!</v>
      </c>
      <c r="G64" s="2708" t="s">
        <v>2767</v>
      </c>
      <c r="H64" s="1104">
        <f>项目基本情况!B37</f>
        <v>0</v>
      </c>
      <c r="I64" s="1108">
        <f>SUMIF(修正!A45:A56,H64,修正!H45:H56)</f>
        <v>0</v>
      </c>
      <c r="J64" s="1112"/>
      <c r="K64" s="1145"/>
      <c r="L64" s="941"/>
      <c r="M64" s="941"/>
      <c r="N64" s="941"/>
      <c r="O64" s="941"/>
    </row>
    <row r="65" spans="1:17" s="691" customFormat="1" ht="15" thickBot="1">
      <c r="A65" s="692" t="s">
        <v>2778</v>
      </c>
      <c r="B65" s="262" t="e">
        <f t="shared" si="17"/>
        <v>#DIV/0!</v>
      </c>
      <c r="C65" s="200">
        <f t="shared" si="16"/>
        <v>0</v>
      </c>
      <c r="D65" s="1164">
        <v>0.25</v>
      </c>
      <c r="E65" s="261">
        <f>'数据-汇总表'!E15</f>
        <v>0</v>
      </c>
      <c r="F65" s="1103" t="e">
        <f t="shared" si="15"/>
        <v>#DIV/0!</v>
      </c>
      <c r="G65" s="2709" t="s">
        <v>2772</v>
      </c>
      <c r="H65" s="1114">
        <f>项目基本情况!C37</f>
        <v>0</v>
      </c>
      <c r="I65" s="1110">
        <f>SUMIF(修正!A45:A56,H65,修正!H45:H56)</f>
        <v>0</v>
      </c>
      <c r="J65" s="1113"/>
      <c r="K65" s="1144"/>
      <c r="L65" s="941"/>
      <c r="M65" s="941"/>
      <c r="N65" s="941"/>
      <c r="O65" s="941"/>
    </row>
    <row r="66" spans="1:17" s="691" customFormat="1" ht="13.5" thickBot="1">
      <c r="A66" s="694" t="s">
        <v>2779</v>
      </c>
      <c r="B66" s="695" t="s">
        <v>28</v>
      </c>
      <c r="C66" s="695" t="s">
        <v>29</v>
      </c>
      <c r="D66" s="695" t="s">
        <v>1029</v>
      </c>
      <c r="E66" s="695">
        <f>IF(B46="楼面地价",SUM(E56:E65),'数据-汇总表'!D3)</f>
        <v>8582.619999999999</v>
      </c>
      <c r="F66" s="696" t="e">
        <f>IF(B46="楼面地价",SUM(F56:F65),ROUND(C48*E66/10000,0))</f>
        <v>#DIV/0!</v>
      </c>
      <c r="G66" s="784"/>
      <c r="H66" s="784"/>
      <c r="I66" s="784"/>
      <c r="J66" s="784"/>
      <c r="K66" s="1158"/>
      <c r="L66" s="941"/>
      <c r="M66" s="941"/>
      <c r="N66" s="941"/>
      <c r="O66" s="941"/>
    </row>
    <row r="67" spans="1:17">
      <c r="A67" s="756"/>
      <c r="B67" s="758"/>
      <c r="C67" s="759"/>
      <c r="D67" s="756"/>
      <c r="E67" s="756"/>
      <c r="F67" s="756"/>
      <c r="G67" s="756"/>
      <c r="H67" s="756"/>
      <c r="I67" s="756"/>
      <c r="J67" s="1144"/>
      <c r="K67" s="1105"/>
      <c r="L67" s="1106"/>
      <c r="M67" s="1144"/>
      <c r="N67" s="1144"/>
      <c r="O67" s="1144"/>
    </row>
    <row r="68" spans="1:17">
      <c r="A68" s="756"/>
      <c r="B68" s="758"/>
      <c r="C68" s="758" t="str">
        <f>YEAR(C7)&amp;"-"&amp;MONTH(C7)&amp;"-1"</f>
        <v>2018-6-1</v>
      </c>
      <c r="D68" s="758">
        <f>EDATE(C68,-3)</f>
        <v>43160</v>
      </c>
      <c r="E68" s="758">
        <f>EDATE(D68,-3)</f>
        <v>43070</v>
      </c>
      <c r="F68" s="758">
        <f t="shared" ref="F68:O68" si="18">EDATE(E68,-3)</f>
        <v>42979</v>
      </c>
      <c r="G68" s="758">
        <f t="shared" si="18"/>
        <v>42887</v>
      </c>
      <c r="H68" s="758">
        <f t="shared" si="18"/>
        <v>42795</v>
      </c>
      <c r="I68" s="758">
        <f t="shared" si="18"/>
        <v>42705</v>
      </c>
      <c r="J68" s="758">
        <f t="shared" si="18"/>
        <v>42614</v>
      </c>
      <c r="K68" s="758">
        <f t="shared" si="18"/>
        <v>42522</v>
      </c>
      <c r="L68" s="758">
        <f t="shared" si="18"/>
        <v>42430</v>
      </c>
      <c r="M68" s="758">
        <f t="shared" si="18"/>
        <v>42339</v>
      </c>
      <c r="N68" s="758">
        <f t="shared" si="18"/>
        <v>42248</v>
      </c>
      <c r="O68" s="758">
        <f t="shared" si="18"/>
        <v>42156</v>
      </c>
    </row>
    <row r="69" spans="1:17" ht="21.75" thickBot="1">
      <c r="A69" s="760" t="s">
        <v>2672</v>
      </c>
      <c r="B69" s="756"/>
      <c r="C69" s="761"/>
      <c r="D69" s="761"/>
      <c r="E69" s="761"/>
      <c r="F69" s="762"/>
      <c r="G69" s="762"/>
      <c r="H69" s="761"/>
      <c r="I69" s="761"/>
      <c r="J69" s="1159"/>
      <c r="K69" s="1160"/>
      <c r="L69" s="1161"/>
      <c r="M69" s="1159"/>
      <c r="N69" s="1159"/>
      <c r="O69" s="1159"/>
      <c r="P69" s="503"/>
      <c r="Q69" s="504"/>
    </row>
    <row r="70" spans="1:17" s="508" customFormat="1" ht="15">
      <c r="A70" s="2710" t="s">
        <v>2780</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7"/>
    </row>
    <row r="71" spans="1:17" s="117" customFormat="1" ht="30" customHeight="1">
      <c r="A71" s="2711" t="s">
        <v>2781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8">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2695</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7"/>
      <c r="M96" s="621"/>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1"/>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59" t="s">
        <v>2673</v>
      </c>
      <c r="D102" s="659" t="s">
        <v>2674</v>
      </c>
      <c r="E102" s="659" t="s">
        <v>2675</v>
      </c>
      <c r="F102" s="659" t="s">
        <v>2676</v>
      </c>
      <c r="G102" s="659" t="s">
        <v>2677</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4"/>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6"/>
      <c r="E115" s="676"/>
      <c r="F115" s="676"/>
      <c r="G115" s="676"/>
      <c r="H115" s="676"/>
      <c r="I115" s="676"/>
      <c r="J115" s="676"/>
      <c r="K115" s="676"/>
      <c r="L115" s="676"/>
      <c r="M115" s="698"/>
      <c r="N115" s="1153"/>
      <c r="O115" s="1153"/>
      <c r="P115" s="558"/>
      <c r="Q115" s="559"/>
    </row>
    <row r="116" spans="1:17">
      <c r="A116" s="527" t="s">
        <v>2562</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699"/>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2"/>
      <c r="E1" s="752"/>
      <c r="F1" s="751" t="s">
        <v>2642</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2326</v>
      </c>
      <c r="B2" s="670" t="e">
        <f>F61</f>
        <v>#DIV/0!</v>
      </c>
      <c r="C2" s="1125"/>
      <c r="D2" s="1125"/>
      <c r="E2" s="1125"/>
      <c r="F2" s="1126"/>
      <c r="G2" s="1125"/>
      <c r="H2" s="1125"/>
      <c r="I2" s="1125"/>
      <c r="J2" s="1125"/>
      <c r="K2" s="1127"/>
      <c r="L2" s="1128"/>
      <c r="M2" s="1129"/>
      <c r="N2" s="1129"/>
      <c r="O2" s="1129"/>
      <c r="P2" s="765"/>
      <c r="Q2" s="765"/>
      <c r="R2" s="765"/>
      <c r="S2" s="765"/>
      <c r="T2" s="765"/>
      <c r="U2" s="765"/>
      <c r="V2" s="765"/>
      <c r="W2" s="765"/>
      <c r="X2" s="765"/>
      <c r="Y2" s="765"/>
      <c r="Z2" s="765"/>
      <c r="AA2" s="765"/>
      <c r="AB2" s="765"/>
      <c r="AC2" s="766"/>
    </row>
    <row r="3" spans="1:29"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5"/>
      <c r="Q3" s="765"/>
      <c r="R3" s="765"/>
      <c r="S3" s="765"/>
      <c r="T3" s="765"/>
      <c r="U3" s="765"/>
      <c r="V3" s="765"/>
      <c r="W3" s="765"/>
      <c r="X3" s="765"/>
      <c r="Y3" s="765"/>
      <c r="Z3" s="765"/>
      <c r="AA3" s="765"/>
      <c r="AB3" s="783"/>
      <c r="AC3" s="779"/>
    </row>
    <row r="4" spans="1:29" ht="15">
      <c r="A4" s="401" t="s">
        <v>2644</v>
      </c>
      <c r="B4" s="402"/>
      <c r="C4" s="3183" t="s">
        <v>2645</v>
      </c>
      <c r="D4" s="3184"/>
      <c r="E4" s="3185" t="s">
        <v>2646</v>
      </c>
      <c r="F4" s="3186"/>
      <c r="G4" s="3183" t="s">
        <v>2647</v>
      </c>
      <c r="H4" s="3184"/>
      <c r="I4" s="3183" t="s">
        <v>2648</v>
      </c>
      <c r="J4" s="3184"/>
      <c r="K4" s="610" t="s">
        <v>2649</v>
      </c>
      <c r="L4" s="1130"/>
      <c r="M4" s="1131"/>
      <c r="N4" s="1131"/>
      <c r="O4" s="1131"/>
      <c r="P4" s="3187" t="s">
        <v>2650</v>
      </c>
      <c r="Q4" s="3188"/>
      <c r="R4" s="3168" t="s">
        <v>2646</v>
      </c>
      <c r="S4" s="3169"/>
      <c r="T4" s="3168" t="s">
        <v>2647</v>
      </c>
      <c r="U4" s="3169"/>
      <c r="V4" s="3165" t="s">
        <v>2648</v>
      </c>
      <c r="W4" s="3165"/>
      <c r="X4" s="1813"/>
      <c r="Y4" s="3168" t="s">
        <v>2650</v>
      </c>
      <c r="Z4" s="3169"/>
      <c r="AA4" s="3162" t="s">
        <v>2646</v>
      </c>
      <c r="AB4" s="3163" t="s">
        <v>2647</v>
      </c>
      <c r="AC4" s="3162" t="s">
        <v>2648</v>
      </c>
    </row>
    <row r="5" spans="1:29" ht="15">
      <c r="A5" s="404"/>
      <c r="B5" s="405"/>
      <c r="C5" s="3174" t="s">
        <v>2541</v>
      </c>
      <c r="D5" s="3175"/>
      <c r="E5" s="3232" t="s">
        <v>2542</v>
      </c>
      <c r="F5" s="3173"/>
      <c r="G5" s="3174" t="s">
        <v>2543</v>
      </c>
      <c r="H5" s="3175"/>
      <c r="I5" s="3174" t="s">
        <v>2544</v>
      </c>
      <c r="J5" s="3175"/>
      <c r="K5" s="610"/>
      <c r="L5" s="1130"/>
      <c r="M5" s="1131"/>
      <c r="N5" s="1131"/>
      <c r="O5" s="1131"/>
      <c r="P5" s="3189"/>
      <c r="Q5" s="3190"/>
      <c r="R5" s="3170"/>
      <c r="S5" s="3171"/>
      <c r="T5" s="3170"/>
      <c r="U5" s="3171"/>
      <c r="V5" s="3165"/>
      <c r="W5" s="3165"/>
      <c r="X5" s="1813"/>
      <c r="Y5" s="3170"/>
      <c r="Z5" s="3171"/>
      <c r="AA5" s="3163"/>
      <c r="AB5" s="3163"/>
      <c r="AC5" s="3163"/>
    </row>
    <row r="6" spans="1:29" ht="15.75" thickBot="1">
      <c r="A6" s="406"/>
      <c r="B6" s="407"/>
      <c r="C6" s="3254" t="s">
        <v>2795</v>
      </c>
      <c r="D6" s="3255"/>
      <c r="E6" s="3256" t="s">
        <v>2795</v>
      </c>
      <c r="F6" s="3257"/>
      <c r="G6" s="3254" t="s">
        <v>2795</v>
      </c>
      <c r="H6" s="3255"/>
      <c r="I6" s="3254" t="s">
        <v>2795</v>
      </c>
      <c r="J6" s="3255"/>
      <c r="K6" s="610" t="s">
        <v>2546</v>
      </c>
      <c r="L6" s="1130"/>
      <c r="M6" s="1131"/>
      <c r="N6" s="1131"/>
      <c r="O6" s="1131"/>
      <c r="P6" s="3191"/>
      <c r="Q6" s="3192"/>
      <c r="R6" s="3170"/>
      <c r="S6" s="3171"/>
      <c r="T6" s="3193"/>
      <c r="U6" s="3194"/>
      <c r="V6" s="3165"/>
      <c r="W6" s="3165"/>
      <c r="X6" s="1813"/>
      <c r="Y6" s="3193"/>
      <c r="Z6" s="3194"/>
      <c r="AA6" s="3164"/>
      <c r="AB6" s="3164"/>
      <c r="AC6" s="3164"/>
    </row>
    <row r="7" spans="1:29" s="117" customFormat="1" ht="15.75" thickBot="1">
      <c r="A7" s="408" t="s">
        <v>2547</v>
      </c>
      <c r="B7" s="409"/>
      <c r="C7" s="410">
        <f>'数据-取费表'!B2</f>
        <v>43262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66" t="s">
        <v>2548</v>
      </c>
      <c r="Q7" s="3195"/>
      <c r="R7" s="767" t="s">
        <v>17</v>
      </c>
      <c r="S7" s="768">
        <f t="shared" ref="S7:S15" si="0">F7</f>
        <v>0</v>
      </c>
      <c r="T7" s="767" t="s">
        <v>17</v>
      </c>
      <c r="U7" s="768">
        <f t="shared" ref="U7:U15" si="1">H7</f>
        <v>0</v>
      </c>
      <c r="V7" s="767" t="s">
        <v>17</v>
      </c>
      <c r="W7" s="768">
        <f t="shared" ref="W7:W15" si="2">J7</f>
        <v>0</v>
      </c>
      <c r="X7" s="769"/>
      <c r="Y7" s="3166" t="s">
        <v>2548</v>
      </c>
      <c r="Z7" s="3167"/>
      <c r="AA7" s="770" t="e">
        <f>D7/F7</f>
        <v>#DIV/0!</v>
      </c>
      <c r="AB7" s="770" t="e">
        <f>D7/H7</f>
        <v>#DIV/0!</v>
      </c>
      <c r="AC7" s="770"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66" t="s">
        <v>2551</v>
      </c>
      <c r="Q8" s="3167"/>
      <c r="R8" s="767" t="s">
        <v>17</v>
      </c>
      <c r="S8" s="768">
        <f t="shared" si="0"/>
        <v>0</v>
      </c>
      <c r="T8" s="767" t="s">
        <v>17</v>
      </c>
      <c r="U8" s="768">
        <f t="shared" si="1"/>
        <v>0</v>
      </c>
      <c r="V8" s="767" t="s">
        <v>17</v>
      </c>
      <c r="W8" s="768">
        <f t="shared" si="2"/>
        <v>0</v>
      </c>
      <c r="X8" s="769"/>
      <c r="Y8" s="3166" t="s">
        <v>2551</v>
      </c>
      <c r="Z8" s="3167"/>
      <c r="AA8" s="770" t="e">
        <f t="shared" ref="AA8:AA40" si="3">D8/F8</f>
        <v>#DIV/0!</v>
      </c>
      <c r="AB8" s="770" t="e">
        <f t="shared" ref="AB8:AB40" si="4">D8/H8</f>
        <v>#DIV/0!</v>
      </c>
      <c r="AC8" s="770" t="e">
        <f t="shared" ref="AC8:AC40" si="5">D8/J8</f>
        <v>#DIV/0!</v>
      </c>
    </row>
    <row r="9" spans="1:29" s="117" customFormat="1">
      <c r="A9" s="415" t="s">
        <v>2552</v>
      </c>
      <c r="B9" s="71" t="s">
        <v>2553</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05" t="s">
        <v>2554</v>
      </c>
      <c r="Q9" s="1795" t="str">
        <f t="shared" ref="Q9:Q15" si="6">B9</f>
        <v>用途</v>
      </c>
      <c r="R9" s="767" t="s">
        <v>17</v>
      </c>
      <c r="S9" s="768">
        <f t="shared" si="0"/>
        <v>100</v>
      </c>
      <c r="T9" s="767" t="s">
        <v>17</v>
      </c>
      <c r="U9" s="768">
        <f t="shared" si="1"/>
        <v>100</v>
      </c>
      <c r="V9" s="767" t="s">
        <v>17</v>
      </c>
      <c r="W9" s="768">
        <f t="shared" si="2"/>
        <v>100</v>
      </c>
      <c r="X9" s="769"/>
      <c r="Y9" s="3034" t="s">
        <v>2555</v>
      </c>
      <c r="Z9" s="55" t="str">
        <f t="shared" ref="Z9:Z15" si="7">Q9</f>
        <v>用途</v>
      </c>
      <c r="AA9" s="770">
        <f t="shared" si="3"/>
        <v>1</v>
      </c>
      <c r="AB9" s="770">
        <f t="shared" si="4"/>
        <v>1</v>
      </c>
      <c r="AC9" s="770">
        <f t="shared" si="5"/>
        <v>1</v>
      </c>
    </row>
    <row r="10" spans="1:29" s="427" customFormat="1" ht="27">
      <c r="A10" s="421"/>
      <c r="B10" s="422" t="s">
        <v>2556</v>
      </c>
      <c r="C10" s="432"/>
      <c r="D10" s="136">
        <v>100</v>
      </c>
      <c r="E10" s="432"/>
      <c r="F10" s="136">
        <f>ROUND(100/'数据-取费表'!G16,0)</f>
        <v>114</v>
      </c>
      <c r="G10" s="432"/>
      <c r="H10" s="136">
        <f>ROUND(100/'数据-取费表'!G16,0)</f>
        <v>114</v>
      </c>
      <c r="I10" s="432"/>
      <c r="J10" s="136">
        <f>ROUND(100/'数据-取费表'!G16,0)</f>
        <v>114</v>
      </c>
      <c r="K10" s="671"/>
      <c r="L10" s="1135"/>
      <c r="M10" s="1136"/>
      <c r="N10" s="1136"/>
      <c r="O10" s="1137"/>
      <c r="P10" s="3205"/>
      <c r="Q10" s="1795" t="str">
        <f t="shared" si="6"/>
        <v>土地使用年限（年）</v>
      </c>
      <c r="R10" s="767" t="s">
        <v>17</v>
      </c>
      <c r="S10" s="768">
        <f t="shared" si="0"/>
        <v>114</v>
      </c>
      <c r="T10" s="767" t="s">
        <v>17</v>
      </c>
      <c r="U10" s="768">
        <f t="shared" si="1"/>
        <v>114</v>
      </c>
      <c r="V10" s="767" t="s">
        <v>17</v>
      </c>
      <c r="W10" s="768">
        <f t="shared" si="2"/>
        <v>114</v>
      </c>
      <c r="X10" s="769"/>
      <c r="Y10" s="3034"/>
      <c r="Z10" s="55" t="str">
        <f t="shared" si="7"/>
        <v>土地使用年限（年）</v>
      </c>
      <c r="AA10" s="770">
        <f t="shared" si="3"/>
        <v>0.8771929824561403</v>
      </c>
      <c r="AB10" s="770">
        <f t="shared" si="4"/>
        <v>0.8771929824561403</v>
      </c>
      <c r="AC10" s="770">
        <f t="shared" si="5"/>
        <v>0.8771929824561403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8"/>
      <c r="M11" s="1131"/>
      <c r="N11" s="1131"/>
      <c r="O11" s="1139"/>
      <c r="P11" s="3205"/>
      <c r="Q11" s="1795" t="str">
        <f t="shared" si="6"/>
        <v>容积率</v>
      </c>
      <c r="R11" s="767" t="s">
        <v>17</v>
      </c>
      <c r="S11" s="768" t="e">
        <f t="shared" si="0"/>
        <v>#N/A</v>
      </c>
      <c r="T11" s="767" t="s">
        <v>17</v>
      </c>
      <c r="U11" s="768" t="e">
        <f t="shared" si="1"/>
        <v>#N/A</v>
      </c>
      <c r="V11" s="767" t="s">
        <v>17</v>
      </c>
      <c r="W11" s="768" t="e">
        <f t="shared" si="2"/>
        <v>#N/A</v>
      </c>
      <c r="X11" s="769"/>
      <c r="Y11" s="3034"/>
      <c r="Z11" s="55" t="str">
        <f t="shared" si="7"/>
        <v>容积率</v>
      </c>
      <c r="AA11" s="770" t="e">
        <f t="shared" si="3"/>
        <v>#N/A</v>
      </c>
      <c r="AB11" s="770" t="e">
        <f t="shared" si="4"/>
        <v>#N/A</v>
      </c>
      <c r="AC11" s="770" t="e">
        <f t="shared" si="5"/>
        <v>#N/A</v>
      </c>
    </row>
    <row r="12" spans="1:29" s="117" customFormat="1" ht="15">
      <c r="A12" s="431"/>
      <c r="B12" s="2599">
        <v>111</v>
      </c>
      <c r="C12" s="432"/>
      <c r="D12" s="433">
        <v>100</v>
      </c>
      <c r="E12" s="549"/>
      <c r="F12" s="136">
        <f>SUMIF(77:77,E12,78:78)-SUMIF(77:77,C12,78:78)+100</f>
        <v>100</v>
      </c>
      <c r="G12" s="673"/>
      <c r="H12" s="136">
        <f>SUMIF(77:77,G12,78:78)-SUMIF(77:77,C12,78:78)+100</f>
        <v>100</v>
      </c>
      <c r="I12" s="549"/>
      <c r="J12" s="136">
        <f>SUMIF(77:77,I12,78:78)-SUMIF(77:77,C12,78:78)+100</f>
        <v>100</v>
      </c>
      <c r="K12" s="671"/>
      <c r="L12" s="1132"/>
      <c r="M12" s="1133"/>
      <c r="N12" s="1133"/>
      <c r="O12" s="1134"/>
      <c r="P12" s="3205"/>
      <c r="Q12" s="1795">
        <f t="shared" si="6"/>
        <v>111</v>
      </c>
      <c r="R12" s="767" t="s">
        <v>17</v>
      </c>
      <c r="S12" s="768">
        <f t="shared" si="0"/>
        <v>100</v>
      </c>
      <c r="T12" s="767" t="s">
        <v>17</v>
      </c>
      <c r="U12" s="768">
        <f t="shared" si="1"/>
        <v>100</v>
      </c>
      <c r="V12" s="767" t="s">
        <v>17</v>
      </c>
      <c r="W12" s="768">
        <f t="shared" si="2"/>
        <v>100</v>
      </c>
      <c r="X12" s="769"/>
      <c r="Y12" s="3034"/>
      <c r="Z12" s="55">
        <f t="shared" si="7"/>
        <v>111</v>
      </c>
      <c r="AA12" s="770">
        <f>D12/F12</f>
        <v>1</v>
      </c>
      <c r="AB12" s="770">
        <f>D12/H12</f>
        <v>1</v>
      </c>
      <c r="AC12" s="770">
        <f>D12/J12</f>
        <v>1</v>
      </c>
    </row>
    <row r="13" spans="1:29" ht="15">
      <c r="A13" s="428"/>
      <c r="B13" s="2599">
        <v>111</v>
      </c>
      <c r="C13" s="434"/>
      <c r="D13" s="435">
        <v>100</v>
      </c>
      <c r="E13" s="549"/>
      <c r="F13" s="136">
        <f>SUMIF(79:79,E13,80:80)-SUMIF(79:79,C13,80:80)+100</f>
        <v>100</v>
      </c>
      <c r="G13" s="673"/>
      <c r="H13" s="435">
        <f>SUMIF(79:79,G13,80:80)-SUMIF(79:79,C13,80:80)+100</f>
        <v>100</v>
      </c>
      <c r="I13" s="549"/>
      <c r="J13" s="435">
        <f>SUMIF(79:79,I13,80:80)-SUMIF(79:79,C13,80:80)+100</f>
        <v>100</v>
      </c>
      <c r="K13" s="671"/>
      <c r="L13" s="1140"/>
      <c r="M13" s="1131"/>
      <c r="N13" s="1131"/>
      <c r="O13" s="1139"/>
      <c r="P13" s="3205"/>
      <c r="Q13" s="1795">
        <f t="shared" si="6"/>
        <v>111</v>
      </c>
      <c r="R13" s="767" t="s">
        <v>17</v>
      </c>
      <c r="S13" s="768">
        <f t="shared" si="0"/>
        <v>100</v>
      </c>
      <c r="T13" s="767" t="s">
        <v>17</v>
      </c>
      <c r="U13" s="768">
        <f t="shared" si="1"/>
        <v>100</v>
      </c>
      <c r="V13" s="767" t="s">
        <v>17</v>
      </c>
      <c r="W13" s="768">
        <f t="shared" si="2"/>
        <v>100</v>
      </c>
      <c r="X13" s="769"/>
      <c r="Y13" s="3034"/>
      <c r="Z13" s="55">
        <f t="shared" si="7"/>
        <v>111</v>
      </c>
      <c r="AA13" s="770">
        <f t="shared" si="3"/>
        <v>1</v>
      </c>
      <c r="AB13" s="770">
        <f t="shared" si="4"/>
        <v>1</v>
      </c>
      <c r="AC13" s="770">
        <f t="shared" si="5"/>
        <v>1</v>
      </c>
    </row>
    <row r="14" spans="1:29" ht="15.75" thickBot="1">
      <c r="A14" s="436"/>
      <c r="B14" s="2601">
        <v>111</v>
      </c>
      <c r="C14" s="437"/>
      <c r="D14" s="438">
        <v>100</v>
      </c>
      <c r="E14" s="549"/>
      <c r="F14" s="438">
        <f>SUMIF(81:81,E14,82:82)-SUMIF(81:81,C14,82:82)+100</f>
        <v>100</v>
      </c>
      <c r="G14" s="673"/>
      <c r="H14" s="438">
        <f>SUMIF(81:81,G14,82:82)-SUMIF(81:81,C14,82:82)+100</f>
        <v>100</v>
      </c>
      <c r="I14" s="549"/>
      <c r="J14" s="438">
        <f>SUMIF(81:81,I14,82:82)-SUMIF(81:81,C14,82:82)+100</f>
        <v>100</v>
      </c>
      <c r="K14" s="671"/>
      <c r="L14" s="1140"/>
      <c r="M14" s="1131"/>
      <c r="N14" s="1131"/>
      <c r="O14" s="1139"/>
      <c r="P14" s="3205"/>
      <c r="Q14" s="1795">
        <f t="shared" si="6"/>
        <v>111</v>
      </c>
      <c r="R14" s="767" t="s">
        <v>17</v>
      </c>
      <c r="S14" s="768">
        <f t="shared" si="0"/>
        <v>100</v>
      </c>
      <c r="T14" s="767" t="s">
        <v>17</v>
      </c>
      <c r="U14" s="768">
        <f t="shared" si="1"/>
        <v>100</v>
      </c>
      <c r="V14" s="767" t="s">
        <v>17</v>
      </c>
      <c r="W14" s="768">
        <f t="shared" si="2"/>
        <v>100</v>
      </c>
      <c r="X14" s="769"/>
      <c r="Y14" s="3034"/>
      <c r="Z14" s="55">
        <f t="shared" si="7"/>
        <v>111</v>
      </c>
      <c r="AA14" s="770">
        <f t="shared" si="3"/>
        <v>1</v>
      </c>
      <c r="AB14" s="770">
        <f t="shared" si="4"/>
        <v>1</v>
      </c>
      <c r="AC14" s="770">
        <f t="shared" si="5"/>
        <v>1</v>
      </c>
    </row>
    <row r="15" spans="1:29" ht="57">
      <c r="A15" s="440" t="s">
        <v>2558</v>
      </c>
      <c r="B15" s="628" t="s">
        <v>2796</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0"/>
      <c r="M15" s="1131"/>
      <c r="N15" s="1131"/>
      <c r="O15" s="1139"/>
      <c r="P15" s="3198" t="s">
        <v>2559</v>
      </c>
      <c r="Q15" s="1810" t="str">
        <f t="shared" si="6"/>
        <v>产业集聚程度</v>
      </c>
      <c r="R15" s="771" t="s">
        <v>17</v>
      </c>
      <c r="S15" s="772">
        <f t="shared" si="0"/>
        <v>100</v>
      </c>
      <c r="T15" s="771" t="s">
        <v>17</v>
      </c>
      <c r="U15" s="772">
        <f t="shared" si="1"/>
        <v>100</v>
      </c>
      <c r="V15" s="771" t="s">
        <v>17</v>
      </c>
      <c r="W15" s="772">
        <f t="shared" si="2"/>
        <v>100</v>
      </c>
      <c r="X15" s="1813"/>
      <c r="Y15" s="3198" t="s">
        <v>2559</v>
      </c>
      <c r="Z15" s="1814" t="str">
        <f t="shared" si="7"/>
        <v>产业集聚程度</v>
      </c>
      <c r="AA15" s="1811">
        <f t="shared" si="3"/>
        <v>1</v>
      </c>
      <c r="AB15" s="1811">
        <f t="shared" si="4"/>
        <v>1</v>
      </c>
      <c r="AC15" s="1811">
        <f t="shared" si="5"/>
        <v>1</v>
      </c>
    </row>
    <row r="16" spans="1:29" ht="15">
      <c r="A16" s="428"/>
      <c r="B16" s="629"/>
      <c r="C16" s="447"/>
      <c r="D16" s="448"/>
      <c r="E16" s="2610"/>
      <c r="F16" s="448"/>
      <c r="G16" s="2610"/>
      <c r="H16" s="450"/>
      <c r="I16" s="2610"/>
      <c r="J16" s="448"/>
      <c r="K16" s="671"/>
      <c r="L16" s="1140"/>
      <c r="M16" s="1131"/>
      <c r="N16" s="1131"/>
      <c r="O16" s="1139"/>
      <c r="P16" s="3199"/>
      <c r="Q16" s="1810"/>
      <c r="R16" s="771"/>
      <c r="S16" s="772"/>
      <c r="T16" s="771"/>
      <c r="U16" s="772"/>
      <c r="V16" s="771"/>
      <c r="W16" s="772"/>
      <c r="X16" s="1813"/>
      <c r="Y16" s="3199"/>
      <c r="Z16" s="1814"/>
      <c r="AA16" s="1811">
        <v>1</v>
      </c>
      <c r="AB16" s="1811">
        <v>1</v>
      </c>
      <c r="AC16" s="1811">
        <v>1</v>
      </c>
    </row>
    <row r="17" spans="1:29" ht="85.5">
      <c r="A17" s="428"/>
      <c r="B17" s="630" t="s">
        <v>2707</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0"/>
      <c r="M17" s="1131"/>
      <c r="N17" s="1131"/>
      <c r="O17" s="1139"/>
      <c r="P17" s="3199"/>
      <c r="Q17" s="1810" t="str">
        <f>B17</f>
        <v>交通便捷度</v>
      </c>
      <c r="R17" s="771" t="s">
        <v>17</v>
      </c>
      <c r="S17" s="772">
        <f>F17</f>
        <v>100</v>
      </c>
      <c r="T17" s="771" t="s">
        <v>17</v>
      </c>
      <c r="U17" s="772">
        <f>H17</f>
        <v>100</v>
      </c>
      <c r="V17" s="771" t="s">
        <v>17</v>
      </c>
      <c r="W17" s="772">
        <f>J17</f>
        <v>100</v>
      </c>
      <c r="X17" s="1813"/>
      <c r="Y17" s="3199"/>
      <c r="Z17" s="1814" t="str">
        <f>Q17</f>
        <v>交通便捷度</v>
      </c>
      <c r="AA17" s="1811">
        <f t="shared" si="3"/>
        <v>1</v>
      </c>
      <c r="AB17" s="1811">
        <f t="shared" si="4"/>
        <v>1</v>
      </c>
      <c r="AC17" s="1811">
        <f t="shared" si="5"/>
        <v>1</v>
      </c>
    </row>
    <row r="18" spans="1:29" ht="15">
      <c r="A18" s="428"/>
      <c r="B18" s="631"/>
      <c r="C18" s="447"/>
      <c r="D18" s="448"/>
      <c r="E18" s="2604"/>
      <c r="F18" s="448"/>
      <c r="G18" s="2604"/>
      <c r="H18" s="448"/>
      <c r="I18" s="2603"/>
      <c r="J18" s="448"/>
      <c r="K18" s="671"/>
      <c r="L18" s="1140"/>
      <c r="M18" s="1131"/>
      <c r="N18" s="1131"/>
      <c r="O18" s="1139"/>
      <c r="P18" s="3199"/>
      <c r="Q18" s="1810"/>
      <c r="R18" s="771"/>
      <c r="S18" s="772"/>
      <c r="T18" s="771"/>
      <c r="U18" s="772"/>
      <c r="V18" s="771"/>
      <c r="W18" s="772"/>
      <c r="X18" s="1813"/>
      <c r="Y18" s="3199"/>
      <c r="Z18" s="1814"/>
      <c r="AA18" s="1811">
        <v>1</v>
      </c>
      <c r="AB18" s="1811">
        <v>1</v>
      </c>
      <c r="AC18" s="1811">
        <v>1</v>
      </c>
    </row>
    <row r="19" spans="1:29" ht="15">
      <c r="A19" s="428"/>
      <c r="B19" s="630" t="s">
        <v>2746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0"/>
      <c r="M19" s="1131"/>
      <c r="N19" s="1131"/>
      <c r="O19" s="1139"/>
      <c r="P19" s="3199"/>
      <c r="Q19" s="1810" t="str">
        <f t="shared" ref="Q19:Q33" si="8">B19</f>
        <v>区域土地利用方向</v>
      </c>
      <c r="R19" s="771" t="s">
        <v>17</v>
      </c>
      <c r="S19" s="772">
        <f>F19</f>
        <v>100</v>
      </c>
      <c r="T19" s="771" t="s">
        <v>17</v>
      </c>
      <c r="U19" s="772">
        <f>H19</f>
        <v>100</v>
      </c>
      <c r="V19" s="771" t="s">
        <v>17</v>
      </c>
      <c r="W19" s="772">
        <f>J19</f>
        <v>100</v>
      </c>
      <c r="X19" s="1813"/>
      <c r="Y19" s="3199"/>
      <c r="Z19" s="1814" t="str">
        <f>Q19</f>
        <v>区域土地利用方向</v>
      </c>
      <c r="AA19" s="1811">
        <f t="shared" si="3"/>
        <v>1</v>
      </c>
      <c r="AB19" s="1811">
        <f t="shared" si="4"/>
        <v>1</v>
      </c>
      <c r="AC19" s="1811">
        <f t="shared" si="5"/>
        <v>1</v>
      </c>
    </row>
    <row r="20" spans="1:29" ht="15">
      <c r="A20" s="404"/>
      <c r="B20" s="631"/>
      <c r="C20" s="447"/>
      <c r="D20" s="448"/>
      <c r="E20" s="2604"/>
      <c r="F20" s="448"/>
      <c r="G20" s="2604"/>
      <c r="H20" s="448"/>
      <c r="I20" s="2604"/>
      <c r="J20" s="448"/>
      <c r="K20" s="809"/>
      <c r="L20" s="1140"/>
      <c r="M20" s="1131"/>
      <c r="N20" s="1131"/>
      <c r="O20" s="1139"/>
      <c r="P20" s="3199"/>
      <c r="Q20" s="1810"/>
      <c r="R20" s="771"/>
      <c r="S20" s="772"/>
      <c r="T20" s="771"/>
      <c r="U20" s="772"/>
      <c r="V20" s="771"/>
      <c r="W20" s="772"/>
      <c r="X20" s="1813"/>
      <c r="Y20" s="3199"/>
      <c r="Z20" s="1814"/>
      <c r="AA20" s="1811"/>
      <c r="AB20" s="1811"/>
      <c r="AC20" s="1811"/>
    </row>
    <row r="21" spans="1:29" ht="71.25">
      <c r="A21" s="404"/>
      <c r="B21" s="630" t="s">
        <v>2797</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0"/>
      <c r="M21" s="1131"/>
      <c r="N21" s="1131"/>
      <c r="O21" s="1139"/>
      <c r="P21" s="3199"/>
      <c r="Q21" s="1810" t="str">
        <f t="shared" si="8"/>
        <v>环境状况</v>
      </c>
      <c r="R21" s="771" t="s">
        <v>17</v>
      </c>
      <c r="S21" s="772">
        <f>F21</f>
        <v>100</v>
      </c>
      <c r="T21" s="771" t="s">
        <v>17</v>
      </c>
      <c r="U21" s="772">
        <f>H21</f>
        <v>100</v>
      </c>
      <c r="V21" s="771" t="s">
        <v>17</v>
      </c>
      <c r="W21" s="772">
        <f>J21</f>
        <v>100</v>
      </c>
      <c r="X21" s="1813"/>
      <c r="Y21" s="3199"/>
      <c r="Z21" s="1814" t="str">
        <f>Q21</f>
        <v>环境状况</v>
      </c>
      <c r="AA21" s="1811">
        <f t="shared" si="3"/>
        <v>1</v>
      </c>
      <c r="AB21" s="1811">
        <f t="shared" si="4"/>
        <v>1</v>
      </c>
      <c r="AC21" s="1811">
        <f t="shared" si="5"/>
        <v>1</v>
      </c>
    </row>
    <row r="22" spans="1:29" ht="15">
      <c r="A22" s="404"/>
      <c r="B22" s="631"/>
      <c r="C22" s="447"/>
      <c r="D22" s="448"/>
      <c r="E22" s="2610"/>
      <c r="F22" s="448"/>
      <c r="G22" s="2610"/>
      <c r="H22" s="448"/>
      <c r="I22" s="447"/>
      <c r="J22" s="448"/>
      <c r="K22" s="671"/>
      <c r="L22" s="1140"/>
      <c r="M22" s="1131"/>
      <c r="N22" s="1131"/>
      <c r="O22" s="1139"/>
      <c r="P22" s="3199"/>
      <c r="Q22" s="1810"/>
      <c r="R22" s="771"/>
      <c r="S22" s="772"/>
      <c r="T22" s="771"/>
      <c r="U22" s="772"/>
      <c r="V22" s="771"/>
      <c r="W22" s="772"/>
      <c r="X22" s="1813"/>
      <c r="Y22" s="3199"/>
      <c r="Z22" s="1814"/>
      <c r="AA22" s="1811">
        <v>1</v>
      </c>
      <c r="AB22" s="1811">
        <v>1</v>
      </c>
      <c r="AC22" s="1811">
        <v>1</v>
      </c>
    </row>
    <row r="23" spans="1:29" s="117" customFormat="1" ht="42.75">
      <c r="A23" s="648"/>
      <c r="B23" s="632" t="s">
        <v>2653</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2"/>
      <c r="M23" s="1133"/>
      <c r="N23" s="1133"/>
      <c r="O23" s="1134"/>
      <c r="P23" s="3199"/>
      <c r="Q23" s="1795" t="str">
        <f t="shared" si="8"/>
        <v>公共配套设施</v>
      </c>
      <c r="R23" s="767" t="s">
        <v>17</v>
      </c>
      <c r="S23" s="768">
        <f>F23</f>
        <v>100</v>
      </c>
      <c r="T23" s="767" t="s">
        <v>17</v>
      </c>
      <c r="U23" s="768">
        <f>H23</f>
        <v>100</v>
      </c>
      <c r="V23" s="767" t="s">
        <v>17</v>
      </c>
      <c r="W23" s="768">
        <f>J23</f>
        <v>100</v>
      </c>
      <c r="X23" s="769"/>
      <c r="Y23" s="3199"/>
      <c r="Z23" s="55" t="str">
        <f>Q23</f>
        <v>公共配套设施</v>
      </c>
      <c r="AA23" s="1811">
        <f>D23/F23</f>
        <v>1</v>
      </c>
      <c r="AB23" s="1811">
        <f>D23/H23</f>
        <v>1</v>
      </c>
      <c r="AC23" s="1811">
        <f>D23/J23</f>
        <v>1</v>
      </c>
    </row>
    <row r="24" spans="1:29" s="117" customFormat="1" ht="15">
      <c r="A24" s="648"/>
      <c r="B24" s="631"/>
      <c r="C24" s="2699"/>
      <c r="D24" s="448"/>
      <c r="E24" s="2610"/>
      <c r="F24" s="448"/>
      <c r="G24" s="2610"/>
      <c r="H24" s="448"/>
      <c r="I24" s="447"/>
      <c r="J24" s="448"/>
      <c r="K24" s="671"/>
      <c r="L24" s="1132"/>
      <c r="M24" s="1133"/>
      <c r="N24" s="1133"/>
      <c r="O24" s="1134"/>
      <c r="P24" s="3199"/>
      <c r="Q24" s="1795"/>
      <c r="R24" s="767"/>
      <c r="S24" s="768"/>
      <c r="T24" s="767"/>
      <c r="U24" s="768"/>
      <c r="V24" s="767"/>
      <c r="W24" s="768"/>
      <c r="X24" s="769"/>
      <c r="Y24" s="3199"/>
      <c r="Z24" s="55"/>
      <c r="AA24" s="770">
        <v>1</v>
      </c>
      <c r="AB24" s="770">
        <v>1</v>
      </c>
      <c r="AC24" s="770">
        <v>1</v>
      </c>
    </row>
    <row r="25" spans="1:29" s="117" customFormat="1" ht="28.5">
      <c r="A25" s="648"/>
      <c r="B25" s="632" t="s">
        <v>2654</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2"/>
      <c r="M25" s="1133"/>
      <c r="N25" s="1133"/>
      <c r="O25" s="1134"/>
      <c r="P25" s="3199"/>
      <c r="Q25" s="1795" t="str">
        <f t="shared" ref="Q25" si="9">B25</f>
        <v>基础设施水平</v>
      </c>
      <c r="R25" s="767" t="s">
        <v>17</v>
      </c>
      <c r="S25" s="768">
        <f>F25</f>
        <v>100</v>
      </c>
      <c r="T25" s="767" t="s">
        <v>17</v>
      </c>
      <c r="U25" s="768">
        <f>H25</f>
        <v>100</v>
      </c>
      <c r="V25" s="767" t="s">
        <v>17</v>
      </c>
      <c r="W25" s="768">
        <f>J25</f>
        <v>100</v>
      </c>
      <c r="X25" s="769"/>
      <c r="Y25" s="3199"/>
      <c r="Z25" s="55" t="str">
        <f>Q25</f>
        <v>基础设施水平</v>
      </c>
      <c r="AA25" s="1811">
        <f>D25/F25</f>
        <v>1</v>
      </c>
      <c r="AB25" s="1811">
        <f>D25/H25</f>
        <v>1</v>
      </c>
      <c r="AC25" s="1811">
        <f>D25/J25</f>
        <v>1</v>
      </c>
    </row>
    <row r="26" spans="1:29" s="117" customFormat="1" ht="15">
      <c r="A26" s="648"/>
      <c r="B26" s="631"/>
      <c r="C26" s="2699"/>
      <c r="D26" s="448"/>
      <c r="E26" s="2700"/>
      <c r="F26" s="448"/>
      <c r="G26" s="2700"/>
      <c r="H26" s="448"/>
      <c r="I26" s="2700"/>
      <c r="J26" s="448"/>
      <c r="K26" s="671"/>
      <c r="L26" s="1132"/>
      <c r="M26" s="1133"/>
      <c r="N26" s="1133"/>
      <c r="O26" s="1134"/>
      <c r="P26" s="3199"/>
      <c r="Q26" s="1795"/>
      <c r="R26" s="767"/>
      <c r="S26" s="768"/>
      <c r="T26" s="767"/>
      <c r="U26" s="768"/>
      <c r="V26" s="767"/>
      <c r="W26" s="768"/>
      <c r="X26" s="769"/>
      <c r="Y26" s="3199"/>
      <c r="Z26" s="55"/>
      <c r="AA26" s="770">
        <v>1</v>
      </c>
      <c r="AB26" s="770">
        <v>1</v>
      </c>
      <c r="AC26" s="770">
        <v>1</v>
      </c>
    </row>
    <row r="27" spans="1:29" ht="15">
      <c r="A27" s="428"/>
      <c r="B27" s="631" t="s">
        <v>2655</v>
      </c>
      <c r="C27" s="616"/>
      <c r="D27" s="435">
        <v>100</v>
      </c>
      <c r="E27" s="633"/>
      <c r="F27" s="435">
        <f>SUMIF(95:95,E27,96:96)-SUMIF(95:95,C27,96:96)+100</f>
        <v>100</v>
      </c>
      <c r="G27" s="633"/>
      <c r="H27" s="435">
        <f>SUMIF(95:95,G27,96:96)-SUMIF(95:95,C27,96:96)+100</f>
        <v>100</v>
      </c>
      <c r="I27" s="633"/>
      <c r="J27" s="435">
        <f>SUMIF(95:95,I27,96:96)-SUMIF(95:95,C27,96:96)+100</f>
        <v>100</v>
      </c>
      <c r="K27" s="672"/>
      <c r="L27" s="1140"/>
      <c r="M27" s="1131"/>
      <c r="N27" s="1131"/>
      <c r="O27" s="1139"/>
      <c r="P27" s="3199"/>
      <c r="Q27" s="1810" t="str">
        <f t="shared" si="8"/>
        <v>临街状况</v>
      </c>
      <c r="R27" s="771" t="s">
        <v>17</v>
      </c>
      <c r="S27" s="772">
        <f t="shared" ref="S27:S40" si="10">F27</f>
        <v>100</v>
      </c>
      <c r="T27" s="771" t="s">
        <v>17</v>
      </c>
      <c r="U27" s="772">
        <f t="shared" ref="U27:U40" si="11">H27</f>
        <v>100</v>
      </c>
      <c r="V27" s="771" t="s">
        <v>17</v>
      </c>
      <c r="W27" s="772">
        <f t="shared" ref="W27:W40" si="12">J27</f>
        <v>100</v>
      </c>
      <c r="X27" s="1813"/>
      <c r="Y27" s="3199"/>
      <c r="Z27" s="1814" t="str">
        <f t="shared" ref="Z27:Z40" si="13">Q27</f>
        <v>临街状况</v>
      </c>
      <c r="AA27" s="1811">
        <f t="shared" si="3"/>
        <v>1</v>
      </c>
      <c r="AB27" s="1811">
        <f t="shared" si="4"/>
        <v>1</v>
      </c>
      <c r="AC27" s="1811">
        <f t="shared" si="5"/>
        <v>1</v>
      </c>
    </row>
    <row r="28" spans="1:29" ht="27">
      <c r="A28" s="428"/>
      <c r="B28" s="632" t="s">
        <v>2689</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0"/>
      <c r="M28" s="1131"/>
      <c r="N28" s="1131"/>
      <c r="O28" s="1139"/>
      <c r="P28" s="3199"/>
      <c r="Q28" s="1810" t="str">
        <f t="shared" si="8"/>
        <v>毗邻道路的类型与等级</v>
      </c>
      <c r="R28" s="771" t="s">
        <v>17</v>
      </c>
      <c r="S28" s="772">
        <f t="shared" si="10"/>
        <v>100</v>
      </c>
      <c r="T28" s="771" t="s">
        <v>17</v>
      </c>
      <c r="U28" s="772">
        <f t="shared" si="11"/>
        <v>100</v>
      </c>
      <c r="V28" s="771" t="s">
        <v>17</v>
      </c>
      <c r="W28" s="772">
        <f t="shared" si="12"/>
        <v>100</v>
      </c>
      <c r="X28" s="1813"/>
      <c r="Y28" s="3199"/>
      <c r="Z28" s="1814" t="str">
        <f t="shared" si="13"/>
        <v>毗邻道路的类型与等级</v>
      </c>
      <c r="AA28" s="1811">
        <f t="shared" si="3"/>
        <v>1</v>
      </c>
      <c r="AB28" s="1811">
        <f t="shared" si="4"/>
        <v>1</v>
      </c>
      <c r="AC28" s="1811">
        <f t="shared" si="5"/>
        <v>1</v>
      </c>
    </row>
    <row r="29" spans="1:29" ht="15">
      <c r="A29" s="428"/>
      <c r="B29" s="631"/>
      <c r="C29" s="447"/>
      <c r="D29" s="448"/>
      <c r="E29" s="2610"/>
      <c r="F29" s="448"/>
      <c r="G29" s="2610"/>
      <c r="H29" s="448"/>
      <c r="I29" s="2610"/>
      <c r="J29" s="448"/>
      <c r="K29" s="613"/>
      <c r="L29" s="1140"/>
      <c r="M29" s="1131"/>
      <c r="N29" s="1131"/>
      <c r="O29" s="1139"/>
      <c r="P29" s="3199"/>
      <c r="Q29" s="1810"/>
      <c r="R29" s="771"/>
      <c r="S29" s="772"/>
      <c r="T29" s="771"/>
      <c r="U29" s="772"/>
      <c r="V29" s="771"/>
      <c r="W29" s="772"/>
      <c r="X29" s="1813"/>
      <c r="Y29" s="3199"/>
      <c r="Z29" s="1814"/>
      <c r="AA29" s="1811">
        <v>1</v>
      </c>
      <c r="AB29" s="1811">
        <v>1</v>
      </c>
      <c r="AC29" s="1811">
        <v>1</v>
      </c>
    </row>
    <row r="30" spans="1:29" ht="15">
      <c r="A30" s="428"/>
      <c r="B30" s="653" t="s">
        <v>2748</v>
      </c>
      <c r="C30" s="1389">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0"/>
      <c r="M30" s="1131"/>
      <c r="N30" s="1131"/>
      <c r="O30" s="1139"/>
      <c r="P30" s="3199"/>
      <c r="Q30" s="1810" t="str">
        <f t="shared" si="8"/>
        <v>土地级别</v>
      </c>
      <c r="R30" s="771" t="s">
        <v>17</v>
      </c>
      <c r="S30" s="772">
        <f t="shared" si="10"/>
        <v>100</v>
      </c>
      <c r="T30" s="771" t="s">
        <v>17</v>
      </c>
      <c r="U30" s="772">
        <f t="shared" si="11"/>
        <v>100</v>
      </c>
      <c r="V30" s="771" t="s">
        <v>17</v>
      </c>
      <c r="W30" s="772">
        <f t="shared" si="12"/>
        <v>100</v>
      </c>
      <c r="X30" s="1813"/>
      <c r="Y30" s="3199"/>
      <c r="Z30" s="1814" t="str">
        <f t="shared" si="13"/>
        <v>土地级别</v>
      </c>
      <c r="AA30" s="1811">
        <f t="shared" si="3"/>
        <v>1</v>
      </c>
      <c r="AB30" s="1811">
        <f t="shared" si="4"/>
        <v>1</v>
      </c>
      <c r="AC30" s="1811">
        <f t="shared" si="5"/>
        <v>1</v>
      </c>
    </row>
    <row r="31" spans="1:29" ht="15">
      <c r="A31" s="404"/>
      <c r="B31" s="2677">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9"/>
      <c r="Q31" s="1810">
        <f t="shared" si="8"/>
        <v>111</v>
      </c>
      <c r="R31" s="771" t="s">
        <v>17</v>
      </c>
      <c r="S31" s="772">
        <f t="shared" si="10"/>
        <v>100</v>
      </c>
      <c r="T31" s="771" t="s">
        <v>17</v>
      </c>
      <c r="U31" s="772">
        <f t="shared" si="11"/>
        <v>100</v>
      </c>
      <c r="V31" s="771" t="s">
        <v>17</v>
      </c>
      <c r="W31" s="772">
        <f t="shared" si="12"/>
        <v>100</v>
      </c>
      <c r="X31" s="1813"/>
      <c r="Y31" s="3199"/>
      <c r="Z31" s="1814">
        <f t="shared" si="13"/>
        <v>111</v>
      </c>
      <c r="AA31" s="1811">
        <f t="shared" si="3"/>
        <v>1</v>
      </c>
      <c r="AB31" s="1811">
        <f t="shared" si="4"/>
        <v>1</v>
      </c>
      <c r="AC31" s="1811">
        <f t="shared" si="5"/>
        <v>1</v>
      </c>
    </row>
    <row r="32" spans="1:29" ht="15">
      <c r="A32" s="674"/>
      <c r="B32" s="2713">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0"/>
      <c r="M32" s="1131"/>
      <c r="N32" s="1131"/>
      <c r="O32" s="1139"/>
      <c r="P32" s="3249" t="s">
        <v>2564</v>
      </c>
      <c r="Q32" s="1810">
        <f t="shared" si="8"/>
        <v>111</v>
      </c>
      <c r="R32" s="771" t="s">
        <v>17</v>
      </c>
      <c r="S32" s="772">
        <f t="shared" si="10"/>
        <v>100</v>
      </c>
      <c r="T32" s="771" t="s">
        <v>17</v>
      </c>
      <c r="U32" s="772">
        <f t="shared" si="11"/>
        <v>100</v>
      </c>
      <c r="V32" s="771" t="s">
        <v>17</v>
      </c>
      <c r="W32" s="772">
        <f t="shared" si="12"/>
        <v>100</v>
      </c>
      <c r="X32" s="1813"/>
      <c r="Y32" s="3203" t="s">
        <v>2564</v>
      </c>
      <c r="Z32" s="1814">
        <f t="shared" si="13"/>
        <v>111</v>
      </c>
      <c r="AA32" s="1811">
        <f t="shared" si="3"/>
        <v>1</v>
      </c>
      <c r="AB32" s="1811">
        <f t="shared" si="4"/>
        <v>1</v>
      </c>
      <c r="AC32" s="1811">
        <f t="shared" si="5"/>
        <v>1</v>
      </c>
    </row>
    <row r="33" spans="1:29" s="471" customFormat="1" ht="15.75" thickBot="1">
      <c r="A33" s="675"/>
      <c r="B33" s="2714">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8"/>
      <c r="M33" s="1141"/>
      <c r="N33" s="1141"/>
      <c r="O33" s="1142"/>
      <c r="P33" s="3203"/>
      <c r="Q33" s="1810">
        <f t="shared" si="8"/>
        <v>111</v>
      </c>
      <c r="R33" s="774" t="s">
        <v>17</v>
      </c>
      <c r="S33" s="775">
        <f t="shared" si="10"/>
        <v>100</v>
      </c>
      <c r="T33" s="774" t="s">
        <v>17</v>
      </c>
      <c r="U33" s="775">
        <f t="shared" si="11"/>
        <v>100</v>
      </c>
      <c r="V33" s="774" t="s">
        <v>17</v>
      </c>
      <c r="W33" s="775">
        <f t="shared" si="12"/>
        <v>100</v>
      </c>
      <c r="X33" s="776"/>
      <c r="Y33" s="3203"/>
      <c r="Z33" s="777">
        <f t="shared" si="13"/>
        <v>111</v>
      </c>
      <c r="AA33" s="1811">
        <f t="shared" si="3"/>
        <v>1</v>
      </c>
      <c r="AB33" s="1811">
        <f t="shared" si="4"/>
        <v>1</v>
      </c>
      <c r="AC33" s="1811">
        <f t="shared" si="5"/>
        <v>1</v>
      </c>
    </row>
    <row r="34" spans="1:29" ht="15">
      <c r="A34" s="440" t="s">
        <v>2562</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0"/>
      <c r="M34" s="1131"/>
      <c r="N34" s="1131"/>
      <c r="O34" s="1139"/>
      <c r="P34" s="3203"/>
      <c r="Q34" s="1810" t="str">
        <f>B34</f>
        <v>宗地面积</v>
      </c>
      <c r="R34" s="771" t="s">
        <v>17</v>
      </c>
      <c r="S34" s="772" t="e">
        <f t="shared" si="10"/>
        <v>#N/A</v>
      </c>
      <c r="T34" s="771" t="s">
        <v>17</v>
      </c>
      <c r="U34" s="772" t="e">
        <f t="shared" si="11"/>
        <v>#N/A</v>
      </c>
      <c r="V34" s="771" t="s">
        <v>17</v>
      </c>
      <c r="W34" s="772" t="e">
        <f t="shared" si="12"/>
        <v>#N/A</v>
      </c>
      <c r="X34" s="1813"/>
      <c r="Y34" s="3203"/>
      <c r="Z34" s="1814" t="str">
        <f t="shared" si="13"/>
        <v>宗地面积</v>
      </c>
      <c r="AA34" s="1811" t="e">
        <f t="shared" si="3"/>
        <v>#N/A</v>
      </c>
      <c r="AB34" s="1811" t="e">
        <f t="shared" si="4"/>
        <v>#N/A</v>
      </c>
      <c r="AC34" s="1811" t="e">
        <f t="shared" si="5"/>
        <v>#N/A</v>
      </c>
    </row>
    <row r="35" spans="1:29" ht="15">
      <c r="A35" s="472"/>
      <c r="B35" s="422" t="s">
        <v>2750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03"/>
      <c r="Q35" s="1810" t="str">
        <f t="shared" ref="Q35:Q40" si="14">B35</f>
        <v>宗地形状</v>
      </c>
      <c r="R35" s="771" t="s">
        <v>17</v>
      </c>
      <c r="S35" s="772">
        <f t="shared" si="10"/>
        <v>100</v>
      </c>
      <c r="T35" s="771" t="s">
        <v>17</v>
      </c>
      <c r="U35" s="772">
        <f t="shared" si="11"/>
        <v>100</v>
      </c>
      <c r="V35" s="771" t="s">
        <v>17</v>
      </c>
      <c r="W35" s="772">
        <f t="shared" si="12"/>
        <v>100</v>
      </c>
      <c r="X35" s="1813"/>
      <c r="Y35" s="3203"/>
      <c r="Z35" s="1814" t="str">
        <f t="shared" si="13"/>
        <v>宗地形状</v>
      </c>
      <c r="AA35" s="1811">
        <f t="shared" si="3"/>
        <v>1</v>
      </c>
      <c r="AB35" s="1811">
        <f t="shared" si="4"/>
        <v>1</v>
      </c>
      <c r="AC35" s="1811">
        <f t="shared" si="5"/>
        <v>1</v>
      </c>
    </row>
    <row r="36" spans="1:29" s="117" customFormat="1" ht="15">
      <c r="A36" s="473"/>
      <c r="B36" s="422" t="s">
        <v>2752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03"/>
      <c r="Q36" s="1810" t="str">
        <f t="shared" si="14"/>
        <v>宗地开发程度</v>
      </c>
      <c r="R36" s="767" t="s">
        <v>17</v>
      </c>
      <c r="S36" s="768">
        <f t="shared" si="10"/>
        <v>100</v>
      </c>
      <c r="T36" s="767" t="s">
        <v>17</v>
      </c>
      <c r="U36" s="768">
        <f t="shared" si="11"/>
        <v>100</v>
      </c>
      <c r="V36" s="767" t="s">
        <v>17</v>
      </c>
      <c r="W36" s="768">
        <f t="shared" si="12"/>
        <v>100</v>
      </c>
      <c r="X36" s="769"/>
      <c r="Y36" s="3203"/>
      <c r="Z36" s="55" t="str">
        <f t="shared" si="13"/>
        <v>宗地开发程度</v>
      </c>
      <c r="AA36" s="770">
        <f t="shared" si="3"/>
        <v>1</v>
      </c>
      <c r="AB36" s="770">
        <f t="shared" si="4"/>
        <v>1</v>
      </c>
      <c r="AC36" s="770">
        <f t="shared" si="5"/>
        <v>1</v>
      </c>
    </row>
    <row r="37" spans="1:29" ht="15">
      <c r="A37" s="472"/>
      <c r="B37" s="422" t="s">
        <v>2753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03" t="s">
        <v>2564</v>
      </c>
      <c r="Q37" s="1810" t="str">
        <f t="shared" si="14"/>
        <v>工程地质条件</v>
      </c>
      <c r="R37" s="771" t="s">
        <v>17</v>
      </c>
      <c r="S37" s="772">
        <f t="shared" si="10"/>
        <v>100</v>
      </c>
      <c r="T37" s="771" t="s">
        <v>17</v>
      </c>
      <c r="U37" s="772">
        <f t="shared" si="11"/>
        <v>100</v>
      </c>
      <c r="V37" s="771" t="s">
        <v>17</v>
      </c>
      <c r="W37" s="772">
        <f t="shared" si="12"/>
        <v>100</v>
      </c>
      <c r="X37" s="1813"/>
      <c r="Y37" s="3203" t="s">
        <v>2564</v>
      </c>
      <c r="Z37" s="1814" t="str">
        <f t="shared" si="13"/>
        <v>工程地质条件</v>
      </c>
      <c r="AA37" s="1811">
        <f t="shared" si="3"/>
        <v>1</v>
      </c>
      <c r="AB37" s="1811">
        <f t="shared" si="4"/>
        <v>1</v>
      </c>
      <c r="AC37" s="1811">
        <f t="shared" si="5"/>
        <v>1</v>
      </c>
    </row>
    <row r="38" spans="1:29" ht="15">
      <c r="A38" s="472"/>
      <c r="B38" s="1387">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0"/>
      <c r="M38" s="1131"/>
      <c r="N38" s="1131"/>
      <c r="O38" s="1139"/>
      <c r="P38" s="3203"/>
      <c r="Q38" s="1810">
        <f t="shared" si="14"/>
        <v>111</v>
      </c>
      <c r="R38" s="771" t="s">
        <v>17</v>
      </c>
      <c r="S38" s="772">
        <f t="shared" si="10"/>
        <v>100</v>
      </c>
      <c r="T38" s="771" t="s">
        <v>17</v>
      </c>
      <c r="U38" s="772">
        <f t="shared" si="11"/>
        <v>100</v>
      </c>
      <c r="V38" s="771" t="s">
        <v>17</v>
      </c>
      <c r="W38" s="772">
        <f t="shared" si="12"/>
        <v>100</v>
      </c>
      <c r="X38" s="1813"/>
      <c r="Y38" s="3203"/>
      <c r="Z38" s="1814">
        <f t="shared" si="13"/>
        <v>111</v>
      </c>
      <c r="AA38" s="1811">
        <f t="shared" si="3"/>
        <v>1</v>
      </c>
      <c r="AB38" s="1811">
        <f t="shared" si="4"/>
        <v>1</v>
      </c>
      <c r="AC38" s="1811">
        <f t="shared" si="5"/>
        <v>1</v>
      </c>
    </row>
    <row r="39" spans="1:29" ht="15">
      <c r="A39" s="472"/>
      <c r="B39" s="1387">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0"/>
      <c r="M39" s="1131"/>
      <c r="N39" s="1131"/>
      <c r="O39" s="1139"/>
      <c r="P39" s="3203"/>
      <c r="Q39" s="1810">
        <f t="shared" si="14"/>
        <v>111</v>
      </c>
      <c r="R39" s="771" t="s">
        <v>17</v>
      </c>
      <c r="S39" s="772">
        <f t="shared" si="10"/>
        <v>100</v>
      </c>
      <c r="T39" s="771" t="s">
        <v>17</v>
      </c>
      <c r="U39" s="772">
        <f t="shared" si="11"/>
        <v>100</v>
      </c>
      <c r="V39" s="771" t="s">
        <v>17</v>
      </c>
      <c r="W39" s="772">
        <f t="shared" si="12"/>
        <v>100</v>
      </c>
      <c r="X39" s="1813"/>
      <c r="Y39" s="3203"/>
      <c r="Z39" s="1814">
        <f t="shared" si="13"/>
        <v>111</v>
      </c>
      <c r="AA39" s="1811">
        <f t="shared" si="3"/>
        <v>1</v>
      </c>
      <c r="AB39" s="1811">
        <f t="shared" si="4"/>
        <v>1</v>
      </c>
      <c r="AC39" s="1811">
        <f t="shared" si="5"/>
        <v>1</v>
      </c>
    </row>
    <row r="40" spans="1:29" s="471" customFormat="1" ht="15.75" thickBot="1">
      <c r="A40" s="468"/>
      <c r="B40" s="1387">
        <v>111</v>
      </c>
      <c r="C40" s="2702"/>
      <c r="D40" s="137">
        <v>100</v>
      </c>
      <c r="E40" s="673"/>
      <c r="F40" s="438">
        <f>SUMIF(120:120,E40,121:121)-SUMIF(120:120,C40,121:121)+100</f>
        <v>100</v>
      </c>
      <c r="G40" s="673"/>
      <c r="H40" s="438">
        <f>SUMIF(120:120,G40,121:121)-SUMIF(120:120,C40,121:121)+100</f>
        <v>100</v>
      </c>
      <c r="I40" s="549"/>
      <c r="J40" s="438">
        <f>SUMIF(120:120,I40,121:121)-SUMIF(120:120,C40,121:121)+100</f>
        <v>100</v>
      </c>
      <c r="K40" s="680"/>
      <c r="L40" s="1138"/>
      <c r="M40" s="1141"/>
      <c r="N40" s="1141"/>
      <c r="O40" s="1142"/>
      <c r="P40" s="3203"/>
      <c r="Q40" s="1810">
        <f t="shared" si="14"/>
        <v>111</v>
      </c>
      <c r="R40" s="774" t="s">
        <v>17</v>
      </c>
      <c r="S40" s="775">
        <f t="shared" si="10"/>
        <v>100</v>
      </c>
      <c r="T40" s="774" t="s">
        <v>17</v>
      </c>
      <c r="U40" s="775">
        <f t="shared" si="11"/>
        <v>100</v>
      </c>
      <c r="V40" s="774" t="s">
        <v>17</v>
      </c>
      <c r="W40" s="775">
        <f t="shared" si="12"/>
        <v>100</v>
      </c>
      <c r="X40" s="776"/>
      <c r="Y40" s="3203"/>
      <c r="Z40" s="777">
        <f t="shared" si="13"/>
        <v>111</v>
      </c>
      <c r="AA40" s="1811">
        <f t="shared" si="3"/>
        <v>1</v>
      </c>
      <c r="AB40" s="1811">
        <f t="shared" si="4"/>
        <v>1</v>
      </c>
      <c r="AC40" s="1811">
        <f t="shared" si="5"/>
        <v>1</v>
      </c>
    </row>
    <row r="41" spans="1:29" ht="15">
      <c r="A41" s="479" t="s">
        <v>2718</v>
      </c>
      <c r="B41" s="2703" t="s">
        <v>2798</v>
      </c>
      <c r="C41" s="681" t="s">
        <v>1</v>
      </c>
      <c r="D41" s="481"/>
      <c r="E41" s="482"/>
      <c r="F41" s="483"/>
      <c r="G41" s="484"/>
      <c r="H41" s="485"/>
      <c r="I41" s="482"/>
      <c r="J41" s="485"/>
      <c r="K41" s="780"/>
      <c r="L41" s="1143"/>
      <c r="M41" s="1131"/>
      <c r="N41" s="1131"/>
      <c r="O41" s="1144"/>
      <c r="P41" s="3205" t="str">
        <f>A41</f>
        <v>成交单价</v>
      </c>
      <c r="Q41" s="3205"/>
      <c r="R41" s="3165">
        <f>E41</f>
        <v>0</v>
      </c>
      <c r="S41" s="3165"/>
      <c r="T41" s="3165">
        <f>G41</f>
        <v>0</v>
      </c>
      <c r="U41" s="3165"/>
      <c r="V41" s="3165">
        <f>I41</f>
        <v>0</v>
      </c>
      <c r="W41" s="3165"/>
      <c r="X41" s="756"/>
      <c r="Y41" s="778"/>
      <c r="Z41" s="756"/>
      <c r="AA41" s="756"/>
      <c r="AB41" s="756"/>
      <c r="AC41" s="756"/>
    </row>
    <row r="42" spans="1:29" ht="15.75" thickBot="1">
      <c r="A42" s="486" t="s">
        <v>2667</v>
      </c>
      <c r="B42" s="682"/>
      <c r="C42" s="490" t="e">
        <f>R43</f>
        <v>#DIV/0!</v>
      </c>
      <c r="D42" s="489"/>
      <c r="E42" s="490" t="e">
        <f>R42</f>
        <v>#DIV/0!</v>
      </c>
      <c r="F42" s="491"/>
      <c r="G42" s="488" t="e">
        <f>T42</f>
        <v>#DIV/0!</v>
      </c>
      <c r="H42" s="489"/>
      <c r="I42" s="490" t="e">
        <f>V42</f>
        <v>#DIV/0!</v>
      </c>
      <c r="J42" s="489"/>
      <c r="K42" s="781"/>
      <c r="L42" s="1143"/>
      <c r="M42" s="1131"/>
      <c r="N42" s="1131"/>
      <c r="O42" s="1144"/>
      <c r="P42" s="3205" t="str">
        <f>A42</f>
        <v>比较价值（元/平方米）</v>
      </c>
      <c r="Q42" s="3205"/>
      <c r="R42" s="3250" t="e">
        <f>ROUND(PRODUCT(R41,AA7:AA40),0)</f>
        <v>#DIV/0!</v>
      </c>
      <c r="S42" s="3250"/>
      <c r="T42" s="3250" t="e">
        <f>ROUND(PRODUCT(T41,AB7:AB40),0)</f>
        <v>#DIV/0!</v>
      </c>
      <c r="U42" s="3250"/>
      <c r="V42" s="3250" t="e">
        <f>ROUND(PRODUCT(V41,AC7:AC40),0)</f>
        <v>#DIV/0!</v>
      </c>
      <c r="W42" s="3250"/>
      <c r="X42" s="756"/>
      <c r="Y42" s="756"/>
      <c r="Z42" s="756"/>
      <c r="AA42" s="756"/>
      <c r="AB42" s="756"/>
      <c r="AC42" s="756"/>
    </row>
    <row r="43" spans="1:29" ht="15.75" thickBot="1">
      <c r="A43" s="492" t="s">
        <v>2668</v>
      </c>
      <c r="B43" s="493"/>
      <c r="C43" s="494" t="e">
        <f>R43</f>
        <v>#DIV/0!</v>
      </c>
      <c r="D43" s="494"/>
      <c r="E43" s="494"/>
      <c r="F43" s="494"/>
      <c r="G43" s="494"/>
      <c r="H43" s="494"/>
      <c r="I43" s="494"/>
      <c r="J43" s="494"/>
      <c r="K43" s="782"/>
      <c r="L43" s="1143"/>
      <c r="M43" s="1131"/>
      <c r="N43" s="1131"/>
      <c r="O43" s="1144"/>
      <c r="P43" s="3207" t="str">
        <f>A43</f>
        <v>估价对象XX用房的比较价值（楼面单价，元/平方米）</v>
      </c>
      <c r="Q43" s="3208"/>
      <c r="R43" s="3251" t="e">
        <f>ROUND(AVERAGE(R42:V42),0)</f>
        <v>#DIV/0!</v>
      </c>
      <c r="S43" s="3251"/>
      <c r="T43" s="3251"/>
      <c r="U43" s="3251"/>
      <c r="V43" s="3251"/>
      <c r="W43" s="3251"/>
      <c r="X43" s="756"/>
      <c r="Y43" s="756"/>
      <c r="Z43" s="756"/>
      <c r="AA43" s="756"/>
      <c r="AB43" s="756"/>
      <c r="AC43" s="756"/>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59"/>
      <c r="D49" s="757"/>
      <c r="E49" s="757"/>
      <c r="F49" s="757"/>
      <c r="G49" s="757"/>
      <c r="H49" s="757"/>
      <c r="I49" s="757"/>
      <c r="J49" s="757"/>
      <c r="K49" s="1148"/>
      <c r="L49" s="1149"/>
      <c r="M49" s="1145"/>
      <c r="N49" s="1145"/>
      <c r="O49" s="1145"/>
    </row>
    <row r="50" spans="1:17" ht="27">
      <c r="A50" s="683" t="s">
        <v>2756</v>
      </c>
      <c r="B50" s="684" t="s">
        <v>2757</v>
      </c>
      <c r="C50" s="2704" t="s">
        <v>2758</v>
      </c>
      <c r="D50" s="2705" t="s">
        <v>2759</v>
      </c>
      <c r="E50" s="685" t="s">
        <v>2760</v>
      </c>
      <c r="F50" s="686" t="s">
        <v>2761</v>
      </c>
      <c r="G50" s="3183" t="s">
        <v>2762</v>
      </c>
      <c r="H50" s="3252"/>
      <c r="I50" s="1814" t="s">
        <v>2799</v>
      </c>
      <c r="J50" s="1814" t="str">
        <f>项目基本情况!F35</f>
        <v>湖北省武汉市江夏区江夏经济开发区街文化大道36号鹏湖湾二期2-4栋/单元1-2层1号等31套商业用房</v>
      </c>
      <c r="K50" s="2707" t="s">
        <v>2764</v>
      </c>
      <c r="L50" s="1106"/>
      <c r="M50" s="1144"/>
      <c r="N50" s="1144"/>
      <c r="O50" s="1144"/>
    </row>
    <row r="51" spans="1:17" s="691" customFormat="1">
      <c r="A51" s="687" t="s">
        <v>2765</v>
      </c>
      <c r="B51" s="688" t="e">
        <f>C43</f>
        <v>#DIV/0!</v>
      </c>
      <c r="C51" s="689">
        <v>1</v>
      </c>
      <c r="D51" s="1163">
        <v>1</v>
      </c>
      <c r="E51" s="689">
        <f>'数据-汇总表'!E8+'数据-汇总表'!E9</f>
        <v>8582.619999999999</v>
      </c>
      <c r="F51" s="690" t="e">
        <f t="shared" ref="F51:F60" si="15">ROUND(B51*E51/10000,0)</f>
        <v>#DIV/0!</v>
      </c>
      <c r="G51" s="3182"/>
      <c r="H51" s="3205"/>
      <c r="I51" s="942">
        <v>1</v>
      </c>
      <c r="J51" s="942">
        <v>1</v>
      </c>
      <c r="K51" s="1145"/>
      <c r="L51" s="941"/>
      <c r="M51" s="941"/>
      <c r="N51" s="941"/>
      <c r="O51" s="941"/>
    </row>
    <row r="52" spans="1:17" s="691" customFormat="1">
      <c r="A52" s="692" t="s">
        <v>2766</v>
      </c>
      <c r="B52" s="262" t="e">
        <f>ROUND($C$43*C52*D52,0)</f>
        <v>#DIV/0!</v>
      </c>
      <c r="C52" s="200">
        <f t="shared" ref="C52:C60" si="16">IF($C$50="北京市系数",I52,J52)</f>
        <v>0</v>
      </c>
      <c r="D52" s="1164">
        <v>0.25</v>
      </c>
      <c r="E52" s="693"/>
      <c r="F52" s="690" t="e">
        <f t="shared" si="15"/>
        <v>#DIV/0!</v>
      </c>
      <c r="G52" s="3253" t="s">
        <v>2767</v>
      </c>
      <c r="H52" s="1104">
        <f>项目基本情况!B37</f>
        <v>0</v>
      </c>
      <c r="I52" s="942">
        <f>SUMIF(修正!A45:A56,H52,修正!B45:B56)</f>
        <v>0</v>
      </c>
      <c r="J52" s="943"/>
      <c r="K52" s="1144"/>
      <c r="L52" s="941"/>
      <c r="M52" s="941"/>
      <c r="N52" s="941"/>
      <c r="O52" s="941"/>
    </row>
    <row r="53" spans="1:17" s="691" customFormat="1">
      <c r="A53" s="692" t="s">
        <v>2768</v>
      </c>
      <c r="B53" s="262" t="e">
        <f t="shared" ref="B53:B60" si="17">ROUND($C$43*C53*D53,0)</f>
        <v>#DIV/0!</v>
      </c>
      <c r="C53" s="200">
        <f t="shared" si="16"/>
        <v>0</v>
      </c>
      <c r="D53" s="1164">
        <v>0.25</v>
      </c>
      <c r="E53" s="693"/>
      <c r="F53" s="690" t="e">
        <f t="shared" si="15"/>
        <v>#DIV/0!</v>
      </c>
      <c r="G53" s="3253"/>
      <c r="H53" s="1104">
        <f>项目基本情况!B37</f>
        <v>0</v>
      </c>
      <c r="I53" s="942">
        <f>SUMIF(修正!A45:A56,H53,修正!C45:C56)</f>
        <v>0</v>
      </c>
      <c r="J53" s="943"/>
      <c r="K53" s="1145"/>
      <c r="L53" s="941"/>
      <c r="M53" s="941"/>
      <c r="N53" s="941"/>
      <c r="O53" s="941"/>
    </row>
    <row r="54" spans="1:17" s="691" customFormat="1">
      <c r="A54" s="692" t="s">
        <v>2769</v>
      </c>
      <c r="B54" s="262" t="e">
        <f t="shared" si="17"/>
        <v>#DIV/0!</v>
      </c>
      <c r="C54" s="200">
        <f t="shared" si="16"/>
        <v>0</v>
      </c>
      <c r="D54" s="1164">
        <v>0.25</v>
      </c>
      <c r="E54" s="693"/>
      <c r="F54" s="690" t="e">
        <f t="shared" si="15"/>
        <v>#DIV/0!</v>
      </c>
      <c r="G54" s="3253"/>
      <c r="H54" s="1104">
        <f>项目基本情况!B37</f>
        <v>0</v>
      </c>
      <c r="I54" s="942">
        <f>SUMIF(修正!A45:A56,H54,修正!D45:D56)</f>
        <v>0</v>
      </c>
      <c r="J54" s="943"/>
      <c r="K54" s="1144"/>
      <c r="L54" s="941"/>
      <c r="M54" s="941"/>
      <c r="N54" s="941"/>
      <c r="O54" s="941"/>
    </row>
    <row r="55" spans="1:17" s="691" customFormat="1">
      <c r="A55" s="692" t="s">
        <v>2770</v>
      </c>
      <c r="B55" s="262" t="e">
        <f t="shared" si="17"/>
        <v>#DIV/0!</v>
      </c>
      <c r="C55" s="200">
        <f t="shared" si="16"/>
        <v>0</v>
      </c>
      <c r="D55" s="1164">
        <v>0.25</v>
      </c>
      <c r="E55" s="693"/>
      <c r="F55" s="690" t="e">
        <f t="shared" si="15"/>
        <v>#DIV/0!</v>
      </c>
      <c r="G55" s="3253"/>
      <c r="H55" s="1104">
        <f>项目基本情况!B37</f>
        <v>0</v>
      </c>
      <c r="I55" s="942">
        <f>SUMIF(修正!A45:A56,H55,修正!E45:E56)</f>
        <v>0</v>
      </c>
      <c r="J55" s="943"/>
      <c r="K55" s="1145"/>
      <c r="L55" s="941"/>
      <c r="M55" s="941"/>
      <c r="N55" s="941"/>
      <c r="O55" s="941"/>
    </row>
    <row r="56" spans="1:17" s="691" customFormat="1">
      <c r="A56" s="692" t="s">
        <v>2771</v>
      </c>
      <c r="B56" s="262" t="e">
        <f t="shared" si="17"/>
        <v>#DIV/0!</v>
      </c>
      <c r="C56" s="200">
        <f t="shared" si="16"/>
        <v>0</v>
      </c>
      <c r="D56" s="1164">
        <v>0.25</v>
      </c>
      <c r="E56" s="261">
        <f>'数据-汇总表'!E11</f>
        <v>0</v>
      </c>
      <c r="F56" s="690" t="e">
        <f t="shared" si="15"/>
        <v>#DIV/0!</v>
      </c>
      <c r="G56" s="2708" t="s">
        <v>2772</v>
      </c>
      <c r="H56" s="1104">
        <f>项目基本情况!C37</f>
        <v>0</v>
      </c>
      <c r="I56" s="942">
        <f>SUMIF(修正!A45:A56,H56,修正!F45:F56)</f>
        <v>0</v>
      </c>
      <c r="J56" s="943"/>
      <c r="K56" s="1144"/>
      <c r="L56" s="941"/>
      <c r="M56" s="941"/>
      <c r="N56" s="941"/>
      <c r="O56" s="941"/>
    </row>
    <row r="57" spans="1:17" s="691" customFormat="1">
      <c r="A57" s="692" t="s">
        <v>2773</v>
      </c>
      <c r="B57" s="262" t="e">
        <f t="shared" si="17"/>
        <v>#DIV/0!</v>
      </c>
      <c r="C57" s="200">
        <f t="shared" si="16"/>
        <v>0</v>
      </c>
      <c r="D57" s="1164">
        <v>0.25</v>
      </c>
      <c r="E57" s="261">
        <f>'数据-汇总表'!E12</f>
        <v>0</v>
      </c>
      <c r="F57" s="690"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1" customFormat="1">
      <c r="A58" s="692" t="s">
        <v>2775</v>
      </c>
      <c r="B58" s="262" t="e">
        <f t="shared" si="17"/>
        <v>#DIV/0!</v>
      </c>
      <c r="C58" s="200">
        <f t="shared" si="16"/>
        <v>0</v>
      </c>
      <c r="D58" s="1164">
        <v>0.25</v>
      </c>
      <c r="E58" s="261">
        <f>'数据-汇总表'!E13</f>
        <v>0</v>
      </c>
      <c r="F58" s="690"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1" customFormat="1">
      <c r="A59" s="692" t="s">
        <v>2777</v>
      </c>
      <c r="B59" s="262" t="e">
        <f t="shared" si="17"/>
        <v>#DIV/0!</v>
      </c>
      <c r="C59" s="200">
        <f t="shared" si="16"/>
        <v>0</v>
      </c>
      <c r="D59" s="1164">
        <v>0.25</v>
      </c>
      <c r="E59" s="261">
        <f>'数据-汇总表'!E14</f>
        <v>0</v>
      </c>
      <c r="F59" s="690" t="e">
        <f t="shared" si="15"/>
        <v>#DIV/0!</v>
      </c>
      <c r="G59" s="2708" t="s">
        <v>2767</v>
      </c>
      <c r="H59" s="1104">
        <f>项目基本情况!B37</f>
        <v>0</v>
      </c>
      <c r="I59" s="942">
        <f>SUMIF(修正!A45:A56,H59,修正!H45:H56)</f>
        <v>0</v>
      </c>
      <c r="J59" s="943"/>
      <c r="K59" s="1145"/>
      <c r="L59" s="941"/>
      <c r="M59" s="941"/>
      <c r="N59" s="941"/>
      <c r="O59" s="941"/>
    </row>
    <row r="60" spans="1:17" s="691" customFormat="1" ht="15" thickBot="1">
      <c r="A60" s="692" t="s">
        <v>2778</v>
      </c>
      <c r="B60" s="262" t="e">
        <f t="shared" si="17"/>
        <v>#DIV/0!</v>
      </c>
      <c r="C60" s="200">
        <f t="shared" si="16"/>
        <v>0</v>
      </c>
      <c r="D60" s="1164">
        <v>0.25</v>
      </c>
      <c r="E60" s="261">
        <f>'数据-汇总表'!E15</f>
        <v>0</v>
      </c>
      <c r="F60" s="690" t="e">
        <f t="shared" si="15"/>
        <v>#DIV/0!</v>
      </c>
      <c r="G60" s="2709" t="s">
        <v>2772</v>
      </c>
      <c r="H60" s="1114">
        <f>项目基本情况!C37</f>
        <v>0</v>
      </c>
      <c r="I60" s="942">
        <f>SUMIF(修正!A45:A56,H60,修正!H45:H56)</f>
        <v>0</v>
      </c>
      <c r="J60" s="943"/>
      <c r="K60" s="1144"/>
      <c r="L60" s="941"/>
      <c r="M60" s="941"/>
      <c r="N60" s="941"/>
      <c r="O60" s="941"/>
    </row>
    <row r="61" spans="1:17" s="691" customFormat="1" ht="15" thickBot="1">
      <c r="A61" s="694" t="s">
        <v>2779</v>
      </c>
      <c r="B61" s="695" t="s">
        <v>28</v>
      </c>
      <c r="C61" s="695" t="s">
        <v>29</v>
      </c>
      <c r="D61" s="695" t="s">
        <v>1029</v>
      </c>
      <c r="E61" s="695">
        <f>IF(B41="楼面地价",SUM(E51:E60),'数据-汇总表'!D3)</f>
        <v>1023.05</v>
      </c>
      <c r="F61" s="696"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8" t="str">
        <f>YEAR(C7)&amp;"-"&amp;MONTH(C7)&amp;"-1"</f>
        <v>2018-6-1</v>
      </c>
      <c r="D63" s="758">
        <f>EDATE(C63,-3)</f>
        <v>43160</v>
      </c>
      <c r="E63" s="758">
        <f>EDATE(D63,-3)</f>
        <v>43070</v>
      </c>
      <c r="F63" s="758">
        <f t="shared" ref="F63:O63" si="18">EDATE(E63,-3)</f>
        <v>42979</v>
      </c>
      <c r="G63" s="758">
        <f t="shared" si="18"/>
        <v>42887</v>
      </c>
      <c r="H63" s="758">
        <f t="shared" si="18"/>
        <v>42795</v>
      </c>
      <c r="I63" s="758">
        <f t="shared" si="18"/>
        <v>42705</v>
      </c>
      <c r="J63" s="758">
        <f t="shared" si="18"/>
        <v>42614</v>
      </c>
      <c r="K63" s="758">
        <f t="shared" si="18"/>
        <v>42522</v>
      </c>
      <c r="L63" s="758">
        <f t="shared" si="18"/>
        <v>42430</v>
      </c>
      <c r="M63" s="758">
        <f t="shared" si="18"/>
        <v>42339</v>
      </c>
      <c r="N63" s="758">
        <f t="shared" si="18"/>
        <v>42248</v>
      </c>
      <c r="O63" s="758">
        <f t="shared" si="18"/>
        <v>42156</v>
      </c>
    </row>
    <row r="64" spans="1:17" ht="21.75" thickBot="1">
      <c r="A64" s="760" t="s">
        <v>2672</v>
      </c>
      <c r="B64" s="756"/>
      <c r="C64" s="761"/>
      <c r="D64" s="761"/>
      <c r="E64" s="761"/>
      <c r="F64" s="762"/>
      <c r="G64" s="762"/>
      <c r="H64" s="761"/>
      <c r="I64" s="761"/>
      <c r="J64" s="761"/>
      <c r="K64" s="763"/>
      <c r="L64" s="764"/>
      <c r="M64" s="761"/>
      <c r="N64" s="761"/>
      <c r="O64" s="1159"/>
      <c r="P64" s="503"/>
      <c r="Q64" s="504"/>
    </row>
    <row r="65" spans="1:17" s="508" customFormat="1" ht="15">
      <c r="A65" s="2710" t="s">
        <v>2780</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7"/>
    </row>
    <row r="66" spans="1:17" s="117" customFormat="1" ht="30.75" customHeight="1">
      <c r="A66" s="2715" t="s">
        <v>2800</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8">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2703</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7"/>
      <c r="M87" s="621"/>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1"/>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4"/>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6"/>
      <c r="H106" s="676"/>
      <c r="I106" s="676"/>
      <c r="J106" s="676"/>
      <c r="K106" s="676"/>
      <c r="L106" s="676"/>
      <c r="M106" s="698"/>
      <c r="N106" s="1153"/>
      <c r="O106" s="1153"/>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699"/>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40" t="s">
        <v>2802</v>
      </c>
      <c r="B1" s="241"/>
      <c r="C1" s="245" t="s">
        <v>2803</v>
      </c>
      <c r="D1" s="388">
        <f>SUM(D29:D30,D33:D39)</f>
        <v>0</v>
      </c>
      <c r="E1" s="2716"/>
      <c r="F1" s="2716"/>
      <c r="G1" s="2716"/>
      <c r="H1" s="2716"/>
      <c r="I1" s="2716"/>
      <c r="J1" s="2716"/>
      <c r="K1" s="1370"/>
      <c r="L1" s="2717" t="s">
        <v>2804</v>
      </c>
      <c r="M1" s="1080">
        <f>SUMPRODUCT((区片价!B5:B9=I2)*(区片价!C3:F3=E2)*(区片价!C5:F9))</f>
        <v>0</v>
      </c>
      <c r="N1" s="1083">
        <f>SUMPRODUCT((因素修正幅度!B5:B9=I2)*(因素修正幅度!C3:F3=E2)*(因素修正幅度!C5:F9))</f>
        <v>0</v>
      </c>
      <c r="O1" s="2718"/>
      <c r="P1" s="2718"/>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0" t="s">
        <v>2811</v>
      </c>
      <c r="D2" s="2721" t="s">
        <v>2812</v>
      </c>
      <c r="E2" s="2722"/>
      <c r="F2" s="2721" t="s">
        <v>2813</v>
      </c>
      <c r="G2" s="2723">
        <f>IF(E2="商业",项目基本情况!B37,IF(E2="办公",项目基本情况!C37,IF(E2="住宅",项目基本情况!D37,项目基本情况!E37)))</f>
        <v>0</v>
      </c>
      <c r="H2" s="2721" t="s">
        <v>2814</v>
      </c>
      <c r="I2" s="2723">
        <f>IF(E2="商业",项目基本情况!B38,IF(E2="办公",项目基本情况!C38,IF(E2="住宅",项目基本情况!D38,项目基本情况!E38)))</f>
        <v>0</v>
      </c>
      <c r="J2" s="2724"/>
      <c r="K2" s="1370"/>
      <c r="L2" s="2725"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0" t="s">
        <v>2817</v>
      </c>
      <c r="D3" s="2721" t="s">
        <v>2818</v>
      </c>
      <c r="E3" s="2726"/>
      <c r="F3" s="2727" t="s">
        <v>2819</v>
      </c>
      <c r="G3" s="913">
        <f>IF(F3="宗地容积率",'数据-汇总表'!I4,IF(F3="估价对象容积率",'数据-汇总表'!I6,'数据-汇总表'!I7))</f>
        <v>8.39</v>
      </c>
      <c r="H3" s="198" t="s">
        <v>2820</v>
      </c>
      <c r="I3" s="944"/>
      <c r="J3" s="2724" t="s">
        <v>2821</v>
      </c>
      <c r="K3" s="1370"/>
      <c r="L3" s="2725"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72"/>
      <c r="B4" s="3273"/>
      <c r="C4" s="3273"/>
      <c r="D4" s="3274"/>
      <c r="E4" s="3274"/>
      <c r="F4" s="3274"/>
      <c r="G4" s="3274"/>
      <c r="H4" s="3274"/>
      <c r="I4" s="3274"/>
      <c r="J4" s="3275"/>
      <c r="K4" s="1370"/>
      <c r="L4" s="2725"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2824</v>
      </c>
      <c r="C5" s="914" t="e">
        <f>ROUND(IF(E2="商业",IF(F16="增加",C6*C7+C16,C6*C7-C16),IF(E2="住宅",IF(F16="增加",C6*C12+C16,C6*C12-C16),IF(F16="增加",C6+C16,C6-C16))),0)</f>
        <v>#DIV/0!</v>
      </c>
      <c r="D5" s="1787">
        <f>ROUND(IF(E2="商业",IF(F16="增加",C6+C16,C6-C16)),0)</f>
        <v>0</v>
      </c>
      <c r="E5" s="2730"/>
      <c r="F5" s="2730"/>
      <c r="G5" s="2731"/>
      <c r="H5" s="2731"/>
      <c r="I5" s="2731"/>
      <c r="J5" s="2732"/>
      <c r="K5" s="2733"/>
      <c r="L5" s="2725"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4"/>
      <c r="AD5" s="2735"/>
      <c r="AE5" s="2735"/>
      <c r="AF5" s="2735"/>
      <c r="AG5" s="2735"/>
      <c r="AH5" s="2735"/>
      <c r="AI5" s="2735"/>
      <c r="AJ5" s="2736"/>
    </row>
    <row r="6" spans="1:36" ht="15.75" thickBot="1">
      <c r="A6" s="2738" t="s">
        <v>2826</v>
      </c>
      <c r="B6" s="2739" t="s">
        <v>2827</v>
      </c>
      <c r="C6" s="915">
        <f>SUMIF(L1:L12,G2,M1:M12)</f>
        <v>0</v>
      </c>
      <c r="D6" s="2740" t="s">
        <v>2828</v>
      </c>
      <c r="E6" s="2741"/>
      <c r="F6" s="2741"/>
      <c r="G6" s="2742"/>
      <c r="H6" s="2742"/>
      <c r="I6" s="2742"/>
      <c r="J6" s="2743"/>
      <c r="K6" s="1842"/>
      <c r="L6" s="2725"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4"/>
      <c r="AD6" s="2735"/>
      <c r="AE6" s="2735"/>
      <c r="AF6" s="2735"/>
      <c r="AG6" s="2735"/>
      <c r="AH6" s="2735"/>
      <c r="AI6" s="2735"/>
      <c r="AJ6" s="2736"/>
    </row>
    <row r="7" spans="1:36" ht="24">
      <c r="A7" s="3258" t="str">
        <f>IF(E2="商业",IF(C8="不临58条商业街","",2),"")</f>
        <v/>
      </c>
      <c r="B7" s="2744" t="s">
        <v>2830</v>
      </c>
      <c r="C7" s="916" t="e">
        <f>IF(C8="不临58条商业街",1,ROUND(1+(1.6*E8+1.2*E9+0.8*E10+0.4*E11)*C9,4))</f>
        <v>#DIV/0!</v>
      </c>
      <c r="D7" s="2745" t="s">
        <v>2831</v>
      </c>
      <c r="E7" s="945"/>
      <c r="F7" s="2746"/>
      <c r="G7" s="2747"/>
      <c r="H7" s="2747"/>
      <c r="I7" s="2747"/>
      <c r="J7" s="2748"/>
      <c r="K7" s="1842"/>
      <c r="L7" s="2725"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8.39</v>
      </c>
      <c r="AA7" s="1606"/>
      <c r="AB7" s="1606"/>
      <c r="AC7" s="1607"/>
      <c r="AD7" s="1608"/>
      <c r="AE7" s="1608"/>
      <c r="AF7" s="1608"/>
      <c r="AG7" s="1608"/>
      <c r="AH7" s="1608"/>
      <c r="AI7" s="1608"/>
      <c r="AJ7" s="1609"/>
    </row>
    <row r="8" spans="1:36" ht="15">
      <c r="A8" s="3259"/>
      <c r="B8" s="198" t="s">
        <v>2835</v>
      </c>
      <c r="C8" s="2749"/>
      <c r="D8" s="917" t="s">
        <v>139</v>
      </c>
      <c r="E8" s="918" t="e">
        <f>ROUND(C11/E7,4)</f>
        <v>#DIV/0!</v>
      </c>
      <c r="F8" s="2750" t="s">
        <v>2836</v>
      </c>
      <c r="G8" s="2751"/>
      <c r="H8" s="2751"/>
      <c r="I8" s="2751"/>
      <c r="J8" s="2752"/>
      <c r="K8" s="1370"/>
      <c r="L8" s="2725"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69" t="s">
        <v>2838</v>
      </c>
      <c r="X8" s="3270"/>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59"/>
      <c r="B9" s="198" t="s">
        <v>2851</v>
      </c>
      <c r="C9" s="919">
        <f>SUMIF(修正!C59:C119,C8,修正!E59:E119)</f>
        <v>0</v>
      </c>
      <c r="D9" s="200" t="s">
        <v>140</v>
      </c>
      <c r="E9" s="200" t="e">
        <f>ROUND(C11/E7,4)</f>
        <v>#DIV/0!</v>
      </c>
      <c r="F9" s="2750" t="s">
        <v>2852</v>
      </c>
      <c r="G9" s="2751"/>
      <c r="H9" s="2751"/>
      <c r="I9" s="2751"/>
      <c r="J9" s="2752"/>
      <c r="K9" s="1370"/>
      <c r="L9" s="2725"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71"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9"/>
      <c r="B10" s="198" t="s">
        <v>2856</v>
      </c>
      <c r="C10" s="200">
        <f>SUMIF(修正!C59:C119,C8,修正!F59:F119)</f>
        <v>0</v>
      </c>
      <c r="D10" s="200" t="s">
        <v>141</v>
      </c>
      <c r="E10" s="200" t="e">
        <f>ROUND(C11/E7,4)</f>
        <v>#DIV/0!</v>
      </c>
      <c r="F10" s="2750" t="s">
        <v>2857</v>
      </c>
      <c r="G10" s="2751"/>
      <c r="H10" s="2751"/>
      <c r="I10" s="2751"/>
      <c r="J10" s="2752"/>
      <c r="K10" s="1370"/>
      <c r="L10" s="2725"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7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9"/>
      <c r="B11" s="2753" t="s">
        <v>2859</v>
      </c>
      <c r="C11" s="920">
        <f>C10/4</f>
        <v>0</v>
      </c>
      <c r="D11" s="920" t="s">
        <v>142</v>
      </c>
      <c r="E11" s="920" t="e">
        <f>ROUND(C11/E7,4)</f>
        <v>#DIV/0!</v>
      </c>
      <c r="F11" s="2754" t="s">
        <v>2860</v>
      </c>
      <c r="G11" s="2755"/>
      <c r="H11" s="2755"/>
      <c r="I11" s="2755"/>
      <c r="J11" s="2756"/>
      <c r="K11" s="1370"/>
      <c r="L11" s="2725"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71" t="s">
        <v>2862</v>
      </c>
      <c r="X11" s="1614" t="s">
        <v>2863</v>
      </c>
      <c r="Y11" s="1615">
        <f>$G$3</f>
        <v>8.39</v>
      </c>
      <c r="Z11" s="1615">
        <f t="shared" ref="Z11:AJ11" si="3">$G$3</f>
        <v>8.39</v>
      </c>
      <c r="AA11" s="1615">
        <f t="shared" si="3"/>
        <v>8.39</v>
      </c>
      <c r="AB11" s="1615">
        <f t="shared" si="3"/>
        <v>8.39</v>
      </c>
      <c r="AC11" s="1615">
        <f t="shared" si="3"/>
        <v>8.39</v>
      </c>
      <c r="AD11" s="1615">
        <f t="shared" si="3"/>
        <v>8.39</v>
      </c>
      <c r="AE11" s="1615">
        <f t="shared" si="3"/>
        <v>8.39</v>
      </c>
      <c r="AF11" s="1615">
        <f t="shared" si="3"/>
        <v>8.39</v>
      </c>
      <c r="AG11" s="1615">
        <f t="shared" si="3"/>
        <v>8.39</v>
      </c>
      <c r="AH11" s="1615">
        <f t="shared" si="3"/>
        <v>8.39</v>
      </c>
      <c r="AI11" s="1615">
        <f t="shared" si="3"/>
        <v>8.39</v>
      </c>
      <c r="AJ11" s="1615">
        <f t="shared" si="3"/>
        <v>8.39</v>
      </c>
    </row>
    <row r="12" spans="1:36" ht="25.5" thickBot="1">
      <c r="A12" s="3258" t="s">
        <v>2864</v>
      </c>
      <c r="B12" s="2757" t="s">
        <v>2865</v>
      </c>
      <c r="C12" s="916">
        <f>ROUND(C15*D15*E15*F15*G15*H15*I15*J15,4)</f>
        <v>1</v>
      </c>
      <c r="D12" s="2758" t="s">
        <v>2866</v>
      </c>
      <c r="E12" s="2759"/>
      <c r="F12" s="2759"/>
      <c r="G12" s="2760"/>
      <c r="H12" s="2760"/>
      <c r="I12" s="2760"/>
      <c r="J12" s="2761"/>
      <c r="K12" s="1370"/>
      <c r="L12" s="2762"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71"/>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76"/>
      <c r="B13" s="2763" t="s">
        <v>2869</v>
      </c>
      <c r="C13" s="2764" t="s">
        <v>2870</v>
      </c>
      <c r="D13" s="1808" t="s">
        <v>2871</v>
      </c>
      <c r="E13" s="1808" t="s">
        <v>2872</v>
      </c>
      <c r="F13" s="30" t="s">
        <v>2873</v>
      </c>
      <c r="G13" s="2765" t="s">
        <v>2874</v>
      </c>
      <c r="H13" s="2765" t="s">
        <v>2874</v>
      </c>
      <c r="I13" s="2765" t="s">
        <v>2874</v>
      </c>
      <c r="J13" s="2766" t="s">
        <v>2874</v>
      </c>
      <c r="K13" s="1370"/>
      <c r="L13" s="1370"/>
      <c r="M13" s="1370"/>
      <c r="N13" s="1370"/>
      <c r="O13" s="1370"/>
      <c r="P13" s="1370"/>
      <c r="Q13" s="1370"/>
      <c r="R13" s="1602">
        <v>12</v>
      </c>
      <c r="S13" s="1603"/>
      <c r="T13" s="1602" t="e">
        <f t="shared" si="0"/>
        <v>#DIV/0!</v>
      </c>
      <c r="U13" s="1603"/>
      <c r="V13" s="1602" t="e">
        <f t="shared" si="1"/>
        <v>#DIV/0!</v>
      </c>
      <c r="W13" s="3271"/>
      <c r="X13" s="1616"/>
      <c r="Y13" s="1613">
        <f>(-0.163*(Y12^2)-0.59*Y12+7617)*(10^(-4))/Y11</f>
        <v>9.0786650774731817E-2</v>
      </c>
      <c r="Z13" s="1613">
        <f t="shared" ref="Z13:AJ13" si="5">(-0.163*(Z12^2)-0.59*Z12+7617)*(10^(-4))/Z11</f>
        <v>9.0786650774731817E-2</v>
      </c>
      <c r="AA13" s="1613">
        <f t="shared" si="5"/>
        <v>9.0786650774731817E-2</v>
      </c>
      <c r="AB13" s="1613">
        <f t="shared" si="5"/>
        <v>9.0786650774731817E-2</v>
      </c>
      <c r="AC13" s="1613">
        <f t="shared" si="5"/>
        <v>9.0786650774731817E-2</v>
      </c>
      <c r="AD13" s="1613">
        <f t="shared" si="5"/>
        <v>9.0786650774731817E-2</v>
      </c>
      <c r="AE13" s="1613">
        <f t="shared" si="5"/>
        <v>9.0786650774731817E-2</v>
      </c>
      <c r="AF13" s="1613">
        <f t="shared" si="5"/>
        <v>9.0786650774731817E-2</v>
      </c>
      <c r="AG13" s="1613">
        <f t="shared" si="5"/>
        <v>9.0786650774731817E-2</v>
      </c>
      <c r="AH13" s="1613">
        <f t="shared" si="5"/>
        <v>9.0786650774731817E-2</v>
      </c>
      <c r="AI13" s="1613">
        <f t="shared" si="5"/>
        <v>9.0786650774731817E-2</v>
      </c>
      <c r="AJ13" s="1613">
        <f t="shared" si="5"/>
        <v>9.0786650774731817E-2</v>
      </c>
    </row>
    <row r="14" spans="1:36" ht="15">
      <c r="A14" s="3276"/>
      <c r="B14" s="2767"/>
      <c r="C14" s="2768"/>
      <c r="D14" s="2769"/>
      <c r="E14" s="2769"/>
      <c r="F14" s="2770"/>
      <c r="G14" s="2771" t="s">
        <v>2875</v>
      </c>
      <c r="H14" s="2772"/>
      <c r="I14" s="2773"/>
      <c r="J14" s="2774"/>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77"/>
      <c r="B15" s="2775" t="s">
        <v>2876</v>
      </c>
      <c r="C15" s="229">
        <f>IF(C14="有",1.1,1)</f>
        <v>1</v>
      </c>
      <c r="D15" s="229">
        <f>IF(D14="有",1.1,1)</f>
        <v>1</v>
      </c>
      <c r="E15" s="229">
        <f>IF(E14="有",1.1,1)</f>
        <v>1</v>
      </c>
      <c r="F15" s="229">
        <f>IF(F14="500米范围内",1.2,IF(F14="500-1000米",1.1,1))</f>
        <v>1</v>
      </c>
      <c r="G15" s="946">
        <v>1</v>
      </c>
      <c r="H15" s="946">
        <v>1</v>
      </c>
      <c r="I15" s="946">
        <v>1</v>
      </c>
      <c r="J15" s="947">
        <v>1</v>
      </c>
      <c r="K15" s="1370"/>
      <c r="L15" s="2776" t="s">
        <v>2812</v>
      </c>
      <c r="M15" s="917" t="s">
        <v>2877</v>
      </c>
      <c r="N15" s="917" t="s">
        <v>2878</v>
      </c>
      <c r="O15" s="917" t="s">
        <v>2879</v>
      </c>
      <c r="P15" s="2777" t="s">
        <v>2880</v>
      </c>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58" t="s">
        <v>2881</v>
      </c>
      <c r="B16" s="2744" t="s">
        <v>2882</v>
      </c>
      <c r="C16" s="1801" t="e">
        <f>ROUND(SUM(G17:J17)/C17,0)</f>
        <v>#DIV/0!</v>
      </c>
      <c r="D16" s="2778" t="s">
        <v>2883</v>
      </c>
      <c r="E16" s="2779"/>
      <c r="F16" s="2780"/>
      <c r="G16" s="2781"/>
      <c r="H16" s="2781"/>
      <c r="I16" s="2781"/>
      <c r="J16" s="2782"/>
      <c r="K16" s="1370"/>
      <c r="L16" s="2783" t="s">
        <v>2884</v>
      </c>
      <c r="M16" s="919">
        <v>0.25</v>
      </c>
      <c r="N16" s="919">
        <v>0.2</v>
      </c>
      <c r="O16" s="919">
        <v>0.15</v>
      </c>
      <c r="P16" s="1369">
        <v>0.1</v>
      </c>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59"/>
      <c r="B17" s="2784" t="s">
        <v>2885</v>
      </c>
      <c r="C17" s="921">
        <f>SUMPRODUCT((修正!A2:A5=E2)*(修正!B1:M1=G2)*(修正!B2:M5))</f>
        <v>0</v>
      </c>
      <c r="D17" s="2785" t="s">
        <v>2886</v>
      </c>
      <c r="E17" s="920" t="str">
        <f>IF(OR(G2="八级",G2="九级",G2="十级",G2="十一级",G2="十二级"),"五通一平","七通一平")</f>
        <v>七通一平</v>
      </c>
      <c r="F17" s="921" t="s">
        <v>2887</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2888</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2889</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7.75" thickBot="1">
      <c r="A19" s="2788" t="s">
        <v>809</v>
      </c>
      <c r="B19" s="2789" t="s">
        <v>2890</v>
      </c>
      <c r="C19" s="924" t="e">
        <f>ROUND(IF(H19="按公示增长率计算",SUMPRODUCT((地价!A3:A22=YEAR(G19)&amp;"-"&amp;ROUNDUP(MONTH(G19)/3,0))*(地价!X2:AB2=E2)*(地价!X3:AB22)),IF(H19="地价指数",M20/M19,(1+I19)^O19)),4)</f>
        <v>#DIV/0!</v>
      </c>
      <c r="D19" s="2796" t="s">
        <v>2891</v>
      </c>
      <c r="E19" s="925">
        <v>41640</v>
      </c>
      <c r="F19" s="2796" t="s">
        <v>2892</v>
      </c>
      <c r="G19" s="926">
        <f>'数据-取费表'!B2</f>
        <v>43262</v>
      </c>
      <c r="H19" s="2797" t="s">
        <v>2893</v>
      </c>
      <c r="I19" s="927" t="str">
        <f>IF(H19="季度增幅（自定义）",SUMIF(N21:N24,E2,O21:O24),"")</f>
        <v/>
      </c>
      <c r="J19" s="2794"/>
      <c r="K19" s="1377"/>
      <c r="L19" s="2798" t="s">
        <v>2894</v>
      </c>
      <c r="M19" s="1734">
        <f>ROUND(SUMIF(地价!B2:F2,E2,地价!B22:F22),0)</f>
        <v>0</v>
      </c>
      <c r="N19" s="2799" t="s">
        <v>2895</v>
      </c>
      <c r="O19" s="928">
        <f>ROUNDDOWN(DATEDIF(E19,G19,"M")/3,0)</f>
        <v>17</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2896</v>
      </c>
      <c r="C20" s="929" t="e">
        <f>ROUND(POWER(1+G20,J20-I20)*(POWER(1+G20,I20)-1)/(POWER(1+G20,J20)-1),4)</f>
        <v>#DIV/0!</v>
      </c>
      <c r="D20" s="2805" t="s">
        <v>2897</v>
      </c>
      <c r="E20" s="1768">
        <f ca="1">存贷款利率!D4/100</f>
        <v>4.3499999999999997E-2</v>
      </c>
      <c r="F20" s="2805" t="s">
        <v>2888</v>
      </c>
      <c r="G20" s="934">
        <f>SUMIF(M15:P15,E2,M17:P17)</f>
        <v>0</v>
      </c>
      <c r="H20" s="2805" t="s">
        <v>2898</v>
      </c>
      <c r="I20" s="935" t="e">
        <f>SUMIF('数据-取费表'!C6:C15,E2,'数据-取费表'!F6:F15)/COUNTIF('数据-取费表'!C6:C15,E2)</f>
        <v>#DIV/0!</v>
      </c>
      <c r="J20" s="936">
        <f>IF(E2="住宅",70,IF(E2="商业",40,50))</f>
        <v>50</v>
      </c>
      <c r="K20" s="1377"/>
      <c r="L20" s="2806" t="s">
        <v>2899</v>
      </c>
      <c r="M20" s="1735">
        <f>ROUND(SUMPRODUCT((地价!A4:A22=YEAR(G19)&amp;"-"&amp;ROUNDUP(MONTH(G19)/3,0))*(地价!B2:F2=E2)*(地价!B4:F22)),0)</f>
        <v>0</v>
      </c>
      <c r="N20" s="2807" t="s">
        <v>2900</v>
      </c>
      <c r="O20" s="2808" t="s">
        <v>2901</v>
      </c>
      <c r="P20" s="2809" t="s">
        <v>2902</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2903</v>
      </c>
      <c r="C21" s="937">
        <f>IF(B21="容积率修正",IF(G3&lt;=10,D22,J22),C23)</f>
        <v>0</v>
      </c>
      <c r="D21" s="2812"/>
      <c r="E21" s="2812"/>
      <c r="F21" s="2812"/>
      <c r="G21" s="2812"/>
      <c r="H21" s="2812"/>
      <c r="I21" s="2812"/>
      <c r="J21" s="2813"/>
      <c r="K21" s="1377"/>
      <c r="N21" s="2814" t="s">
        <v>2904</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2905</v>
      </c>
      <c r="B22" s="2815" t="s">
        <v>2906</v>
      </c>
      <c r="C22" s="1810" t="s">
        <v>2907</v>
      </c>
      <c r="D22" s="1810">
        <f>IF(E22=G22,F22,IF(G3&lt;=10,ROUND(F22+(H22-F22)*(G3-E22)/(G22-E22),4),"——"))</f>
        <v>0</v>
      </c>
      <c r="E22" s="913">
        <f>ROUNDDOWN(G3,1)</f>
        <v>8.3000000000000007</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8.4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4" t="s">
        <v>2908</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7.75" thickBot="1">
      <c r="A23" s="2663" t="s">
        <v>2909</v>
      </c>
      <c r="B23" s="2816" t="s">
        <v>2910</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2911</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2912</v>
      </c>
      <c r="C24" s="924">
        <f>SUMIF(A45:A88,E2,B45:B88)</f>
        <v>0</v>
      </c>
      <c r="D24" s="2792"/>
      <c r="E24" s="2822"/>
      <c r="F24" s="2822"/>
      <c r="G24" s="2822"/>
      <c r="H24" s="2822"/>
      <c r="I24" s="2822"/>
      <c r="J24" s="2823"/>
      <c r="K24" s="1377"/>
      <c r="N24" s="2824" t="s">
        <v>2913</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2914</v>
      </c>
      <c r="C25" s="930"/>
      <c r="D25" s="2747"/>
      <c r="E25" s="2747"/>
      <c r="F25" s="2826"/>
      <c r="G25" s="2747"/>
      <c r="H25" s="2747"/>
      <c r="I25" s="2747"/>
      <c r="J25" s="2748"/>
      <c r="K25" s="1370"/>
      <c r="N25" s="2827" t="s">
        <v>2915</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5">
      <c r="A26" s="2828"/>
      <c r="B26" s="2815" t="s">
        <v>2916</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2917</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2918</v>
      </c>
      <c r="C28" s="2839" t="s">
        <v>2919</v>
      </c>
      <c r="D28" s="2839" t="s">
        <v>2920</v>
      </c>
      <c r="E28" s="2840" t="s">
        <v>2921</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2922</v>
      </c>
      <c r="C29" s="206" t="e">
        <f>ROUND(C5*C18*C19*C20*C21*C24,0)</f>
        <v>#DIV/0!</v>
      </c>
      <c r="D29" s="2844"/>
      <c r="E29" s="942" t="e">
        <f>ROUND(C29*D29/10000,0)</f>
        <v>#DIV/0!</v>
      </c>
      <c r="F29" s="2845" t="s">
        <v>2923</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2924</v>
      </c>
      <c r="C30" s="229" t="e">
        <f>ROUND(IF(E2="工业",C29*M39,C29*M38),0)</f>
        <v>#DIV/0!</v>
      </c>
      <c r="D30" s="2850"/>
      <c r="E30" s="942" t="e">
        <f>ROUND(C30*D30/10000,0)</f>
        <v>#DIV/0!</v>
      </c>
      <c r="F30" s="2851" t="s">
        <v>2925</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2926</v>
      </c>
      <c r="C31" s="2856" t="s">
        <v>2927</v>
      </c>
      <c r="D31" s="2760"/>
      <c r="E31" s="2856"/>
      <c r="F31" s="2856"/>
      <c r="G31" s="2758" t="s">
        <v>2928</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1" t="s">
        <v>2919</v>
      </c>
      <c r="D32" s="498" t="s">
        <v>2920</v>
      </c>
      <c r="E32" s="498" t="s">
        <v>2921</v>
      </c>
      <c r="F32" s="388" t="s">
        <v>2929</v>
      </c>
      <c r="G32" s="2859" t="s">
        <v>2919</v>
      </c>
      <c r="H32" s="2859" t="s">
        <v>2920</v>
      </c>
      <c r="I32" s="2859"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66" t="s">
        <v>2930</v>
      </c>
      <c r="B33" s="2860" t="s">
        <v>2931</v>
      </c>
      <c r="C33" s="206" t="e">
        <f>ROUND(D5*C19*C20*C24*F33,0)</f>
        <v>#DIV/0!</v>
      </c>
      <c r="D33" s="2844"/>
      <c r="E33" s="200" t="e">
        <f>ROUND(C33*D33/10000,0)</f>
        <v>#DIV/0!</v>
      </c>
      <c r="F33" s="200">
        <f>SUMIF(修正!A45:A56,G2,修正!B45:B56)</f>
        <v>0</v>
      </c>
      <c r="G33" s="200" t="e">
        <f t="shared" ref="G33:G39"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7"/>
      <c r="B34" s="2764" t="s">
        <v>2932</v>
      </c>
      <c r="C34" s="206" t="e">
        <f>ROUND(D5*C19*C20*C24*F34,0)</f>
        <v>#DIV/0!</v>
      </c>
      <c r="D34" s="2844"/>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7"/>
      <c r="B35" s="2764" t="s">
        <v>2933</v>
      </c>
      <c r="C35" s="206" t="e">
        <f>ROUND(D5*C19*C20*C24*F35,0)</f>
        <v>#DIV/0!</v>
      </c>
      <c r="D35" s="2844"/>
      <c r="E35" s="200" t="e">
        <f t="shared" si="7"/>
        <v>#DIV/0!</v>
      </c>
      <c r="F35" s="200">
        <f>SUMIF(修正!A45:A56,G2,修正!D45:D56)</f>
        <v>0</v>
      </c>
      <c r="G35" s="200" t="e">
        <f t="shared" si="6"/>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5" thickBot="1">
      <c r="A36" s="3268"/>
      <c r="B36" s="2764" t="s">
        <v>2934</v>
      </c>
      <c r="C36" s="206" t="e">
        <f>ROUND(D5*C19*C20*C24*F36,0)</f>
        <v>#DIV/0!</v>
      </c>
      <c r="D36" s="2844"/>
      <c r="E36" s="200" t="e">
        <f t="shared" si="7"/>
        <v>#DIV/0!</v>
      </c>
      <c r="F36" s="200">
        <f>SUMIF(修正!A45:A56,G2,修正!E45:E56)</f>
        <v>0</v>
      </c>
      <c r="G36" s="200" t="e">
        <f t="shared" si="6"/>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2935</v>
      </c>
      <c r="C37" s="200" t="e">
        <f>ROUND(C5*C19*C20*C24*F37,0)</f>
        <v>#DIV/0!</v>
      </c>
      <c r="D37" s="2844"/>
      <c r="E37" s="200" t="e">
        <f t="shared" si="7"/>
        <v>#DIV/0!</v>
      </c>
      <c r="F37" s="206">
        <f>SUMIF(修正!A45:A56,G2,修正!F45:F56)</f>
        <v>0</v>
      </c>
      <c r="G37" s="200" t="e">
        <f t="shared" si="6"/>
        <v>#DIV/0!</v>
      </c>
      <c r="H37" s="200">
        <f t="shared" si="8"/>
        <v>0</v>
      </c>
      <c r="I37" s="200" t="e">
        <f t="shared" si="9"/>
        <v>#DIV/0!</v>
      </c>
      <c r="J37" s="2861"/>
      <c r="K37" s="1370"/>
      <c r="L37" s="2863" t="s">
        <v>2936</v>
      </c>
      <c r="M37" s="2864"/>
      <c r="N37" s="1370"/>
      <c r="O37" s="1370"/>
      <c r="P37" s="1370"/>
      <c r="Q37" s="1370"/>
      <c r="R37" s="1370"/>
      <c r="S37" s="1370"/>
      <c r="T37" s="1370"/>
      <c r="U37" s="1370"/>
      <c r="V37" s="1370"/>
      <c r="W37" s="1370"/>
      <c r="X37" s="1370"/>
      <c r="Y37" s="1370"/>
      <c r="Z37" s="1371"/>
    </row>
    <row r="38" spans="1:37">
      <c r="A38" s="2862"/>
      <c r="B38" s="2764" t="s">
        <v>2937</v>
      </c>
      <c r="C38" s="200" t="e">
        <f>ROUND(C5*C19*C20*C24*F38,0)</f>
        <v>#DIV/0!</v>
      </c>
      <c r="D38" s="2844"/>
      <c r="E38" s="200" t="e">
        <f t="shared" si="7"/>
        <v>#DIV/0!</v>
      </c>
      <c r="F38" s="206">
        <f>SUMIF(修正!A45:A56,G2,修正!G45:G56)</f>
        <v>0</v>
      </c>
      <c r="G38" s="200" t="e">
        <f t="shared" si="6"/>
        <v>#DIV/0!</v>
      </c>
      <c r="H38" s="200">
        <f t="shared" si="8"/>
        <v>0</v>
      </c>
      <c r="I38" s="200" t="e">
        <f t="shared" si="9"/>
        <v>#DIV/0!</v>
      </c>
      <c r="J38" s="2861"/>
      <c r="K38" s="1370"/>
      <c r="L38" s="1887" t="s">
        <v>2938</v>
      </c>
      <c r="M38" s="2865">
        <v>0.25</v>
      </c>
      <c r="N38" s="1370"/>
      <c r="O38" s="1370"/>
      <c r="P38" s="1370"/>
      <c r="Q38" s="1370"/>
      <c r="R38" s="1370"/>
      <c r="S38" s="1370"/>
      <c r="T38" s="1370"/>
      <c r="U38" s="1370"/>
      <c r="V38" s="1370"/>
      <c r="W38" s="1370"/>
      <c r="X38" s="1370"/>
      <c r="Y38" s="1370"/>
      <c r="Z38" s="1371"/>
    </row>
    <row r="39" spans="1:37" ht="13.5" thickBot="1">
      <c r="A39" s="2848"/>
      <c r="B39" s="2866" t="s">
        <v>2939</v>
      </c>
      <c r="C39" s="229" t="e">
        <f>ROUND(C5*C19*C20*C24*F39,0)</f>
        <v>#DIV/0!</v>
      </c>
      <c r="D39" s="2850"/>
      <c r="E39" s="229" t="e">
        <f t="shared" si="7"/>
        <v>#DIV/0!</v>
      </c>
      <c r="F39" s="932">
        <f>SUMIF(修正!A45:A56,G2,修正!H45:H56)</f>
        <v>0</v>
      </c>
      <c r="G39" s="229" t="e">
        <f t="shared" si="6"/>
        <v>#DIV/0!</v>
      </c>
      <c r="H39" s="229">
        <f t="shared" si="8"/>
        <v>0</v>
      </c>
      <c r="I39" s="229" t="e">
        <f t="shared" si="9"/>
        <v>#DIV/0!</v>
      </c>
      <c r="J39" s="2867"/>
      <c r="K39" s="1370"/>
      <c r="L39" s="2868" t="s">
        <v>2880</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2940</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3" t="s">
        <v>2941</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7" t="s">
        <v>2942</v>
      </c>
      <c r="B47" s="1809" t="s">
        <v>2943</v>
      </c>
      <c r="C47" s="1809" t="s">
        <v>2944</v>
      </c>
      <c r="D47" s="1809" t="s">
        <v>2945</v>
      </c>
      <c r="E47" s="816" t="s">
        <v>2946</v>
      </c>
      <c r="F47" s="2878" t="s">
        <v>2947</v>
      </c>
      <c r="G47" s="1809" t="s">
        <v>754</v>
      </c>
      <c r="H47" s="2879" t="s">
        <v>2948</v>
      </c>
      <c r="I47" s="1809" t="s">
        <v>2949</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7" t="s">
        <v>2950</v>
      </c>
      <c r="B48" s="2880" t="str">
        <f>估价对象房地状况!C4</f>
        <v>估价对象位于XX商圈，周边商业氛围成熟，人流量大，商业繁华度好</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7" t="s">
        <v>2951</v>
      </c>
      <c r="B49" s="2881" t="str">
        <f>估价对象房地状况!C18</f>
        <v>估价对象周边道路状况、公共交通通达情况、停车便捷程度，综合评价交通便捷度较好</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2952</v>
      </c>
      <c r="B50" s="2881">
        <f>估价对象房地状况!C19</f>
        <v>0</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7" t="s">
        <v>2953</v>
      </c>
      <c r="B51" s="2882" t="s">
        <v>2954</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2955</v>
      </c>
      <c r="B52" s="2881">
        <f>估价对象房地状况!C24</f>
        <v>0</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7" t="s">
        <v>2956</v>
      </c>
      <c r="B53" s="2883" t="s">
        <v>2957</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4" t="s">
        <v>2958</v>
      </c>
      <c r="B54" s="1725" t="str">
        <f>估价对象房地状况!C21</f>
        <v>估价对象所在区域公共配套设施齐备情况</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4" t="s">
        <v>2959</v>
      </c>
      <c r="B55" s="2881" t="str">
        <f>估价对象房地状况!C22</f>
        <v>估价对象所在区域基础设施水平</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5" t="s">
        <v>2960</v>
      </c>
      <c r="B56" s="2886" t="str">
        <f>估价对象房地状况!C20</f>
        <v>区域自然环境：；人文环境；综合评价环境状况一般</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2961</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2942</v>
      </c>
      <c r="B58" s="1809"/>
      <c r="C58" s="1809" t="s">
        <v>2944</v>
      </c>
      <c r="D58" s="1809" t="s">
        <v>2945</v>
      </c>
      <c r="E58" s="816" t="s">
        <v>2946</v>
      </c>
      <c r="F58" s="2878" t="s">
        <v>2962</v>
      </c>
      <c r="G58" s="1809" t="s">
        <v>754</v>
      </c>
      <c r="H58" s="2879" t="s">
        <v>2948</v>
      </c>
      <c r="I58" s="1809" t="s">
        <v>2949</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7" t="s">
        <v>2963</v>
      </c>
      <c r="B59" s="2880" t="str">
        <f>估价对象房地状况!C17</f>
        <v>估价对象位于XX商圈，周边办公楼项目较多，入驻率高，办公集聚程度较好</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7" t="s">
        <v>2951</v>
      </c>
      <c r="B60" s="2881" t="str">
        <f>估价对象房地状况!C18</f>
        <v>估价对象周边道路状况、公共交通通达情况、停车便捷程度，综合评价交通便捷度较好</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2952</v>
      </c>
      <c r="B61" s="2881">
        <f>估价对象房地状况!C19</f>
        <v>0</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7" t="s">
        <v>2953</v>
      </c>
      <c r="B62" s="2882" t="s">
        <v>2954</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2955</v>
      </c>
      <c r="B63" s="2881">
        <f>估价对象房地状况!C24</f>
        <v>0</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7" t="s">
        <v>2956</v>
      </c>
      <c r="B64" s="2883" t="s">
        <v>2957</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7" t="s">
        <v>2958</v>
      </c>
      <c r="B65" s="1725" t="str">
        <f>估价对象房地状况!C21</f>
        <v>估价对象所在区域公共配套设施齐备情况</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7" t="s">
        <v>2959</v>
      </c>
      <c r="B66" s="1725" t="str">
        <f>估价对象房地状况!C22</f>
        <v>估价对象所在区域基础设施水平</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5" t="s">
        <v>2960</v>
      </c>
      <c r="B67" s="2887" t="str">
        <f>估价对象房地状况!C20</f>
        <v>区域自然环境：；人文环境；综合评价环境状况一般</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2964</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2942</v>
      </c>
      <c r="B69" s="1809"/>
      <c r="C69" s="1809" t="s">
        <v>2944</v>
      </c>
      <c r="D69" s="1809" t="s">
        <v>2945</v>
      </c>
      <c r="E69" s="816" t="s">
        <v>2946</v>
      </c>
      <c r="F69" s="2878" t="s">
        <v>2962</v>
      </c>
      <c r="G69" s="1809" t="s">
        <v>754</v>
      </c>
      <c r="H69" s="2879" t="s">
        <v>2948</v>
      </c>
      <c r="I69" s="1809" t="s">
        <v>2949</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7" t="s">
        <v>2965</v>
      </c>
      <c r="B70" s="2880" t="str">
        <f>估价对象房地状况!C15</f>
        <v>估价对象周边居住用地比例、居住小区规模和社区发展完善程度，综合评价居住社区成熟度一般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7" t="s">
        <v>2951</v>
      </c>
      <c r="B71" s="2881" t="str">
        <f>估价对象房地状况!C18</f>
        <v>估价对象周边道路状况、公共交通通达情况、停车便捷程度，综合评价交通便捷度较好</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2952</v>
      </c>
      <c r="B72" s="2881">
        <f>估价对象房地状况!C19</f>
        <v>0</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7" t="s">
        <v>2966</v>
      </c>
      <c r="B73" s="2881">
        <f>估价对象房地状况!C24</f>
        <v>0</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7" t="s">
        <v>2958</v>
      </c>
      <c r="B74" s="1725" t="str">
        <f>估价对象房地状况!C21</f>
        <v>估价对象所在区域公共配套设施齐备情况</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7" t="s">
        <v>2959</v>
      </c>
      <c r="B75" s="1725" t="str">
        <f>估价对象房地状况!C22</f>
        <v>估价对象所在区域基础设施水平</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77" t="s">
        <v>2956</v>
      </c>
      <c r="B76" s="2883" t="s">
        <v>2957</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8.25">
      <c r="A77" s="2877" t="s">
        <v>2960</v>
      </c>
      <c r="B77" s="2880" t="str">
        <f>估价对象房地状况!C20</f>
        <v>区域自然环境：；人文环境；综合评价环境状况一般</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24.75" thickBot="1">
      <c r="A78" s="2885" t="s">
        <v>2967</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5">
      <c r="A79" s="2873" t="s">
        <v>2968</v>
      </c>
      <c r="B79" s="2874">
        <f>1+E81</f>
        <v>1</v>
      </c>
      <c r="C79" s="811"/>
      <c r="D79" s="811"/>
      <c r="E79" s="812"/>
      <c r="F79" s="2876"/>
      <c r="G79" s="6"/>
      <c r="H79" s="6"/>
      <c r="I79" s="6"/>
      <c r="J79" s="7"/>
      <c r="K79" s="7"/>
      <c r="L79" s="7"/>
      <c r="M79" s="7"/>
      <c r="N79" s="7"/>
      <c r="Z79" s="2719"/>
      <c r="AA79" s="2795"/>
      <c r="AG79" s="1372"/>
      <c r="AK79" s="2795"/>
    </row>
    <row r="80" spans="1:37" ht="24.75">
      <c r="A80" s="2877" t="s">
        <v>2942</v>
      </c>
      <c r="B80" s="1809"/>
      <c r="C80" s="1809" t="s">
        <v>2944</v>
      </c>
      <c r="D80" s="1809" t="s">
        <v>2945</v>
      </c>
      <c r="E80" s="816" t="s">
        <v>2946</v>
      </c>
      <c r="F80" s="2878" t="s">
        <v>2962</v>
      </c>
      <c r="G80" s="1809" t="s">
        <v>754</v>
      </c>
      <c r="H80" s="2879" t="s">
        <v>2948</v>
      </c>
      <c r="I80" s="1809" t="s">
        <v>2949</v>
      </c>
      <c r="J80" s="603" t="s">
        <v>2596</v>
      </c>
      <c r="K80" s="603" t="s">
        <v>2597</v>
      </c>
      <c r="L80" s="603" t="s">
        <v>2598</v>
      </c>
      <c r="M80" s="603" t="s">
        <v>2599</v>
      </c>
      <c r="N80" s="603" t="s">
        <v>2600</v>
      </c>
      <c r="Z80" s="2719"/>
      <c r="AA80" s="2795"/>
      <c r="AG80" s="1372"/>
      <c r="AK80" s="2795"/>
    </row>
    <row r="81" spans="1:37" ht="38.25">
      <c r="A81" s="2877" t="s">
        <v>2969</v>
      </c>
      <c r="B81" s="2881" t="str">
        <f>估价对象房地状况!G15</f>
        <v>估价对象位于XX开发区，园区建设成熟度XX，产业集聚程度XX</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51">
      <c r="A82" s="2877" t="s">
        <v>2951</v>
      </c>
      <c r="B82" s="2881" t="str">
        <f>估价对象房地状况!G16</f>
        <v>估价对象周边道路状况、公共交通通达情况、停车便捷程度，综合评价交通便捷度较好</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2952</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4.25">
      <c r="A84" s="2877" t="s">
        <v>2966</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5.5">
      <c r="A85" s="2877" t="s">
        <v>2958</v>
      </c>
      <c r="B85" s="1725" t="str">
        <f>估价对象房地状况!G19</f>
        <v>估价对象所在区域公共配套设施齐备情况</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5.5">
      <c r="A86" s="2877" t="s">
        <v>2959</v>
      </c>
      <c r="B86" s="1725" t="str">
        <f>估价对象房地状况!G20</f>
        <v>估价对象所在区域基础设施水平</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24">
      <c r="A87" s="2877" t="s">
        <v>2956</v>
      </c>
      <c r="B87" s="2883" t="s">
        <v>2970</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39" thickBot="1">
      <c r="A88" s="2885" t="s">
        <v>2971</v>
      </c>
      <c r="B88" s="2890" t="str">
        <f>估价对象房地状况!G18</f>
        <v>该园区内是否有污染型企业，绿化情况，卫生条件，整体环境状况判断</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60" t="s">
        <v>2972</v>
      </c>
      <c r="B90" s="3260"/>
      <c r="C90" s="3260"/>
      <c r="D90" s="3260"/>
      <c r="E90" s="3260"/>
      <c r="F90" s="3260"/>
      <c r="G90" s="3260"/>
      <c r="H90" s="3260"/>
      <c r="I90" s="3260"/>
      <c r="J90" s="3260"/>
      <c r="K90" s="2891"/>
      <c r="L90" s="2891"/>
      <c r="M90" s="2891"/>
      <c r="N90" s="2891"/>
    </row>
    <row r="91" spans="1:37">
      <c r="A91" s="3262" t="s">
        <v>2973</v>
      </c>
      <c r="B91" s="3262" t="s">
        <v>2974</v>
      </c>
      <c r="C91" s="2845" t="s">
        <v>2975</v>
      </c>
      <c r="D91" s="2846"/>
      <c r="E91" s="2846"/>
      <c r="F91" s="2846"/>
      <c r="G91" s="2846"/>
      <c r="H91" s="2846"/>
      <c r="I91" s="2846"/>
      <c r="J91" s="2892"/>
      <c r="K91" s="2893"/>
      <c r="L91" s="2893"/>
      <c r="M91" s="2893"/>
      <c r="N91" s="2893"/>
    </row>
    <row r="92" spans="1:37">
      <c r="A92" s="3262"/>
      <c r="B92" s="3262"/>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63" t="s">
        <v>2976</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6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6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6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6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6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64"/>
      <c r="B99" s="2894" t="s">
        <v>2855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6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3" t="s">
        <v>2977</v>
      </c>
      <c r="B101" s="2898" t="s">
        <v>2978</v>
      </c>
      <c r="C101" s="2899">
        <f>$G$3</f>
        <v>8.39</v>
      </c>
      <c r="D101" s="2899">
        <f t="shared" ref="D101:N101" si="31">$G$3</f>
        <v>8.39</v>
      </c>
      <c r="E101" s="2899">
        <f t="shared" si="31"/>
        <v>8.39</v>
      </c>
      <c r="F101" s="2899">
        <f t="shared" si="31"/>
        <v>8.39</v>
      </c>
      <c r="G101" s="2899">
        <f t="shared" si="31"/>
        <v>8.39</v>
      </c>
      <c r="H101" s="2899">
        <f t="shared" si="31"/>
        <v>8.39</v>
      </c>
      <c r="I101" s="2899">
        <f t="shared" si="31"/>
        <v>8.39</v>
      </c>
      <c r="J101" s="2899">
        <f t="shared" si="31"/>
        <v>8.39</v>
      </c>
      <c r="K101" s="2899">
        <f t="shared" si="31"/>
        <v>8.39</v>
      </c>
      <c r="L101" s="2899">
        <f t="shared" si="31"/>
        <v>8.39</v>
      </c>
      <c r="M101" s="2899">
        <f t="shared" si="31"/>
        <v>8.39</v>
      </c>
      <c r="N101" s="2899">
        <f t="shared" si="31"/>
        <v>8.39</v>
      </c>
    </row>
    <row r="102" spans="1:14">
      <c r="A102" s="3264"/>
      <c r="B102" s="2894">
        <v>1</v>
      </c>
      <c r="C102" s="2895">
        <f>1.9362/C101</f>
        <v>0.2307747318235995</v>
      </c>
      <c r="D102" s="2895">
        <f>1.9362/D101</f>
        <v>0.2307747318235995</v>
      </c>
      <c r="E102" s="2895">
        <f>1.8629/E101</f>
        <v>0.22203814064362334</v>
      </c>
      <c r="F102" s="2895">
        <f>1.8629/F101</f>
        <v>0.22203814064362334</v>
      </c>
      <c r="G102" s="2895">
        <f>1.8629/G101</f>
        <v>0.22203814064362334</v>
      </c>
      <c r="H102" s="2895">
        <f>1.8629/H101</f>
        <v>0.22203814064362334</v>
      </c>
      <c r="I102" s="2895">
        <f>1.8629/I101</f>
        <v>0.22203814064362334</v>
      </c>
      <c r="J102" s="2895">
        <f>1.942/J101</f>
        <v>0.23146603098927293</v>
      </c>
      <c r="K102" s="2895">
        <f>1.942/K101</f>
        <v>0.23146603098927293</v>
      </c>
      <c r="L102" s="2895">
        <f>1.942/L101</f>
        <v>0.23146603098927293</v>
      </c>
      <c r="M102" s="2895">
        <f>1.942/M101</f>
        <v>0.23146603098927293</v>
      </c>
      <c r="N102" s="2895">
        <f>1.942/N101</f>
        <v>0.23146603098927293</v>
      </c>
    </row>
    <row r="103" spans="1:14">
      <c r="A103" s="3264"/>
      <c r="B103" s="2894">
        <v>2</v>
      </c>
      <c r="C103" s="2895">
        <f>1.4198/C101</f>
        <v>0.16922526817640046</v>
      </c>
      <c r="D103" s="2895">
        <f>1.4198/D101</f>
        <v>0.16922526817640046</v>
      </c>
      <c r="E103" s="2895">
        <f>1.3372/E101</f>
        <v>0.15938021454112036</v>
      </c>
      <c r="F103" s="2895">
        <f>1.3372/F101</f>
        <v>0.15938021454112036</v>
      </c>
      <c r="G103" s="2895">
        <f>1.3372/G101</f>
        <v>0.15938021454112036</v>
      </c>
      <c r="H103" s="2895">
        <f>1.3372/H101</f>
        <v>0.15938021454112036</v>
      </c>
      <c r="I103" s="2895">
        <f>1.3372/I101</f>
        <v>0.15938021454112036</v>
      </c>
      <c r="J103" s="2895">
        <f>1.2799/J101</f>
        <v>0.15255065554231226</v>
      </c>
      <c r="K103" s="2895">
        <f>1.2799/K101</f>
        <v>0.15255065554231226</v>
      </c>
      <c r="L103" s="2895">
        <f>1.2799/L101</f>
        <v>0.15255065554231226</v>
      </c>
      <c r="M103" s="2895">
        <f>1.2799/M101</f>
        <v>0.15255065554231226</v>
      </c>
      <c r="N103" s="2895">
        <f>1.2799/N101</f>
        <v>0.15255065554231226</v>
      </c>
    </row>
    <row r="104" spans="1:14">
      <c r="A104" s="3264"/>
      <c r="B104" s="2894">
        <v>3</v>
      </c>
      <c r="C104" s="2895">
        <f>1.1594/C101</f>
        <v>0.13818831942789034</v>
      </c>
      <c r="D104" s="2895">
        <f>1.1594/D101</f>
        <v>0.13818831942789034</v>
      </c>
      <c r="E104" s="2895">
        <f>1.0788/E101</f>
        <v>0.12858164481525625</v>
      </c>
      <c r="F104" s="2895">
        <f>1.0788/F101</f>
        <v>0.12858164481525625</v>
      </c>
      <c r="G104" s="2895">
        <f>1.0788/G101</f>
        <v>0.12858164481525625</v>
      </c>
      <c r="H104" s="2895">
        <f>1.0788/H101</f>
        <v>0.12858164481525625</v>
      </c>
      <c r="I104" s="2895">
        <f>1.0788/I101</f>
        <v>0.12858164481525625</v>
      </c>
      <c r="J104" s="2895">
        <f>1.0072/J101</f>
        <v>0.1200476758045292</v>
      </c>
      <c r="K104" s="2895">
        <f>1.0072/K101</f>
        <v>0.1200476758045292</v>
      </c>
      <c r="L104" s="2895">
        <f>1.0072/L101</f>
        <v>0.1200476758045292</v>
      </c>
      <c r="M104" s="2895">
        <f>1.0072/M101</f>
        <v>0.1200476758045292</v>
      </c>
      <c r="N104" s="2895">
        <f>1.0072/N101</f>
        <v>0.1200476758045292</v>
      </c>
    </row>
    <row r="105" spans="1:14">
      <c r="A105" s="3264"/>
      <c r="B105" s="2894">
        <v>4</v>
      </c>
      <c r="C105" s="2895">
        <f>0.9622/C101</f>
        <v>0.11468414779499404</v>
      </c>
      <c r="D105" s="2895">
        <f>0.9622/D101</f>
        <v>0.11468414779499404</v>
      </c>
      <c r="E105" s="2895">
        <f>0.8656/E101</f>
        <v>0.1031704410011919</v>
      </c>
      <c r="F105" s="2895">
        <f>0.8656/F101</f>
        <v>0.1031704410011919</v>
      </c>
      <c r="G105" s="2895">
        <f>0.8656/G101</f>
        <v>0.1031704410011919</v>
      </c>
      <c r="H105" s="2895">
        <f>0.8656/H101</f>
        <v>0.1031704410011919</v>
      </c>
      <c r="I105" s="2895">
        <f>0.8656/I101</f>
        <v>0.1031704410011919</v>
      </c>
      <c r="J105" s="2895">
        <f>0.7525/J101</f>
        <v>8.9690107270560177E-2</v>
      </c>
      <c r="K105" s="2895">
        <f>0.7525/K101</f>
        <v>8.9690107270560177E-2</v>
      </c>
      <c r="L105" s="2895">
        <f>0.7525/L101</f>
        <v>8.9690107270560177E-2</v>
      </c>
      <c r="M105" s="2895">
        <f>0.7525/M101</f>
        <v>8.9690107270560177E-2</v>
      </c>
      <c r="N105" s="2895">
        <f>0.7525/N101</f>
        <v>8.9690107270560177E-2</v>
      </c>
    </row>
    <row r="106" spans="1:14">
      <c r="A106" s="3264"/>
      <c r="B106" s="2894">
        <v>5</v>
      </c>
      <c r="C106" s="2895">
        <f>0.8417/C101</f>
        <v>0.10032181168057211</v>
      </c>
      <c r="D106" s="2895">
        <f>0.8417/D101</f>
        <v>0.10032181168057211</v>
      </c>
      <c r="E106" s="2895">
        <f>0.7371/E101</f>
        <v>8.785458879618592E-2</v>
      </c>
      <c r="F106" s="2895">
        <f>0.7371/F101</f>
        <v>8.785458879618592E-2</v>
      </c>
      <c r="G106" s="2895">
        <f>0.7371/G101</f>
        <v>8.785458879618592E-2</v>
      </c>
      <c r="H106" s="2895">
        <f>0.7371/H101</f>
        <v>8.785458879618592E-2</v>
      </c>
      <c r="I106" s="2895">
        <f>0.7371/I101</f>
        <v>8.785458879618592E-2</v>
      </c>
      <c r="J106" s="2895">
        <f>0.5659/J101</f>
        <v>6.7449344457687715E-2</v>
      </c>
      <c r="K106" s="2895">
        <f>0.5659/K101</f>
        <v>6.7449344457687715E-2</v>
      </c>
      <c r="L106" s="2895">
        <f>0.5659/L101</f>
        <v>6.7449344457687715E-2</v>
      </c>
      <c r="M106" s="2895">
        <f>0.5659/M101</f>
        <v>6.7449344457687715E-2</v>
      </c>
      <c r="N106" s="2895">
        <f>0.5659/N101</f>
        <v>6.7449344457687715E-2</v>
      </c>
    </row>
    <row r="107" spans="1:14">
      <c r="A107" s="3264"/>
      <c r="B107" s="2894">
        <v>6</v>
      </c>
      <c r="C107" s="2895">
        <f>0.7608/C101</f>
        <v>9.0679380214541125E-2</v>
      </c>
      <c r="D107" s="2895">
        <f>0.7608/D101</f>
        <v>9.0679380214541125E-2</v>
      </c>
      <c r="E107" s="2895">
        <f>0.6482/E101</f>
        <v>7.7258641239570908E-2</v>
      </c>
      <c r="F107" s="2895">
        <f>0.6482/F101</f>
        <v>7.7258641239570908E-2</v>
      </c>
      <c r="G107" s="2895">
        <f>0.6482/G101</f>
        <v>7.7258641239570908E-2</v>
      </c>
      <c r="H107" s="2895">
        <f>0.6482/H101</f>
        <v>7.7258641239570908E-2</v>
      </c>
      <c r="I107" s="2895">
        <f>0.6482/I101</f>
        <v>7.7258641239570908E-2</v>
      </c>
      <c r="J107" s="2895">
        <f>0.4525/J101</f>
        <v>5.3933253873659118E-2</v>
      </c>
      <c r="K107" s="2895">
        <f>0.4525/K101</f>
        <v>5.3933253873659118E-2</v>
      </c>
      <c r="L107" s="2895">
        <f>0.4525/L101</f>
        <v>5.3933253873659118E-2</v>
      </c>
      <c r="M107" s="2895">
        <f>0.4525/M101</f>
        <v>5.3933253873659118E-2</v>
      </c>
      <c r="N107" s="2895">
        <f>0.4525/N101</f>
        <v>5.3933253873659118E-2</v>
      </c>
    </row>
    <row r="108" spans="1:14">
      <c r="A108" s="3264"/>
      <c r="B108" s="3088" t="s">
        <v>2979</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65"/>
      <c r="B109" s="3089"/>
      <c r="C109" s="2897">
        <f>(-0.163*(C108^2)-0.59*C108+7617)*(10^(-4))/C101</f>
        <v>9.0786650774731817E-2</v>
      </c>
      <c r="D109" s="2897">
        <f>(-0.163*(D108^2)-0.59*D108+7617)*(10^(-4))/D101</f>
        <v>9.0786650774731817E-2</v>
      </c>
      <c r="E109" s="2897">
        <f>(-0.161*(E108^2)-7.509*E108+6533)*(10^(-4))/E101</f>
        <v>7.7866507747318237E-2</v>
      </c>
      <c r="F109" s="2897">
        <f>(-0.161*(F108^2)-7.509*F108+6533)*(10^(-4))/F101</f>
        <v>7.7866507747318237E-2</v>
      </c>
      <c r="G109" s="2897">
        <f>(-0.161*(G108^2)-7.509*G108+6533)*(10^(-4))/G101</f>
        <v>7.7866507747318237E-2</v>
      </c>
      <c r="H109" s="2897">
        <f>(-0.161*(H108^2)-7.509*H108+6533)*(10^(-4))/H101</f>
        <v>7.7866507747318237E-2</v>
      </c>
      <c r="I109" s="2897">
        <f>(-0.161*(I108^2)-7.509*I108+6533)*(10^(-4))/I101</f>
        <v>7.7866507747318237E-2</v>
      </c>
      <c r="J109" s="2897">
        <f>(-0.214*(J108^2)-21.991*J108+4665)*(10^(-4))/J101</f>
        <v>5.5601907032181166E-2</v>
      </c>
      <c r="K109" s="2897">
        <f>(-0.214*(K108^2)-21.991*K108+4665)*(10^(-4))/K101</f>
        <v>5.5601907032181166E-2</v>
      </c>
      <c r="L109" s="2897">
        <f>(-0.214*(L108^2)-21.991*L108+4665)*(10^(-4))/L101</f>
        <v>5.5601907032181166E-2</v>
      </c>
      <c r="M109" s="2897">
        <f>(-0.214*(M108^2)-21.991*M108+4665)*(10^(-4))/M101</f>
        <v>5.5601907032181166E-2</v>
      </c>
      <c r="N109" s="2897">
        <f>(-0.214*(N108^2)-21.991*N108+4665)*(10^(-4))/N101</f>
        <v>5.5601907032181166E-2</v>
      </c>
    </row>
    <row r="110" spans="1:14">
      <c r="A110" s="3261" t="s">
        <v>2980</v>
      </c>
      <c r="B110" s="3261"/>
      <c r="C110" s="3261"/>
      <c r="D110" s="3261"/>
      <c r="E110" s="3261"/>
      <c r="F110" s="3261"/>
      <c r="G110" s="3261"/>
      <c r="H110" s="3261"/>
      <c r="I110" s="3261"/>
      <c r="J110" s="3261"/>
      <c r="K110" s="2900"/>
      <c r="L110" s="2900"/>
      <c r="M110" s="2900"/>
      <c r="N110" s="2900"/>
    </row>
    <row r="112" spans="1:14" ht="13.5" thickBot="1"/>
    <row r="113" spans="1:13" ht="25.5" thickBot="1">
      <c r="A113" s="900" t="s">
        <v>2981</v>
      </c>
      <c r="B113" s="1287">
        <f>G3</f>
        <v>8.39</v>
      </c>
      <c r="C113" s="901" t="s">
        <v>2982</v>
      </c>
      <c r="D113" s="902">
        <f>SUMPRODUCT((A115:A118=F113)*(B114:M114=H113)*B115:M118)</f>
        <v>0</v>
      </c>
      <c r="E113" s="2723" t="s">
        <v>2812</v>
      </c>
      <c r="F113" s="2902">
        <f>E2</f>
        <v>0</v>
      </c>
      <c r="G113" s="2723" t="s">
        <v>2813</v>
      </c>
      <c r="H113" s="2902">
        <f>G2</f>
        <v>0</v>
      </c>
      <c r="I113" s="2723"/>
      <c r="J113" s="2903"/>
      <c r="K113" s="2903"/>
      <c r="L113" s="2903"/>
      <c r="M113" s="2903"/>
    </row>
    <row r="114" spans="1:13">
      <c r="A114" s="905"/>
      <c r="B114" s="2904" t="s">
        <v>2983</v>
      </c>
      <c r="C114" s="2904" t="s">
        <v>2984</v>
      </c>
      <c r="D114" s="2904" t="s">
        <v>2985</v>
      </c>
      <c r="E114" s="2905" t="s">
        <v>2986</v>
      </c>
      <c r="F114" s="2905" t="s">
        <v>2987</v>
      </c>
      <c r="G114" s="2905" t="s">
        <v>2988</v>
      </c>
      <c r="H114" s="2906" t="s">
        <v>2989</v>
      </c>
      <c r="I114" s="2906" t="s">
        <v>2990</v>
      </c>
      <c r="J114" s="2907" t="s">
        <v>2991</v>
      </c>
      <c r="K114" s="2907" t="s">
        <v>2992</v>
      </c>
      <c r="L114" s="2907" t="s">
        <v>2993</v>
      </c>
      <c r="M114" s="2908" t="s">
        <v>2994</v>
      </c>
    </row>
    <row r="115" spans="1:13">
      <c r="A115" s="906" t="s">
        <v>2877</v>
      </c>
      <c r="B115" s="907">
        <f>ROUND(0.9335-0.0094*B113,4)</f>
        <v>0.85460000000000003</v>
      </c>
      <c r="C115" s="907">
        <f>B115</f>
        <v>0.85460000000000003</v>
      </c>
      <c r="D115" s="907">
        <f>ROUND(0.8331-0.0109*B113,4)</f>
        <v>0.74160000000000004</v>
      </c>
      <c r="E115" s="907">
        <f>D115</f>
        <v>0.74160000000000004</v>
      </c>
      <c r="F115" s="907">
        <f>E115</f>
        <v>0.74160000000000004</v>
      </c>
      <c r="G115" s="907">
        <f>F115</f>
        <v>0.74160000000000004</v>
      </c>
      <c r="H115" s="907">
        <f>G115</f>
        <v>0.74160000000000004</v>
      </c>
      <c r="I115" s="907">
        <f>ROUND(0.689-0.0155*B113,4)</f>
        <v>0.55900000000000005</v>
      </c>
      <c r="J115" s="907">
        <f t="shared" ref="J115:M118" si="33">I115</f>
        <v>0.55900000000000005</v>
      </c>
      <c r="K115" s="907">
        <f t="shared" si="33"/>
        <v>0.55900000000000005</v>
      </c>
      <c r="L115" s="907">
        <f t="shared" si="33"/>
        <v>0.55900000000000005</v>
      </c>
      <c r="M115" s="908">
        <f t="shared" si="33"/>
        <v>0.55900000000000005</v>
      </c>
    </row>
    <row r="116" spans="1:13">
      <c r="A116" s="906" t="s">
        <v>2878</v>
      </c>
      <c r="B116" s="907">
        <f>ROUND(0.949-0.012*B113,4)</f>
        <v>0.84830000000000005</v>
      </c>
      <c r="C116" s="907">
        <f>B116</f>
        <v>0.84830000000000005</v>
      </c>
      <c r="D116" s="907">
        <f>ROUND(0.8567-0.013*B113,4)</f>
        <v>0.74760000000000004</v>
      </c>
      <c r="E116" s="907">
        <f t="shared" ref="E116:H117" si="34">D116</f>
        <v>0.74760000000000004</v>
      </c>
      <c r="F116" s="907">
        <f t="shared" si="34"/>
        <v>0.74760000000000004</v>
      </c>
      <c r="G116" s="907">
        <f t="shared" si="34"/>
        <v>0.74760000000000004</v>
      </c>
      <c r="H116" s="907">
        <f t="shared" si="34"/>
        <v>0.74760000000000004</v>
      </c>
      <c r="I116" s="907">
        <f>ROUND(0.7694-0.014*B113,4)</f>
        <v>0.65190000000000003</v>
      </c>
      <c r="J116" s="907">
        <f t="shared" si="33"/>
        <v>0.65190000000000003</v>
      </c>
      <c r="K116" s="907">
        <f t="shared" si="33"/>
        <v>0.65190000000000003</v>
      </c>
      <c r="L116" s="907">
        <f t="shared" si="33"/>
        <v>0.65190000000000003</v>
      </c>
      <c r="M116" s="908">
        <f t="shared" si="33"/>
        <v>0.65190000000000003</v>
      </c>
    </row>
    <row r="117" spans="1:13">
      <c r="A117" s="906" t="s">
        <v>2879</v>
      </c>
      <c r="B117" s="907">
        <f>ROUND(0.8808-0.006*B113,4)</f>
        <v>0.83050000000000002</v>
      </c>
      <c r="C117" s="907">
        <f>B117</f>
        <v>0.83050000000000002</v>
      </c>
      <c r="D117" s="907">
        <f>ROUND(0.8748-0.008*B113,4)</f>
        <v>0.80769999999999997</v>
      </c>
      <c r="E117" s="907">
        <f t="shared" si="34"/>
        <v>0.80769999999999997</v>
      </c>
      <c r="F117" s="907">
        <f t="shared" si="34"/>
        <v>0.80769999999999997</v>
      </c>
      <c r="G117" s="907">
        <f t="shared" si="34"/>
        <v>0.80769999999999997</v>
      </c>
      <c r="H117" s="907">
        <f t="shared" si="34"/>
        <v>0.80769999999999997</v>
      </c>
      <c r="I117" s="907">
        <f>ROUND(0.7412-0.0095*B113,4)</f>
        <v>0.66149999999999998</v>
      </c>
      <c r="J117" s="907">
        <f t="shared" si="33"/>
        <v>0.66149999999999998</v>
      </c>
      <c r="K117" s="907">
        <f t="shared" si="33"/>
        <v>0.66149999999999998</v>
      </c>
      <c r="L117" s="907">
        <f t="shared" si="33"/>
        <v>0.66149999999999998</v>
      </c>
      <c r="M117" s="908">
        <f t="shared" si="33"/>
        <v>0.66149999999999998</v>
      </c>
    </row>
    <row r="118" spans="1:13" ht="13.5" thickBot="1">
      <c r="A118" s="711" t="s">
        <v>2880</v>
      </c>
      <c r="B118" s="909">
        <f>ROUND(0.7275-0.01*B113,4)</f>
        <v>0.64359999999999995</v>
      </c>
      <c r="C118" s="909">
        <f>B118</f>
        <v>0.64359999999999995</v>
      </c>
      <c r="D118" s="909">
        <f>ROUND(0.7043-0.012*B113,4)</f>
        <v>0.60360000000000003</v>
      </c>
      <c r="E118" s="909">
        <f>D118</f>
        <v>0.60360000000000003</v>
      </c>
      <c r="F118" s="909">
        <f>E118</f>
        <v>0.60360000000000003</v>
      </c>
      <c r="G118" s="909">
        <f>ROUND(0.6299-0.0122*B113,4)</f>
        <v>0.52749999999999997</v>
      </c>
      <c r="H118" s="909">
        <f>G118</f>
        <v>0.52749999999999997</v>
      </c>
      <c r="I118" s="909">
        <f>ROUND(0.5667-0.0136*B113,4)</f>
        <v>0.4526</v>
      </c>
      <c r="J118" s="909">
        <f t="shared" si="33"/>
        <v>0.4526</v>
      </c>
      <c r="K118" s="909">
        <f t="shared" si="33"/>
        <v>0.4526</v>
      </c>
      <c r="L118" s="909">
        <f t="shared" si="33"/>
        <v>0.4526</v>
      </c>
      <c r="M118" s="910">
        <f t="shared" si="33"/>
        <v>0.4526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278" t="s">
        <v>183</v>
      </c>
      <c r="B18" s="879" t="s">
        <v>560</v>
      </c>
      <c r="C18" s="880" t="s">
        <v>561</v>
      </c>
      <c r="D18" s="881"/>
      <c r="E18" s="879">
        <v>1</v>
      </c>
      <c r="F18" s="882" t="s">
        <v>562</v>
      </c>
      <c r="G18" s="883"/>
      <c r="H18" s="875"/>
      <c r="I18" s="875"/>
    </row>
    <row r="19" spans="1:9" s="884" customFormat="1" ht="19.5" customHeight="1">
      <c r="A19" s="3278"/>
      <c r="B19" s="3278" t="s">
        <v>563</v>
      </c>
      <c r="C19" s="880" t="s">
        <v>564</v>
      </c>
      <c r="D19" s="881"/>
      <c r="E19" s="879">
        <v>0.9</v>
      </c>
      <c r="F19" s="882" t="s">
        <v>565</v>
      </c>
      <c r="G19" s="883"/>
      <c r="H19" s="875"/>
      <c r="I19" s="875"/>
    </row>
    <row r="20" spans="1:9" s="884" customFormat="1" ht="19.5" customHeight="1">
      <c r="A20" s="3278"/>
      <c r="B20" s="3278"/>
      <c r="C20" s="880" t="s">
        <v>566</v>
      </c>
      <c r="D20" s="881"/>
      <c r="E20" s="879">
        <v>1.1000000000000001</v>
      </c>
      <c r="F20" s="882" t="s">
        <v>567</v>
      </c>
      <c r="G20" s="883"/>
      <c r="H20" s="875"/>
      <c r="I20" s="875"/>
    </row>
    <row r="21" spans="1:9" s="884" customFormat="1" ht="19.5" customHeight="1">
      <c r="A21" s="3278"/>
      <c r="B21" s="3278"/>
      <c r="C21" s="880" t="s">
        <v>568</v>
      </c>
      <c r="D21" s="881"/>
      <c r="E21" s="879">
        <v>0.8</v>
      </c>
      <c r="F21" s="882" t="s">
        <v>569</v>
      </c>
      <c r="G21" s="883"/>
      <c r="H21" s="875"/>
      <c r="I21" s="875"/>
    </row>
    <row r="22" spans="1:9" s="884" customFormat="1" ht="19.5" customHeight="1">
      <c r="A22" s="3278"/>
      <c r="B22" s="3278"/>
      <c r="C22" s="880" t="s">
        <v>570</v>
      </c>
      <c r="D22" s="881"/>
      <c r="E22" s="879">
        <v>0.5</v>
      </c>
      <c r="F22" s="882"/>
      <c r="G22" s="883"/>
      <c r="H22" s="875"/>
      <c r="I22" s="875"/>
    </row>
    <row r="23" spans="1:9" s="884" customFormat="1" ht="19.5" customHeight="1">
      <c r="A23" s="3278" t="s">
        <v>184</v>
      </c>
      <c r="B23" s="879" t="s">
        <v>560</v>
      </c>
      <c r="C23" s="880" t="s">
        <v>571</v>
      </c>
      <c r="D23" s="881"/>
      <c r="E23" s="879">
        <v>1</v>
      </c>
      <c r="F23" s="882" t="s">
        <v>572</v>
      </c>
      <c r="G23" s="883"/>
      <c r="H23" s="875"/>
      <c r="I23" s="875"/>
    </row>
    <row r="24" spans="1:9" s="884" customFormat="1" ht="19.5" customHeight="1">
      <c r="A24" s="3278"/>
      <c r="B24" s="3278" t="s">
        <v>563</v>
      </c>
      <c r="C24" s="880" t="s">
        <v>573</v>
      </c>
      <c r="D24" s="881"/>
      <c r="E24" s="879">
        <v>0.5</v>
      </c>
      <c r="F24" s="882"/>
      <c r="G24" s="883"/>
      <c r="H24" s="875"/>
      <c r="I24" s="875"/>
    </row>
    <row r="25" spans="1:9" s="884" customFormat="1" ht="19.5" customHeight="1">
      <c r="A25" s="3278"/>
      <c r="B25" s="3278"/>
      <c r="C25" s="880" t="s">
        <v>574</v>
      </c>
      <c r="D25" s="881"/>
      <c r="E25" s="879">
        <v>1.1000000000000001</v>
      </c>
      <c r="F25" s="882"/>
      <c r="G25" s="883"/>
      <c r="H25" s="875"/>
      <c r="I25" s="875"/>
    </row>
    <row r="26" spans="1:9" s="884" customFormat="1" ht="19.5" customHeight="1">
      <c r="A26" s="3278"/>
      <c r="B26" s="3278"/>
      <c r="C26" s="880" t="s">
        <v>575</v>
      </c>
      <c r="D26" s="881"/>
      <c r="E26" s="879">
        <v>1.1000000000000001</v>
      </c>
      <c r="F26" s="882"/>
      <c r="G26" s="883"/>
      <c r="H26" s="875"/>
      <c r="I26" s="875"/>
    </row>
    <row r="27" spans="1:9" s="884" customFormat="1" ht="19.5" customHeight="1">
      <c r="A27" s="3278"/>
      <c r="B27" s="3278"/>
      <c r="C27" s="880" t="s">
        <v>576</v>
      </c>
      <c r="D27" s="881"/>
      <c r="E27" s="879">
        <v>0.9</v>
      </c>
      <c r="F27" s="882" t="s">
        <v>577</v>
      </c>
      <c r="G27" s="883"/>
      <c r="H27" s="875"/>
      <c r="I27" s="875"/>
    </row>
    <row r="28" spans="1:9" s="884" customFormat="1" ht="19.5" customHeight="1">
      <c r="A28" s="3278"/>
      <c r="B28" s="3278"/>
      <c r="C28" s="880" t="s">
        <v>578</v>
      </c>
      <c r="D28" s="881"/>
      <c r="E28" s="879">
        <v>0.9</v>
      </c>
      <c r="F28" s="882" t="s">
        <v>579</v>
      </c>
      <c r="G28" s="883"/>
      <c r="H28" s="875"/>
      <c r="I28" s="875"/>
    </row>
    <row r="29" spans="1:9" s="884" customFormat="1" ht="19.5" customHeight="1">
      <c r="A29" s="3278"/>
      <c r="B29" s="3278"/>
      <c r="C29" s="880" t="s">
        <v>580</v>
      </c>
      <c r="D29" s="881"/>
      <c r="E29" s="879">
        <v>0.9</v>
      </c>
      <c r="F29" s="882" t="s">
        <v>581</v>
      </c>
      <c r="G29" s="883"/>
      <c r="H29" s="875"/>
      <c r="I29" s="875"/>
    </row>
    <row r="30" spans="1:9" s="884" customFormat="1" ht="19.5" customHeight="1">
      <c r="A30" s="3278"/>
      <c r="B30" s="3278"/>
      <c r="C30" s="880" t="s">
        <v>582</v>
      </c>
      <c r="D30" s="881"/>
      <c r="E30" s="879">
        <v>0.9</v>
      </c>
      <c r="F30" s="882" t="s">
        <v>583</v>
      </c>
      <c r="G30" s="883"/>
      <c r="H30" s="875"/>
      <c r="I30" s="875"/>
    </row>
    <row r="31" spans="1:9" s="884" customFormat="1" ht="19.5" customHeight="1">
      <c r="A31" s="3278"/>
      <c r="B31" s="3278"/>
      <c r="C31" s="880" t="s">
        <v>584</v>
      </c>
      <c r="D31" s="881"/>
      <c r="E31" s="879">
        <v>0.8</v>
      </c>
      <c r="F31" s="882" t="s">
        <v>585</v>
      </c>
      <c r="G31" s="883"/>
      <c r="H31" s="875"/>
      <c r="I31" s="875"/>
    </row>
    <row r="32" spans="1:9" s="884" customFormat="1" ht="19.5" customHeight="1">
      <c r="A32" s="3278"/>
      <c r="B32" s="3278"/>
      <c r="C32" s="880" t="s">
        <v>586</v>
      </c>
      <c r="D32" s="881"/>
      <c r="E32" s="879">
        <v>0.8</v>
      </c>
      <c r="F32" s="882" t="s">
        <v>587</v>
      </c>
      <c r="G32" s="883"/>
      <c r="H32" s="875"/>
      <c r="I32" s="875"/>
    </row>
    <row r="33" spans="1:9" s="884" customFormat="1" ht="19.5" customHeight="1">
      <c r="A33" s="3278" t="s">
        <v>185</v>
      </c>
      <c r="B33" s="879" t="s">
        <v>560</v>
      </c>
      <c r="C33" s="880" t="s">
        <v>588</v>
      </c>
      <c r="D33" s="881"/>
      <c r="E33" s="879">
        <v>1</v>
      </c>
      <c r="F33" s="882" t="s">
        <v>589</v>
      </c>
      <c r="G33" s="883"/>
      <c r="H33" s="875"/>
      <c r="I33" s="875"/>
    </row>
    <row r="34" spans="1:9" s="884" customFormat="1" ht="19.5" customHeight="1">
      <c r="A34" s="3278"/>
      <c r="B34" s="879" t="s">
        <v>563</v>
      </c>
      <c r="C34" s="880" t="s">
        <v>590</v>
      </c>
      <c r="D34" s="881"/>
      <c r="E34" s="879">
        <v>1.5</v>
      </c>
      <c r="F34" s="882" t="s">
        <v>591</v>
      </c>
      <c r="G34" s="883"/>
      <c r="H34" s="875"/>
      <c r="I34" s="875"/>
    </row>
    <row r="35" spans="1:9" s="884" customFormat="1" ht="19.5" customHeight="1">
      <c r="A35" s="3278" t="s">
        <v>186</v>
      </c>
      <c r="B35" s="879" t="s">
        <v>560</v>
      </c>
      <c r="C35" s="880" t="s">
        <v>592</v>
      </c>
      <c r="D35" s="881"/>
      <c r="E35" s="879">
        <v>1</v>
      </c>
      <c r="F35" s="882" t="s">
        <v>593</v>
      </c>
      <c r="G35" s="883"/>
      <c r="H35" s="875"/>
      <c r="I35" s="875"/>
    </row>
    <row r="36" spans="1:9" s="884" customFormat="1" ht="19.5" customHeight="1">
      <c r="A36" s="3278"/>
      <c r="B36" s="3278" t="s">
        <v>563</v>
      </c>
      <c r="C36" s="880" t="s">
        <v>594</v>
      </c>
      <c r="D36" s="881"/>
      <c r="E36" s="879">
        <v>1</v>
      </c>
      <c r="F36" s="882" t="s">
        <v>595</v>
      </c>
      <c r="G36" s="883"/>
      <c r="H36" s="875"/>
      <c r="I36" s="875"/>
    </row>
    <row r="37" spans="1:9" s="884" customFormat="1" ht="19.5" customHeight="1">
      <c r="A37" s="3278"/>
      <c r="B37" s="3278"/>
      <c r="C37" s="880" t="s">
        <v>596</v>
      </c>
      <c r="D37" s="881"/>
      <c r="E37" s="879">
        <v>1.5</v>
      </c>
      <c r="F37" s="882" t="s">
        <v>597</v>
      </c>
      <c r="G37" s="883"/>
      <c r="H37" s="875"/>
      <c r="I37" s="875"/>
    </row>
    <row r="38" spans="1:9" s="884" customFormat="1" ht="19.5" customHeight="1">
      <c r="A38" s="3278"/>
      <c r="B38" s="3278"/>
      <c r="C38" s="880" t="s">
        <v>598</v>
      </c>
      <c r="D38" s="881"/>
      <c r="E38" s="879">
        <v>1</v>
      </c>
      <c r="F38" s="882" t="s">
        <v>599</v>
      </c>
      <c r="G38" s="883"/>
      <c r="H38" s="875"/>
      <c r="I38" s="875"/>
    </row>
    <row r="39" spans="1:9" s="884" customFormat="1" ht="19.5" customHeight="1">
      <c r="A39" s="3278"/>
      <c r="B39" s="3278"/>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278" t="s">
        <v>614</v>
      </c>
      <c r="C61" s="815" t="s">
        <v>615</v>
      </c>
      <c r="D61" s="815" t="s">
        <v>616</v>
      </c>
      <c r="E61" s="892">
        <v>0.5</v>
      </c>
      <c r="F61" s="879">
        <v>80</v>
      </c>
    </row>
    <row r="62" spans="1:8" s="875" customFormat="1" ht="24">
      <c r="A62" s="879">
        <v>2</v>
      </c>
      <c r="B62" s="3278"/>
      <c r="C62" s="815" t="s">
        <v>617</v>
      </c>
      <c r="D62" s="815" t="s">
        <v>618</v>
      </c>
      <c r="E62" s="892">
        <v>0.5</v>
      </c>
      <c r="F62" s="879">
        <v>80</v>
      </c>
    </row>
    <row r="63" spans="1:8" s="875" customFormat="1" ht="36">
      <c r="A63" s="879">
        <v>3</v>
      </c>
      <c r="B63" s="3278"/>
      <c r="C63" s="815" t="s">
        <v>619</v>
      </c>
      <c r="D63" s="815" t="s">
        <v>620</v>
      </c>
      <c r="E63" s="892">
        <v>0.5</v>
      </c>
      <c r="F63" s="879">
        <v>80</v>
      </c>
    </row>
    <row r="64" spans="1:8" s="875" customFormat="1" ht="36">
      <c r="A64" s="879">
        <v>4</v>
      </c>
      <c r="B64" s="3278"/>
      <c r="C64" s="815" t="s">
        <v>621</v>
      </c>
      <c r="D64" s="815" t="s">
        <v>622</v>
      </c>
      <c r="E64" s="892">
        <v>0.4</v>
      </c>
      <c r="F64" s="879">
        <v>60</v>
      </c>
    </row>
    <row r="65" spans="1:6" s="875" customFormat="1" ht="36">
      <c r="A65" s="879">
        <v>5</v>
      </c>
      <c r="B65" s="3278"/>
      <c r="C65" s="815" t="s">
        <v>623</v>
      </c>
      <c r="D65" s="815" t="s">
        <v>624</v>
      </c>
      <c r="E65" s="892">
        <v>0.2</v>
      </c>
      <c r="F65" s="879">
        <v>30</v>
      </c>
    </row>
    <row r="66" spans="1:6" s="875" customFormat="1" ht="36">
      <c r="A66" s="879">
        <v>6</v>
      </c>
      <c r="B66" s="3278"/>
      <c r="C66" s="815" t="s">
        <v>625</v>
      </c>
      <c r="D66" s="815" t="s">
        <v>626</v>
      </c>
      <c r="E66" s="892">
        <v>0.3</v>
      </c>
      <c r="F66" s="879">
        <v>50</v>
      </c>
    </row>
    <row r="67" spans="1:6" s="875" customFormat="1" ht="36">
      <c r="A67" s="879">
        <v>7</v>
      </c>
      <c r="B67" s="3278"/>
      <c r="C67" s="815" t="s">
        <v>627</v>
      </c>
      <c r="D67" s="815" t="s">
        <v>628</v>
      </c>
      <c r="E67" s="892">
        <v>0.2</v>
      </c>
      <c r="F67" s="879">
        <v>30</v>
      </c>
    </row>
    <row r="68" spans="1:6" s="875" customFormat="1" ht="36">
      <c r="A68" s="879">
        <v>8</v>
      </c>
      <c r="B68" s="3278"/>
      <c r="C68" s="815" t="s">
        <v>629</v>
      </c>
      <c r="D68" s="815" t="s">
        <v>630</v>
      </c>
      <c r="E68" s="892">
        <v>0.2</v>
      </c>
      <c r="F68" s="879">
        <v>30</v>
      </c>
    </row>
    <row r="69" spans="1:6" s="875" customFormat="1" ht="36">
      <c r="A69" s="879">
        <v>9</v>
      </c>
      <c r="B69" s="3278"/>
      <c r="C69" s="815" t="s">
        <v>631</v>
      </c>
      <c r="D69" s="815" t="s">
        <v>632</v>
      </c>
      <c r="E69" s="892">
        <v>0.2</v>
      </c>
      <c r="F69" s="879">
        <v>30</v>
      </c>
    </row>
    <row r="70" spans="1:6" s="875" customFormat="1" ht="48">
      <c r="A70" s="879">
        <v>10</v>
      </c>
      <c r="B70" s="3278"/>
      <c r="C70" s="815" t="s">
        <v>633</v>
      </c>
      <c r="D70" s="815" t="s">
        <v>634</v>
      </c>
      <c r="E70" s="892">
        <v>0.2</v>
      </c>
      <c r="F70" s="879">
        <v>30</v>
      </c>
    </row>
    <row r="71" spans="1:6" s="875" customFormat="1" ht="48">
      <c r="A71" s="879">
        <v>11</v>
      </c>
      <c r="B71" s="3278"/>
      <c r="C71" s="815" t="s">
        <v>635</v>
      </c>
      <c r="D71" s="815" t="s">
        <v>636</v>
      </c>
      <c r="E71" s="892">
        <v>0.2</v>
      </c>
      <c r="F71" s="879">
        <v>30</v>
      </c>
    </row>
    <row r="72" spans="1:6" s="875" customFormat="1" ht="36">
      <c r="A72" s="879">
        <v>12</v>
      </c>
      <c r="B72" s="3278"/>
      <c r="C72" s="815" t="s">
        <v>637</v>
      </c>
      <c r="D72" s="815" t="s">
        <v>638</v>
      </c>
      <c r="E72" s="892">
        <v>0.5</v>
      </c>
      <c r="F72" s="879">
        <v>80</v>
      </c>
    </row>
    <row r="73" spans="1:6" s="875" customFormat="1" ht="24">
      <c r="A73" s="879">
        <v>13</v>
      </c>
      <c r="B73" s="3278"/>
      <c r="C73" s="815" t="s">
        <v>639</v>
      </c>
      <c r="D73" s="815" t="s">
        <v>640</v>
      </c>
      <c r="E73" s="892">
        <v>0.4</v>
      </c>
      <c r="F73" s="879">
        <v>60</v>
      </c>
    </row>
    <row r="74" spans="1:6" s="875" customFormat="1" ht="24">
      <c r="A74" s="879">
        <v>14</v>
      </c>
      <c r="B74" s="3278"/>
      <c r="C74" s="815" t="s">
        <v>641</v>
      </c>
      <c r="D74" s="815" t="s">
        <v>642</v>
      </c>
      <c r="E74" s="892">
        <v>0.2</v>
      </c>
      <c r="F74" s="879">
        <v>30</v>
      </c>
    </row>
    <row r="75" spans="1:6" s="875" customFormat="1" ht="24">
      <c r="A75" s="879">
        <v>15</v>
      </c>
      <c r="B75" s="3278"/>
      <c r="C75" s="815" t="s">
        <v>643</v>
      </c>
      <c r="D75" s="815" t="s">
        <v>644</v>
      </c>
      <c r="E75" s="892">
        <v>0.2</v>
      </c>
      <c r="F75" s="879">
        <v>30</v>
      </c>
    </row>
    <row r="76" spans="1:6" s="875" customFormat="1" ht="24">
      <c r="A76" s="879">
        <v>16</v>
      </c>
      <c r="B76" s="3278" t="s">
        <v>645</v>
      </c>
      <c r="C76" s="815" t="s">
        <v>646</v>
      </c>
      <c r="D76" s="815" t="s">
        <v>647</v>
      </c>
      <c r="E76" s="892">
        <v>0.5</v>
      </c>
      <c r="F76" s="879">
        <v>80</v>
      </c>
    </row>
    <row r="77" spans="1:6" s="875" customFormat="1" ht="24">
      <c r="A77" s="879">
        <v>17</v>
      </c>
      <c r="B77" s="3278"/>
      <c r="C77" s="815" t="s">
        <v>648</v>
      </c>
      <c r="D77" s="815" t="s">
        <v>649</v>
      </c>
      <c r="E77" s="892">
        <v>0.5</v>
      </c>
      <c r="F77" s="879">
        <v>80</v>
      </c>
    </row>
    <row r="78" spans="1:6" s="875" customFormat="1" ht="24">
      <c r="A78" s="879">
        <v>18</v>
      </c>
      <c r="B78" s="3278"/>
      <c r="C78" s="815" t="s">
        <v>650</v>
      </c>
      <c r="D78" s="815" t="s">
        <v>651</v>
      </c>
      <c r="E78" s="892">
        <v>0.2</v>
      </c>
      <c r="F78" s="879">
        <v>30</v>
      </c>
    </row>
    <row r="79" spans="1:6" s="875" customFormat="1" ht="24">
      <c r="A79" s="879">
        <v>19</v>
      </c>
      <c r="B79" s="3278"/>
      <c r="C79" s="815" t="s">
        <v>652</v>
      </c>
      <c r="D79" s="815" t="s">
        <v>653</v>
      </c>
      <c r="E79" s="892">
        <v>0.5</v>
      </c>
      <c r="F79" s="879">
        <v>80</v>
      </c>
    </row>
    <row r="80" spans="1:6" s="875" customFormat="1" ht="36">
      <c r="A80" s="879">
        <v>20</v>
      </c>
      <c r="B80" s="3278"/>
      <c r="C80" s="815" t="s">
        <v>654</v>
      </c>
      <c r="D80" s="815" t="s">
        <v>655</v>
      </c>
      <c r="E80" s="892">
        <v>0.2</v>
      </c>
      <c r="F80" s="879">
        <v>30</v>
      </c>
    </row>
    <row r="81" spans="1:6" s="875" customFormat="1" ht="36">
      <c r="A81" s="879">
        <v>21</v>
      </c>
      <c r="B81" s="3278"/>
      <c r="C81" s="815" t="s">
        <v>656</v>
      </c>
      <c r="D81" s="815" t="s">
        <v>657</v>
      </c>
      <c r="E81" s="892">
        <v>0.2</v>
      </c>
      <c r="F81" s="879">
        <v>30</v>
      </c>
    </row>
    <row r="82" spans="1:6" s="875" customFormat="1" ht="48">
      <c r="A82" s="879">
        <v>22</v>
      </c>
      <c r="B82" s="3278"/>
      <c r="C82" s="815" t="s">
        <v>658</v>
      </c>
      <c r="D82" s="815" t="s">
        <v>659</v>
      </c>
      <c r="E82" s="892">
        <v>0.2</v>
      </c>
      <c r="F82" s="879">
        <v>30</v>
      </c>
    </row>
    <row r="83" spans="1:6" s="875" customFormat="1" ht="48">
      <c r="A83" s="879">
        <v>23</v>
      </c>
      <c r="B83" s="3278"/>
      <c r="C83" s="815" t="s">
        <v>660</v>
      </c>
      <c r="D83" s="815" t="s">
        <v>661</v>
      </c>
      <c r="E83" s="892">
        <v>0.2</v>
      </c>
      <c r="F83" s="879">
        <v>30</v>
      </c>
    </row>
    <row r="84" spans="1:6" s="875" customFormat="1" ht="36">
      <c r="A84" s="879">
        <v>24</v>
      </c>
      <c r="B84" s="3278"/>
      <c r="C84" s="815" t="s">
        <v>662</v>
      </c>
      <c r="D84" s="815" t="s">
        <v>663</v>
      </c>
      <c r="E84" s="892">
        <v>0.2</v>
      </c>
      <c r="F84" s="879">
        <v>30</v>
      </c>
    </row>
    <row r="85" spans="1:6" s="875" customFormat="1" ht="36">
      <c r="A85" s="879">
        <v>25</v>
      </c>
      <c r="B85" s="3278"/>
      <c r="C85" s="815" t="s">
        <v>664</v>
      </c>
      <c r="D85" s="815" t="s">
        <v>665</v>
      </c>
      <c r="E85" s="892">
        <v>0.5</v>
      </c>
      <c r="F85" s="879">
        <v>80</v>
      </c>
    </row>
    <row r="86" spans="1:6" s="875" customFormat="1" ht="36">
      <c r="A86" s="879">
        <v>26</v>
      </c>
      <c r="B86" s="3278"/>
      <c r="C86" s="815" t="s">
        <v>666</v>
      </c>
      <c r="D86" s="815" t="s">
        <v>667</v>
      </c>
      <c r="E86" s="892">
        <v>0.2</v>
      </c>
      <c r="F86" s="879">
        <v>30</v>
      </c>
    </row>
    <row r="87" spans="1:6" s="875" customFormat="1" ht="36">
      <c r="A87" s="879">
        <v>27</v>
      </c>
      <c r="B87" s="3278"/>
      <c r="C87" s="815" t="s">
        <v>668</v>
      </c>
      <c r="D87" s="815" t="s">
        <v>669</v>
      </c>
      <c r="E87" s="892">
        <v>0.2</v>
      </c>
      <c r="F87" s="879">
        <v>30</v>
      </c>
    </row>
    <row r="88" spans="1:6" s="875" customFormat="1" ht="36">
      <c r="A88" s="879">
        <v>28</v>
      </c>
      <c r="B88" s="3278"/>
      <c r="C88" s="815" t="s">
        <v>670</v>
      </c>
      <c r="D88" s="815" t="s">
        <v>671</v>
      </c>
      <c r="E88" s="892">
        <v>0.2</v>
      </c>
      <c r="F88" s="879">
        <v>30</v>
      </c>
    </row>
    <row r="89" spans="1:6" s="875" customFormat="1" ht="24">
      <c r="A89" s="879">
        <v>29</v>
      </c>
      <c r="B89" s="3278"/>
      <c r="C89" s="815" t="s">
        <v>672</v>
      </c>
      <c r="D89" s="815" t="s">
        <v>673</v>
      </c>
      <c r="E89" s="892">
        <v>0.2</v>
      </c>
      <c r="F89" s="879">
        <v>30</v>
      </c>
    </row>
    <row r="90" spans="1:6" s="875" customFormat="1" ht="24">
      <c r="A90" s="879">
        <v>30</v>
      </c>
      <c r="B90" s="3278"/>
      <c r="C90" s="815" t="s">
        <v>674</v>
      </c>
      <c r="D90" s="815" t="s">
        <v>675</v>
      </c>
      <c r="E90" s="892">
        <v>0.2</v>
      </c>
      <c r="F90" s="879">
        <v>30</v>
      </c>
    </row>
    <row r="91" spans="1:6" s="875" customFormat="1" ht="36">
      <c r="A91" s="879">
        <v>31</v>
      </c>
      <c r="B91" s="3278"/>
      <c r="C91" s="815" t="s">
        <v>676</v>
      </c>
      <c r="D91" s="815" t="s">
        <v>677</v>
      </c>
      <c r="E91" s="892">
        <v>0.2</v>
      </c>
      <c r="F91" s="879">
        <v>30</v>
      </c>
    </row>
    <row r="92" spans="1:6" s="875" customFormat="1" ht="24">
      <c r="A92" s="879">
        <v>32</v>
      </c>
      <c r="B92" s="3278" t="s">
        <v>678</v>
      </c>
      <c r="C92" s="879" t="s">
        <v>679</v>
      </c>
      <c r="D92" s="815" t="s">
        <v>680</v>
      </c>
      <c r="E92" s="892">
        <v>0.2</v>
      </c>
      <c r="F92" s="879">
        <v>30</v>
      </c>
    </row>
    <row r="93" spans="1:6" s="875" customFormat="1" ht="36">
      <c r="A93" s="879">
        <v>33</v>
      </c>
      <c r="B93" s="3278"/>
      <c r="C93" s="879" t="s">
        <v>681</v>
      </c>
      <c r="D93" s="815" t="s">
        <v>682</v>
      </c>
      <c r="E93" s="892">
        <v>0.2</v>
      </c>
      <c r="F93" s="879">
        <v>30</v>
      </c>
    </row>
    <row r="94" spans="1:6" s="875" customFormat="1" ht="48">
      <c r="A94" s="879">
        <v>34</v>
      </c>
      <c r="B94" s="3278"/>
      <c r="C94" s="879" t="s">
        <v>683</v>
      </c>
      <c r="D94" s="815" t="s">
        <v>684</v>
      </c>
      <c r="E94" s="892">
        <v>0.2</v>
      </c>
      <c r="F94" s="879">
        <v>30</v>
      </c>
    </row>
    <row r="95" spans="1:6" s="875" customFormat="1" ht="36">
      <c r="A95" s="879">
        <v>35</v>
      </c>
      <c r="B95" s="3278"/>
      <c r="C95" s="879" t="s">
        <v>685</v>
      </c>
      <c r="D95" s="815" t="s">
        <v>686</v>
      </c>
      <c r="E95" s="892">
        <v>0.2</v>
      </c>
      <c r="F95" s="879">
        <v>30</v>
      </c>
    </row>
    <row r="96" spans="1:6" s="875" customFormat="1" ht="48">
      <c r="A96" s="879">
        <v>36</v>
      </c>
      <c r="B96" s="3278"/>
      <c r="C96" s="815" t="s">
        <v>687</v>
      </c>
      <c r="D96" s="815" t="s">
        <v>688</v>
      </c>
      <c r="E96" s="892">
        <v>0.2</v>
      </c>
      <c r="F96" s="879">
        <v>30</v>
      </c>
    </row>
    <row r="97" spans="1:6" s="875" customFormat="1" ht="36">
      <c r="A97" s="879">
        <v>37</v>
      </c>
      <c r="B97" s="3278"/>
      <c r="C97" s="879" t="s">
        <v>689</v>
      </c>
      <c r="D97" s="815" t="s">
        <v>690</v>
      </c>
      <c r="E97" s="892">
        <v>0.2</v>
      </c>
      <c r="F97" s="879">
        <v>30</v>
      </c>
    </row>
    <row r="98" spans="1:6" s="875" customFormat="1" ht="36">
      <c r="A98" s="879">
        <v>38</v>
      </c>
      <c r="B98" s="3278"/>
      <c r="C98" s="879" t="s">
        <v>691</v>
      </c>
      <c r="D98" s="815" t="s">
        <v>692</v>
      </c>
      <c r="E98" s="892">
        <v>0.2</v>
      </c>
      <c r="F98" s="879">
        <v>30</v>
      </c>
    </row>
    <row r="99" spans="1:6" s="875" customFormat="1" ht="36">
      <c r="A99" s="879">
        <v>39</v>
      </c>
      <c r="B99" s="3278" t="s">
        <v>693</v>
      </c>
      <c r="C99" s="879" t="s">
        <v>694</v>
      </c>
      <c r="D99" s="815" t="s">
        <v>695</v>
      </c>
      <c r="E99" s="892">
        <v>0.3</v>
      </c>
      <c r="F99" s="879">
        <v>50</v>
      </c>
    </row>
    <row r="100" spans="1:6" s="875" customFormat="1" ht="24">
      <c r="A100" s="879">
        <v>40</v>
      </c>
      <c r="B100" s="3278"/>
      <c r="C100" s="879" t="s">
        <v>696</v>
      </c>
      <c r="D100" s="815" t="s">
        <v>697</v>
      </c>
      <c r="E100" s="892">
        <v>0.2</v>
      </c>
      <c r="F100" s="879">
        <v>30</v>
      </c>
    </row>
    <row r="101" spans="1:6" s="875" customFormat="1" ht="36">
      <c r="A101" s="879">
        <v>41</v>
      </c>
      <c r="B101" s="3278"/>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78" t="s">
        <v>708</v>
      </c>
      <c r="C105" s="879" t="s">
        <v>709</v>
      </c>
      <c r="D105" s="815" t="s">
        <v>710</v>
      </c>
      <c r="E105" s="892">
        <v>0.2</v>
      </c>
      <c r="F105" s="879">
        <v>30</v>
      </c>
    </row>
    <row r="106" spans="1:6" s="875" customFormat="1" ht="36">
      <c r="A106" s="879">
        <v>46</v>
      </c>
      <c r="B106" s="3278"/>
      <c r="C106" s="879" t="s">
        <v>711</v>
      </c>
      <c r="D106" s="815" t="s">
        <v>712</v>
      </c>
      <c r="E106" s="892">
        <v>0.2</v>
      </c>
      <c r="F106" s="879">
        <v>30</v>
      </c>
    </row>
    <row r="107" spans="1:6" s="875" customFormat="1" ht="36">
      <c r="A107" s="879">
        <v>47</v>
      </c>
      <c r="B107" s="3278" t="s">
        <v>713</v>
      </c>
      <c r="C107" s="879" t="s">
        <v>714</v>
      </c>
      <c r="D107" s="815" t="s">
        <v>715</v>
      </c>
      <c r="E107" s="892">
        <v>0.3</v>
      </c>
      <c r="F107" s="879">
        <v>50</v>
      </c>
    </row>
    <row r="108" spans="1:6" s="875" customFormat="1" ht="36">
      <c r="A108" s="879">
        <v>48</v>
      </c>
      <c r="B108" s="3278"/>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78" t="s">
        <v>724</v>
      </c>
      <c r="C111" s="879" t="s">
        <v>725</v>
      </c>
      <c r="D111" s="815" t="s">
        <v>726</v>
      </c>
      <c r="E111" s="892">
        <v>0.2</v>
      </c>
      <c r="F111" s="879">
        <v>30</v>
      </c>
    </row>
    <row r="112" spans="1:6" s="875" customFormat="1" ht="24">
      <c r="A112" s="879">
        <v>52</v>
      </c>
      <c r="B112" s="3278"/>
      <c r="C112" s="879" t="s">
        <v>727</v>
      </c>
      <c r="D112" s="815" t="s">
        <v>728</v>
      </c>
      <c r="E112" s="892">
        <v>0.2</v>
      </c>
      <c r="F112" s="879">
        <v>30</v>
      </c>
    </row>
    <row r="113" spans="1:6" s="875" customFormat="1" ht="24">
      <c r="A113" s="879">
        <v>53</v>
      </c>
      <c r="B113" s="3278"/>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78" t="s">
        <v>737</v>
      </c>
      <c r="C116" s="879" t="s">
        <v>738</v>
      </c>
      <c r="D116" s="815" t="s">
        <v>739</v>
      </c>
      <c r="E116" s="892">
        <v>0.2</v>
      </c>
      <c r="F116" s="879">
        <v>30</v>
      </c>
    </row>
    <row r="117" spans="1:6" ht="36">
      <c r="A117" s="879">
        <v>57</v>
      </c>
      <c r="B117" s="3278"/>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3003</v>
      </c>
    </row>
    <row r="2" spans="1:5" ht="15.75">
      <c r="A2" s="2909" t="s">
        <v>2995</v>
      </c>
      <c r="B2" s="2910" t="e">
        <f ca="1">SUMIF(B6:B13,"&lt;&gt;#ref!",B6:B13)</f>
        <v>#DIV/0!</v>
      </c>
      <c r="C2" s="2909" t="s">
        <v>2996</v>
      </c>
      <c r="D2" s="2909" t="s">
        <v>2997</v>
      </c>
      <c r="E2" s="2910">
        <f ca="1">SUMIF(E6:E13,"&lt;&gt;#ref!",E6:E13)</f>
        <v>0</v>
      </c>
    </row>
    <row r="3" spans="1:5" ht="15.75">
      <c r="A3" s="2909" t="s">
        <v>2998</v>
      </c>
      <c r="B3" s="2910" t="e">
        <f ca="1">ROUND(B2*10000/E2,0)</f>
        <v>#DIV/0!</v>
      </c>
      <c r="C3" s="2909" t="s">
        <v>3004</v>
      </c>
      <c r="D3" s="2911"/>
      <c r="E3" s="2911"/>
    </row>
    <row r="4" spans="1:5" ht="15.75">
      <c r="A4" s="2912"/>
      <c r="B4" s="2911"/>
      <c r="C4" s="2911"/>
      <c r="D4" s="2911"/>
      <c r="E4" s="2911"/>
    </row>
    <row r="5" spans="1:5" ht="28.5">
      <c r="A5" s="2913" t="s">
        <v>2999</v>
      </c>
      <c r="B5" s="2909" t="s">
        <v>3000</v>
      </c>
      <c r="C5" s="2910"/>
      <c r="D5" s="2911"/>
      <c r="E5" s="2909" t="s">
        <v>3001</v>
      </c>
    </row>
    <row r="6" spans="1:5" ht="15.75">
      <c r="A6" s="2914" t="s">
        <v>3002</v>
      </c>
      <c r="B6" s="2910" t="e">
        <f ca="1">SUMIF(INDIRECT("'"&amp;A6&amp;"'"&amp;"!A:A"),"总价",INDIRECT("'"&amp;A6&amp;"'"&amp;"!B:B"))</f>
        <v>#DIV/0!</v>
      </c>
      <c r="C6" s="2909" t="s">
        <v>2996</v>
      </c>
      <c r="D6" s="2911"/>
      <c r="E6" s="2574">
        <f ca="1">SUMIF(INDIRECT("'"&amp;A6&amp;"'"&amp;"!C:C"),"建筑面积",INDIRECT("'"&amp;A6&amp;"'"&amp;"!D:D"))</f>
        <v>0</v>
      </c>
    </row>
    <row r="7" spans="1:5" ht="15.75">
      <c r="A7" s="2914"/>
      <c r="B7" s="2910" t="e">
        <f ca="1">SUMIF(INDIRECT("'"&amp;A7&amp;"'"&amp;"!A:A"),"总价",INDIRECT("'"&amp;A7&amp;"'"&amp;"!B:B"))</f>
        <v>#REF!</v>
      </c>
      <c r="C7" s="2909" t="s">
        <v>2996</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2996</v>
      </c>
      <c r="D8" s="2911"/>
      <c r="E8" s="2574" t="e">
        <f t="shared" ca="1" si="0"/>
        <v>#REF!</v>
      </c>
    </row>
    <row r="9" spans="1:5" ht="15.75">
      <c r="A9" s="2914"/>
      <c r="B9" s="2910" t="e">
        <f t="shared" ca="1" si="1"/>
        <v>#REF!</v>
      </c>
      <c r="C9" s="2909" t="s">
        <v>2996</v>
      </c>
      <c r="D9" s="2911"/>
      <c r="E9" s="2574" t="e">
        <f t="shared" ca="1" si="0"/>
        <v>#REF!</v>
      </c>
    </row>
    <row r="10" spans="1:5" ht="15.75">
      <c r="A10" s="2914"/>
      <c r="B10" s="2910" t="e">
        <f t="shared" ca="1" si="1"/>
        <v>#REF!</v>
      </c>
      <c r="C10" s="2909" t="s">
        <v>2996</v>
      </c>
      <c r="D10" s="2911"/>
      <c r="E10" s="2574" t="e">
        <f t="shared" ca="1" si="0"/>
        <v>#REF!</v>
      </c>
    </row>
    <row r="11" spans="1:5" ht="15.75">
      <c r="A11" s="2914"/>
      <c r="B11" s="2910" t="e">
        <f t="shared" ca="1" si="1"/>
        <v>#REF!</v>
      </c>
      <c r="C11" s="2909" t="s">
        <v>2996</v>
      </c>
      <c r="D11" s="2911"/>
      <c r="E11" s="2574" t="e">
        <f t="shared" ca="1" si="0"/>
        <v>#REF!</v>
      </c>
    </row>
    <row r="12" spans="1:5" ht="15.75">
      <c r="A12" s="2914"/>
      <c r="B12" s="2910" t="e">
        <f t="shared" ca="1" si="1"/>
        <v>#REF!</v>
      </c>
      <c r="C12" s="2909" t="s">
        <v>2996</v>
      </c>
      <c r="D12" s="2911"/>
      <c r="E12" s="2574" t="e">
        <f t="shared" ca="1" si="0"/>
        <v>#REF!</v>
      </c>
    </row>
    <row r="13" spans="1:5" ht="15.75">
      <c r="A13" s="2914"/>
      <c r="B13" s="2910" t="e">
        <f t="shared" ca="1" si="1"/>
        <v>#REF!</v>
      </c>
      <c r="C13" s="2909" t="s">
        <v>2996</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1150</v>
      </c>
      <c r="C1" s="3284"/>
      <c r="D1" s="3284"/>
      <c r="E1" s="3284"/>
      <c r="F1" s="3284"/>
      <c r="G1" s="3280" t="s">
        <v>1151</v>
      </c>
      <c r="H1" s="3280"/>
      <c r="I1" s="3280"/>
      <c r="J1" s="3280"/>
      <c r="K1" s="3280"/>
      <c r="L1" s="3280"/>
      <c r="N1" s="3280" t="s">
        <v>1152</v>
      </c>
      <c r="O1" s="3280"/>
      <c r="P1" s="3280"/>
      <c r="Q1" s="3280"/>
      <c r="R1" s="1446"/>
      <c r="S1" s="3280" t="s">
        <v>1153</v>
      </c>
      <c r="T1" s="3280"/>
      <c r="U1" s="3280"/>
      <c r="V1" s="3280"/>
      <c r="X1" s="3279" t="s">
        <v>1154</v>
      </c>
      <c r="Y1" s="3280"/>
      <c r="Z1" s="3280"/>
      <c r="AA1" s="3280"/>
      <c r="AB1" s="3280"/>
      <c r="AD1" s="3279" t="s">
        <v>1155</v>
      </c>
      <c r="AE1" s="3280"/>
      <c r="AF1" s="3280"/>
      <c r="AG1" s="3280"/>
      <c r="AH1" s="3280"/>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8" customFormat="1" ht="14.25">
      <c r="A3" s="2937" t="s">
        <v>3034</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3" customFormat="1" ht="14.25">
      <c r="B4" s="1454"/>
      <c r="C4" s="1454"/>
      <c r="D4" s="1455"/>
      <c r="E4" s="1455"/>
      <c r="F4" s="1454"/>
      <c r="G4" s="1456"/>
      <c r="H4" s="1457"/>
      <c r="I4" s="2922"/>
      <c r="J4" s="2922"/>
      <c r="K4" s="2922"/>
      <c r="L4" s="2922"/>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3040</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8">
        <v>2018</v>
      </c>
      <c r="H5" s="1730">
        <v>2</v>
      </c>
      <c r="I5" s="2923">
        <v>0</v>
      </c>
      <c r="J5" s="2923">
        <v>0</v>
      </c>
      <c r="K5" s="2923">
        <v>0</v>
      </c>
      <c r="L5" s="2923">
        <v>0</v>
      </c>
      <c r="N5" s="1467">
        <f t="shared" ref="N5" si="7">I5/100</f>
        <v>0</v>
      </c>
      <c r="O5" s="1467">
        <f t="shared" ref="O5" si="8">J5/100</f>
        <v>0</v>
      </c>
      <c r="P5" s="1467">
        <f t="shared" ref="P5" si="9">K5/100</f>
        <v>0</v>
      </c>
      <c r="Q5" s="1467">
        <f t="shared" ref="Q5" si="10">L5/100</f>
        <v>0</v>
      </c>
      <c r="R5" s="1732"/>
      <c r="S5" s="1733"/>
      <c r="T5" s="1732"/>
      <c r="U5" s="1732"/>
      <c r="V5" s="1732"/>
      <c r="W5" s="2927" t="s">
        <v>3035</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5" thickBot="1">
      <c r="A6" s="1461" t="s">
        <v>3033</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9">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1" t="s">
        <v>3030</v>
      </c>
      <c r="B7" s="1469">
        <v>439</v>
      </c>
      <c r="C7" s="1469">
        <v>327</v>
      </c>
      <c r="D7" s="1469">
        <f>C7</f>
        <v>327</v>
      </c>
      <c r="E7" s="1469">
        <v>627</v>
      </c>
      <c r="F7" s="1470">
        <v>283</v>
      </c>
      <c r="G7" s="2925">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5" thickBot="1">
      <c r="A8" s="1461" t="s">
        <v>3031</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21"/>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1" t="s">
        <v>1386</v>
      </c>
      <c r="B9" s="1477">
        <f t="shared" si="30"/>
        <v>419.31181600000002</v>
      </c>
      <c r="C9" s="1477">
        <f t="shared" si="31"/>
        <v>313.95436800000004</v>
      </c>
      <c r="D9" s="1477">
        <f t="shared" si="32"/>
        <v>313.95436800000004</v>
      </c>
      <c r="E9" s="1477">
        <f t="shared" si="33"/>
        <v>596.63028431999999</v>
      </c>
      <c r="F9" s="1477">
        <f t="shared" si="34"/>
        <v>274.74220703999998</v>
      </c>
      <c r="G9" s="2920"/>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3"/>
      <c r="AD9" s="1789">
        <f>ROUND(AVERAGE(I9:I$22)/100,4)</f>
        <v>2.46E-2</v>
      </c>
      <c r="AE9" s="1789">
        <f>ROUND(AVERAGE(J9:J$22)/100,4)</f>
        <v>1.6E-2</v>
      </c>
      <c r="AF9" s="1789">
        <f t="shared" si="1"/>
        <v>1.6E-2</v>
      </c>
      <c r="AG9" s="1789">
        <f>ROUND(AVERAGE(K9:K$22)/100,4)</f>
        <v>2.75E-2</v>
      </c>
      <c r="AH9" s="1789">
        <f>ROUND(AVERAGE(L9:L$22)/100,4)</f>
        <v>1.37E-2</v>
      </c>
    </row>
    <row r="10" spans="1:34" s="1466" customFormat="1" ht="13.5" thickBot="1">
      <c r="A10" s="1461" t="s">
        <v>1161</v>
      </c>
      <c r="B10" s="1477">
        <f>B11*(1+N10)</f>
        <v>405.524</v>
      </c>
      <c r="C10" s="1477">
        <f>C11*(1+O10)</f>
        <v>307.79840000000002</v>
      </c>
      <c r="D10" s="1477">
        <f>C10</f>
        <v>307.79840000000002</v>
      </c>
      <c r="E10" s="1477">
        <f>E11*(1+P10)</f>
        <v>574.67759999999998</v>
      </c>
      <c r="F10" s="1477">
        <f>F11*(1+Q10)</f>
        <v>270.20280000000002</v>
      </c>
      <c r="G10" s="2921"/>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1" t="s">
        <v>154</v>
      </c>
      <c r="B11" s="1469">
        <v>392</v>
      </c>
      <c r="C11" s="1469">
        <v>302</v>
      </c>
      <c r="D11" s="1469">
        <f>C11</f>
        <v>302</v>
      </c>
      <c r="E11" s="1469">
        <v>553</v>
      </c>
      <c r="F11" s="1470">
        <v>266</v>
      </c>
      <c r="G11" s="3285">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282"/>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282"/>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5"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283"/>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5" thickBot="1">
      <c r="A15" s="1461" t="s">
        <v>151</v>
      </c>
      <c r="B15" s="1469">
        <v>333</v>
      </c>
      <c r="C15" s="1469">
        <v>277</v>
      </c>
      <c r="D15" s="1469">
        <f t="shared" si="44"/>
        <v>277</v>
      </c>
      <c r="E15" s="1469">
        <v>459</v>
      </c>
      <c r="F15" s="1470">
        <v>249</v>
      </c>
      <c r="G15" s="3281">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282"/>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282"/>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283"/>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5" thickBot="1">
      <c r="A19" s="1461" t="s">
        <v>147</v>
      </c>
      <c r="B19" s="1490">
        <v>318</v>
      </c>
      <c r="C19" s="1490">
        <v>268</v>
      </c>
      <c r="D19" s="1490">
        <f t="shared" si="44"/>
        <v>268</v>
      </c>
      <c r="E19" s="1490">
        <v>437</v>
      </c>
      <c r="F19" s="1491">
        <v>237</v>
      </c>
      <c r="G19" s="3281">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282"/>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5"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282"/>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5"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283"/>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1162</v>
      </c>
      <c r="X22" s="1505">
        <v>1</v>
      </c>
      <c r="Y22" s="1505">
        <v>1</v>
      </c>
      <c r="Z22" s="1505">
        <v>1</v>
      </c>
      <c r="AA22" s="1505">
        <v>1</v>
      </c>
      <c r="AB22" s="1505">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1" t="s">
        <v>1163</v>
      </c>
      <c r="B23" s="1469">
        <v>299</v>
      </c>
      <c r="C23" s="1469">
        <v>252</v>
      </c>
      <c r="D23" s="1469">
        <f t="shared" si="44"/>
        <v>252</v>
      </c>
      <c r="E23" s="1469">
        <v>409</v>
      </c>
      <c r="F23" s="1470">
        <v>227</v>
      </c>
      <c r="G23" s="3286">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1164</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287"/>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1165</v>
      </c>
      <c r="B25" s="1477">
        <f t="shared" si="53"/>
        <v>288.2649053828776</v>
      </c>
      <c r="C25" s="1477">
        <f t="shared" si="53"/>
        <v>243.64564425013293</v>
      </c>
      <c r="D25" s="1477">
        <f t="shared" si="44"/>
        <v>243.64564425013293</v>
      </c>
      <c r="E25" s="1477">
        <f t="shared" si="54"/>
        <v>393.31080825986544</v>
      </c>
      <c r="F25" s="1477">
        <f t="shared" si="54"/>
        <v>223.07903790551154</v>
      </c>
      <c r="G25" s="3287"/>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1166</v>
      </c>
      <c r="B26" s="1477">
        <f t="shared" si="53"/>
        <v>282.50186729015837</v>
      </c>
      <c r="C26" s="1477">
        <f t="shared" si="53"/>
        <v>238.09796174155468</v>
      </c>
      <c r="D26" s="1477">
        <f t="shared" si="44"/>
        <v>238.09796174155468</v>
      </c>
      <c r="E26" s="1477">
        <f t="shared" si="54"/>
        <v>385.33438646014054</v>
      </c>
      <c r="F26" s="1477">
        <f t="shared" si="54"/>
        <v>221.55034055567739</v>
      </c>
      <c r="G26" s="3288"/>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5" thickBot="1">
      <c r="A27" s="1461" t="s">
        <v>1167</v>
      </c>
      <c r="B27" s="1511">
        <v>278</v>
      </c>
      <c r="C27" s="1511">
        <v>234</v>
      </c>
      <c r="D27" s="1511">
        <f t="shared" si="44"/>
        <v>234</v>
      </c>
      <c r="E27" s="1511">
        <v>379</v>
      </c>
      <c r="F27" s="1512">
        <v>220</v>
      </c>
      <c r="G27" s="3281">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1168</v>
      </c>
      <c r="B28" s="1477">
        <f>B27/(1+N27)</f>
        <v>275.49301357645425</v>
      </c>
      <c r="C28" s="1477">
        <f>C27/(1+O27)</f>
        <v>232.41954707985698</v>
      </c>
      <c r="D28" s="1477">
        <f t="shared" si="44"/>
        <v>232.41954707985698</v>
      </c>
      <c r="E28" s="1477">
        <f t="shared" ref="E28:F30" si="55">E27/(1+P27)</f>
        <v>375.32184591008121</v>
      </c>
      <c r="F28" s="1477">
        <f t="shared" si="55"/>
        <v>218.03766105054513</v>
      </c>
      <c r="G28" s="3282"/>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1169</v>
      </c>
      <c r="B29" s="1477">
        <f>B28/(1+N28)</f>
        <v>275.24529281292263</v>
      </c>
      <c r="C29" s="1477">
        <f>C28/(1+O28)</f>
        <v>231.74747938962707</v>
      </c>
      <c r="D29" s="1477">
        <f t="shared" si="44"/>
        <v>231.74747938962707</v>
      </c>
      <c r="E29" s="1477">
        <f t="shared" si="55"/>
        <v>375.35938184826603</v>
      </c>
      <c r="F29" s="1477">
        <f t="shared" si="55"/>
        <v>216.78033510692495</v>
      </c>
      <c r="G29" s="3282"/>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5" thickBot="1">
      <c r="A30" s="1461" t="s">
        <v>1170</v>
      </c>
      <c r="B30" s="1477">
        <f>B29/(1+N29)</f>
        <v>275.19025476197027</v>
      </c>
      <c r="C30" s="1513">
        <v>232</v>
      </c>
      <c r="D30" s="1513">
        <f t="shared" si="44"/>
        <v>232</v>
      </c>
      <c r="E30" s="1477">
        <f t="shared" si="55"/>
        <v>375.65990977608692</v>
      </c>
      <c r="F30" s="1477">
        <f t="shared" si="55"/>
        <v>214.12518283971252</v>
      </c>
      <c r="G30" s="3283"/>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5" thickBot="1">
      <c r="A31" s="1461" t="s">
        <v>1171</v>
      </c>
      <c r="B31" s="1469">
        <v>275</v>
      </c>
      <c r="C31" s="1469">
        <v>232</v>
      </c>
      <c r="D31" s="1469">
        <f t="shared" si="44"/>
        <v>232</v>
      </c>
      <c r="E31" s="1469">
        <v>376</v>
      </c>
      <c r="F31" s="1470">
        <v>213</v>
      </c>
      <c r="G31" s="3281">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1172</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282">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1173</v>
      </c>
      <c r="B33" s="1477">
        <f t="shared" si="56"/>
        <v>275.19335084830601</v>
      </c>
      <c r="C33" s="1477">
        <f t="shared" si="56"/>
        <v>230.18088050139744</v>
      </c>
      <c r="D33" s="1477">
        <f t="shared" si="44"/>
        <v>230.18088050139744</v>
      </c>
      <c r="E33" s="1477">
        <f t="shared" si="57"/>
        <v>377.58482925212331</v>
      </c>
      <c r="F33" s="1477">
        <f t="shared" si="57"/>
        <v>210.90687997847917</v>
      </c>
      <c r="G33" s="3282">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5" thickBot="1">
      <c r="A34" s="1461" t="s">
        <v>1174</v>
      </c>
      <c r="B34" s="1477">
        <f t="shared" si="56"/>
        <v>276.29854502841971</v>
      </c>
      <c r="C34" s="1477">
        <f t="shared" si="56"/>
        <v>229.79023709833027</v>
      </c>
      <c r="D34" s="1477">
        <f t="shared" si="44"/>
        <v>229.79023709833027</v>
      </c>
      <c r="E34" s="1477">
        <f t="shared" si="57"/>
        <v>379.78759731655936</v>
      </c>
      <c r="F34" s="1477">
        <f t="shared" si="57"/>
        <v>211.32953905659235</v>
      </c>
      <c r="G34" s="3283">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5" thickBot="1">
      <c r="A35" s="1461" t="s">
        <v>1175</v>
      </c>
      <c r="B35" s="1469">
        <v>269</v>
      </c>
      <c r="C35" s="1469">
        <v>221</v>
      </c>
      <c r="D35" s="1469">
        <f t="shared" si="44"/>
        <v>221</v>
      </c>
      <c r="E35" s="1469">
        <v>373</v>
      </c>
      <c r="F35" s="1470">
        <v>196</v>
      </c>
      <c r="G35" s="3281">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1176</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282">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1177</v>
      </c>
      <c r="B37" s="1477">
        <f t="shared" si="58"/>
        <v>242.95398227588385</v>
      </c>
      <c r="C37" s="1477">
        <f t="shared" si="58"/>
        <v>199.59137053614126</v>
      </c>
      <c r="D37" s="1477">
        <f t="shared" si="44"/>
        <v>199.59137053614126</v>
      </c>
      <c r="E37" s="1477">
        <f t="shared" si="59"/>
        <v>335.92189522342125</v>
      </c>
      <c r="F37" s="1477">
        <f t="shared" si="59"/>
        <v>183.10139991109489</v>
      </c>
      <c r="G37" s="3282">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5" thickBot="1">
      <c r="A38" s="1461" t="s">
        <v>1178</v>
      </c>
      <c r="B38" s="1477">
        <f t="shared" si="58"/>
        <v>232.06990378821649</v>
      </c>
      <c r="C38" s="1477">
        <f t="shared" si="58"/>
        <v>192.74878854286936</v>
      </c>
      <c r="D38" s="1477">
        <f t="shared" si="44"/>
        <v>192.74878854286936</v>
      </c>
      <c r="E38" s="1477">
        <f t="shared" si="59"/>
        <v>319.71247284992984</v>
      </c>
      <c r="F38" s="1477">
        <f t="shared" si="59"/>
        <v>175.67053622862409</v>
      </c>
      <c r="G38" s="3283">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5" thickBot="1">
      <c r="A39" s="1461" t="s">
        <v>1179</v>
      </c>
      <c r="B39" s="1469">
        <v>220</v>
      </c>
      <c r="C39" s="1469">
        <v>187</v>
      </c>
      <c r="D39" s="1469">
        <f t="shared" si="44"/>
        <v>187</v>
      </c>
      <c r="E39" s="1469">
        <v>301</v>
      </c>
      <c r="F39" s="1470">
        <v>168</v>
      </c>
      <c r="G39" s="3281">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1180</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282">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1181</v>
      </c>
      <c r="B41" s="1477">
        <f t="shared" si="60"/>
        <v>210.630522469011</v>
      </c>
      <c r="C41" s="1477">
        <f t="shared" si="60"/>
        <v>181.69567812247232</v>
      </c>
      <c r="D41" s="1477">
        <f t="shared" si="44"/>
        <v>181.69567812247232</v>
      </c>
      <c r="E41" s="1477">
        <f t="shared" si="61"/>
        <v>286.13517466736738</v>
      </c>
      <c r="F41" s="1477">
        <f t="shared" si="61"/>
        <v>165.47535084591149</v>
      </c>
      <c r="G41" s="3282">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1182</v>
      </c>
      <c r="B42" s="1477">
        <f t="shared" si="60"/>
        <v>208.83454537875372</v>
      </c>
      <c r="C42" s="1477">
        <f t="shared" si="60"/>
        <v>183.77230517090351</v>
      </c>
      <c r="D42" s="1477">
        <f t="shared" si="44"/>
        <v>183.77230517090351</v>
      </c>
      <c r="E42" s="1477">
        <f t="shared" si="61"/>
        <v>281.10342338870947</v>
      </c>
      <c r="F42" s="1477">
        <f t="shared" si="61"/>
        <v>168.97309388942256</v>
      </c>
      <c r="G42" s="3283">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5" thickBot="1">
      <c r="A43" s="1461" t="s">
        <v>1183</v>
      </c>
      <c r="B43" s="1511">
        <v>214</v>
      </c>
      <c r="C43" s="1511">
        <v>188</v>
      </c>
      <c r="D43" s="1511">
        <f t="shared" si="44"/>
        <v>188</v>
      </c>
      <c r="E43" s="1511">
        <v>289</v>
      </c>
      <c r="F43" s="1512">
        <v>166</v>
      </c>
      <c r="G43" s="3281">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1184</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282">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1185</v>
      </c>
      <c r="B45" s="1477">
        <f t="shared" si="62"/>
        <v>206.31694671589116</v>
      </c>
      <c r="C45" s="1477">
        <f t="shared" si="62"/>
        <v>183.61041121036101</v>
      </c>
      <c r="D45" s="1477">
        <f t="shared" si="44"/>
        <v>183.61041121036101</v>
      </c>
      <c r="E45" s="1477">
        <f t="shared" si="63"/>
        <v>276.66850301795557</v>
      </c>
      <c r="F45" s="1477">
        <f t="shared" si="63"/>
        <v>165.1360938278614</v>
      </c>
      <c r="G45" s="3282">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5" thickBot="1">
      <c r="A46" s="1461" t="s">
        <v>1186</v>
      </c>
      <c r="B46" s="1514">
        <f t="shared" si="62"/>
        <v>196.62341248059772</v>
      </c>
      <c r="C46" s="1514">
        <f t="shared" si="62"/>
        <v>170.99125648199012</v>
      </c>
      <c r="D46" s="1514">
        <f t="shared" si="44"/>
        <v>170.99125648199012</v>
      </c>
      <c r="E46" s="1514">
        <f t="shared" si="63"/>
        <v>266.07857570490052</v>
      </c>
      <c r="F46" s="1514">
        <f t="shared" si="63"/>
        <v>154.53499328828505</v>
      </c>
      <c r="G46" s="3283">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5" thickBot="1">
      <c r="A47" s="1461" t="s">
        <v>1187</v>
      </c>
      <c r="B47" s="1469">
        <v>188</v>
      </c>
      <c r="C47" s="1469">
        <v>165</v>
      </c>
      <c r="D47" s="1469">
        <f t="shared" si="44"/>
        <v>165</v>
      </c>
      <c r="E47" s="1469">
        <v>254</v>
      </c>
      <c r="F47" s="1470">
        <v>148</v>
      </c>
      <c r="G47" s="3281">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1188</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282">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1189</v>
      </c>
      <c r="B49" s="1477">
        <f t="shared" si="66"/>
        <v>168.82017748715555</v>
      </c>
      <c r="C49" s="1477">
        <f t="shared" si="66"/>
        <v>148.06267029972753</v>
      </c>
      <c r="D49" s="1477">
        <f t="shared" si="44"/>
        <v>148.06267029972753</v>
      </c>
      <c r="E49" s="1477">
        <f t="shared" si="67"/>
        <v>216.46288379323747</v>
      </c>
      <c r="F49" s="1477">
        <f t="shared" si="67"/>
        <v>134.23529411764704</v>
      </c>
      <c r="G49" s="3282">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1190</v>
      </c>
      <c r="B50" s="1477">
        <f t="shared" si="66"/>
        <v>163.84913591779542</v>
      </c>
      <c r="C50" s="1477">
        <f t="shared" si="66"/>
        <v>145.0283378746594</v>
      </c>
      <c r="D50" s="1477">
        <f t="shared" si="44"/>
        <v>145.0283378746594</v>
      </c>
      <c r="E50" s="1477">
        <f t="shared" si="67"/>
        <v>204.95180722891567</v>
      </c>
      <c r="F50" s="1477">
        <f t="shared" si="67"/>
        <v>125.95920303605313</v>
      </c>
      <c r="G50" s="3283">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5" thickBot="1">
      <c r="A51" s="1461" t="s">
        <v>1191</v>
      </c>
      <c r="B51" s="1490">
        <v>159</v>
      </c>
      <c r="C51" s="1490">
        <v>141</v>
      </c>
      <c r="D51" s="1490">
        <f t="shared" si="44"/>
        <v>141</v>
      </c>
      <c r="E51" s="1490">
        <v>195</v>
      </c>
      <c r="F51" s="1491">
        <v>122</v>
      </c>
      <c r="G51" s="3281">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1192</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282">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1193</v>
      </c>
      <c r="B53" s="1477">
        <f t="shared" si="70"/>
        <v>146.57412060301507</v>
      </c>
      <c r="C53" s="1477">
        <f t="shared" si="70"/>
        <v>136.46831955922866</v>
      </c>
      <c r="D53" s="1477">
        <f t="shared" si="44"/>
        <v>136.46831955922866</v>
      </c>
      <c r="E53" s="1477">
        <f t="shared" si="71"/>
        <v>166.73864894795128</v>
      </c>
      <c r="F53" s="1477">
        <f t="shared" si="71"/>
        <v>115.05882352941177</v>
      </c>
      <c r="G53" s="3282">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1194</v>
      </c>
      <c r="B54" s="1477">
        <f t="shared" si="70"/>
        <v>144.04145728643215</v>
      </c>
      <c r="C54" s="1477">
        <f t="shared" si="70"/>
        <v>136.12396694214877</v>
      </c>
      <c r="D54" s="1477">
        <f t="shared" si="44"/>
        <v>136.12396694214877</v>
      </c>
      <c r="E54" s="1477">
        <f t="shared" si="71"/>
        <v>158.32225913621264</v>
      </c>
      <c r="F54" s="1477">
        <f t="shared" si="71"/>
        <v>114.04278074866311</v>
      </c>
      <c r="G54" s="3283">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5" thickBot="1">
      <c r="A55" s="1461" t="s">
        <v>1195</v>
      </c>
      <c r="B55" s="1490">
        <v>138</v>
      </c>
      <c r="C55" s="1490">
        <v>131</v>
      </c>
      <c r="D55" s="1490">
        <f t="shared" si="44"/>
        <v>131</v>
      </c>
      <c r="E55" s="1490">
        <v>155</v>
      </c>
      <c r="F55" s="1491">
        <v>114</v>
      </c>
      <c r="G55" s="3281">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1196</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282">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1197</v>
      </c>
      <c r="B57" s="1477">
        <f t="shared" si="74"/>
        <v>124.29032258064517</v>
      </c>
      <c r="C57" s="1477">
        <f t="shared" si="74"/>
        <v>123.8968609865471</v>
      </c>
      <c r="D57" s="1477">
        <f t="shared" si="44"/>
        <v>123.8968609865471</v>
      </c>
      <c r="E57" s="1477">
        <f t="shared" si="75"/>
        <v>138.00507614213197</v>
      </c>
      <c r="F57" s="1477">
        <f t="shared" si="75"/>
        <v>107.96106557377048</v>
      </c>
      <c r="G57" s="3282">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1198</v>
      </c>
      <c r="B58" s="1477">
        <f t="shared" si="74"/>
        <v>122.57204301075269</v>
      </c>
      <c r="C58" s="1477">
        <f t="shared" si="74"/>
        <v>123.4932735426009</v>
      </c>
      <c r="D58" s="1477">
        <f t="shared" si="44"/>
        <v>123.4932735426009</v>
      </c>
      <c r="E58" s="1477">
        <f t="shared" si="75"/>
        <v>129.82233502538071</v>
      </c>
      <c r="F58" s="1477">
        <f t="shared" si="75"/>
        <v>107.39446721311475</v>
      </c>
      <c r="G58" s="3283">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5" thickBot="1">
      <c r="A59" s="1461" t="s">
        <v>1199</v>
      </c>
      <c r="B59" s="1511">
        <v>121</v>
      </c>
      <c r="C59" s="1511">
        <v>122</v>
      </c>
      <c r="D59" s="1511">
        <f t="shared" si="44"/>
        <v>122</v>
      </c>
      <c r="E59" s="1511">
        <v>124</v>
      </c>
      <c r="F59" s="1512">
        <v>107</v>
      </c>
      <c r="G59" s="3281">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1200</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282">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1201</v>
      </c>
      <c r="B61" s="1477">
        <f t="shared" si="78"/>
        <v>116.99099099099099</v>
      </c>
      <c r="C61" s="1477">
        <f t="shared" si="78"/>
        <v>118.84848484848486</v>
      </c>
      <c r="D61" s="1477">
        <f t="shared" si="44"/>
        <v>118.84848484848486</v>
      </c>
      <c r="E61" s="1477">
        <f t="shared" si="79"/>
        <v>117.60960960960961</v>
      </c>
      <c r="F61" s="1477">
        <f t="shared" si="79"/>
        <v>104</v>
      </c>
      <c r="G61" s="3282">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5" thickBot="1">
      <c r="A62" s="1461" t="s">
        <v>1202</v>
      </c>
      <c r="B62" s="1514">
        <f t="shared" si="78"/>
        <v>112.48648648648648</v>
      </c>
      <c r="C62" s="1514">
        <f t="shared" si="78"/>
        <v>115.21212121212122</v>
      </c>
      <c r="D62" s="1514">
        <f t="shared" si="44"/>
        <v>115.21212121212122</v>
      </c>
      <c r="E62" s="1514">
        <f t="shared" si="79"/>
        <v>110.4024024024024</v>
      </c>
      <c r="F62" s="1514">
        <f t="shared" si="79"/>
        <v>104</v>
      </c>
      <c r="G62" s="3283">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5" thickBot="1">
      <c r="A63" s="1461" t="s">
        <v>1203</v>
      </c>
      <c r="B63" s="1532">
        <v>111</v>
      </c>
      <c r="C63" s="1532">
        <v>114</v>
      </c>
      <c r="D63" s="1532">
        <f t="shared" si="44"/>
        <v>114</v>
      </c>
      <c r="E63" s="1532">
        <v>108</v>
      </c>
      <c r="F63" s="1533">
        <v>104</v>
      </c>
      <c r="G63" s="3281">
        <v>2003</v>
      </c>
      <c r="H63" s="1522">
        <v>4</v>
      </c>
      <c r="I63" s="1534"/>
      <c r="J63" s="1534"/>
      <c r="K63" s="1534"/>
      <c r="L63" s="1534"/>
      <c r="N63" s="1535"/>
      <c r="O63" s="1534"/>
      <c r="P63" s="1534"/>
      <c r="Q63" s="1534"/>
      <c r="S63" s="1535"/>
      <c r="T63" s="1534"/>
      <c r="U63" s="1534"/>
      <c r="V63" s="1534"/>
      <c r="X63" s="1526"/>
      <c r="Y63" s="1526"/>
      <c r="Z63" s="1526"/>
    </row>
    <row r="64" spans="1:26">
      <c r="A64" s="1461" t="s">
        <v>1204</v>
      </c>
      <c r="B64" s="1536">
        <f t="shared" ref="B64:C66" si="80">B65+(B$63-B$67)/4</f>
        <v>109.75</v>
      </c>
      <c r="C64" s="1536">
        <f t="shared" si="80"/>
        <v>112.25</v>
      </c>
      <c r="D64" s="1536">
        <f t="shared" si="44"/>
        <v>112.25</v>
      </c>
      <c r="E64" s="1536">
        <f t="shared" ref="E64:F66" si="81">E65+(E$63-E$67)/4</f>
        <v>107.25</v>
      </c>
      <c r="F64" s="1536">
        <f t="shared" si="81"/>
        <v>103.5</v>
      </c>
      <c r="G64" s="3282">
        <v>2003</v>
      </c>
      <c r="H64" s="1487">
        <v>3</v>
      </c>
      <c r="I64" s="1534"/>
      <c r="J64" s="1534"/>
      <c r="K64" s="1534"/>
      <c r="L64" s="1534"/>
      <c r="X64" s="1526"/>
      <c r="Y64" s="1526"/>
      <c r="Z64" s="1526"/>
    </row>
    <row r="65" spans="1:26">
      <c r="A65" s="1461" t="s">
        <v>1205</v>
      </c>
      <c r="B65" s="1536">
        <f t="shared" si="80"/>
        <v>108.5</v>
      </c>
      <c r="C65" s="1536">
        <f t="shared" si="80"/>
        <v>110.5</v>
      </c>
      <c r="D65" s="1536">
        <f t="shared" si="44"/>
        <v>110.5</v>
      </c>
      <c r="E65" s="1536">
        <f t="shared" si="81"/>
        <v>106.5</v>
      </c>
      <c r="F65" s="1536">
        <f t="shared" si="81"/>
        <v>103</v>
      </c>
      <c r="G65" s="3282">
        <v>2003</v>
      </c>
      <c r="H65" s="1465">
        <v>2</v>
      </c>
      <c r="I65" s="1534"/>
      <c r="J65" s="1534"/>
      <c r="K65" s="1534"/>
      <c r="L65" s="1534"/>
      <c r="X65" s="1526"/>
      <c r="Y65" s="1526"/>
      <c r="Z65" s="1526"/>
    </row>
    <row r="66" spans="1:26" ht="13.5" thickBot="1">
      <c r="A66" s="1461" t="s">
        <v>1206</v>
      </c>
      <c r="B66" s="1536">
        <f t="shared" si="80"/>
        <v>107.25</v>
      </c>
      <c r="C66" s="1536">
        <f t="shared" si="80"/>
        <v>108.75</v>
      </c>
      <c r="D66" s="1536">
        <f t="shared" si="44"/>
        <v>108.75</v>
      </c>
      <c r="E66" s="1536">
        <f t="shared" si="81"/>
        <v>105.75</v>
      </c>
      <c r="F66" s="1536">
        <f t="shared" si="81"/>
        <v>102.5</v>
      </c>
      <c r="G66" s="3283">
        <v>2003</v>
      </c>
      <c r="H66" s="1537">
        <v>1</v>
      </c>
      <c r="I66" s="1534"/>
      <c r="J66" s="1534"/>
      <c r="K66" s="1534"/>
      <c r="L66" s="1534"/>
      <c r="S66" s="1472"/>
      <c r="T66" s="1473"/>
      <c r="U66" s="1473"/>
      <c r="X66" s="1526"/>
      <c r="Y66" s="1526"/>
      <c r="Z66" s="1526"/>
    </row>
    <row r="67" spans="1:26" ht="13.5" thickBot="1">
      <c r="A67" s="1461" t="s">
        <v>1207</v>
      </c>
      <c r="B67" s="1538">
        <v>106</v>
      </c>
      <c r="C67" s="1538">
        <v>107</v>
      </c>
      <c r="D67" s="1538">
        <f t="shared" si="44"/>
        <v>107</v>
      </c>
      <c r="E67" s="1538">
        <v>105</v>
      </c>
      <c r="F67" s="1539">
        <v>102</v>
      </c>
      <c r="G67" s="3281">
        <v>2002</v>
      </c>
      <c r="H67" s="1482">
        <v>4</v>
      </c>
      <c r="I67" s="1534"/>
      <c r="J67" s="1534"/>
      <c r="K67" s="1534"/>
      <c r="L67" s="1534"/>
      <c r="N67" s="1535"/>
      <c r="O67" s="1534"/>
      <c r="P67" s="1534"/>
      <c r="Q67" s="1534"/>
      <c r="S67" s="1535"/>
      <c r="T67" s="1534"/>
      <c r="U67" s="1534"/>
      <c r="V67" s="1534"/>
      <c r="X67" s="1526"/>
      <c r="Y67" s="1526"/>
      <c r="Z67" s="1526"/>
    </row>
    <row r="68" spans="1:26">
      <c r="A68" s="1461" t="s">
        <v>1208</v>
      </c>
      <c r="B68" s="1536">
        <f t="shared" ref="B68:C70" si="82">B69+(B$67-B$71)/4</f>
        <v>105</v>
      </c>
      <c r="C68" s="1536">
        <f t="shared" si="82"/>
        <v>106</v>
      </c>
      <c r="D68" s="1536">
        <f t="shared" si="44"/>
        <v>106</v>
      </c>
      <c r="E68" s="1536">
        <f t="shared" ref="E68:F70" si="83">E69+(E$67-E$71)/4</f>
        <v>104.5</v>
      </c>
      <c r="F68" s="1536">
        <f t="shared" si="83"/>
        <v>101.5</v>
      </c>
      <c r="G68" s="3282">
        <v>2002</v>
      </c>
      <c r="H68" s="1487">
        <v>3</v>
      </c>
      <c r="I68" s="1534"/>
      <c r="J68" s="1534"/>
      <c r="K68" s="1534"/>
      <c r="L68" s="1534"/>
      <c r="X68" s="1526"/>
      <c r="Y68" s="1526"/>
      <c r="Z68" s="1526"/>
    </row>
    <row r="69" spans="1:26">
      <c r="A69" s="1461" t="s">
        <v>1209</v>
      </c>
      <c r="B69" s="1536">
        <f t="shared" si="82"/>
        <v>104</v>
      </c>
      <c r="C69" s="1536">
        <f t="shared" si="82"/>
        <v>105</v>
      </c>
      <c r="D69" s="1536">
        <f t="shared" si="44"/>
        <v>105</v>
      </c>
      <c r="E69" s="1536">
        <f t="shared" si="83"/>
        <v>104</v>
      </c>
      <c r="F69" s="1536">
        <f t="shared" si="83"/>
        <v>101</v>
      </c>
      <c r="G69" s="3282">
        <v>2002</v>
      </c>
      <c r="H69" s="1465">
        <v>2</v>
      </c>
      <c r="I69" s="1534"/>
      <c r="J69" s="1534"/>
      <c r="K69" s="1534"/>
      <c r="L69" s="1534"/>
      <c r="X69" s="1526"/>
      <c r="Y69" s="1526"/>
      <c r="Z69" s="1526"/>
    </row>
    <row r="70" spans="1:26" s="1498" customFormat="1" ht="13.5" thickBot="1">
      <c r="A70" s="1494" t="s">
        <v>1210</v>
      </c>
      <c r="B70" s="1540">
        <f t="shared" si="82"/>
        <v>103</v>
      </c>
      <c r="C70" s="1540">
        <f t="shared" si="82"/>
        <v>104</v>
      </c>
      <c r="D70" s="1540">
        <f t="shared" si="44"/>
        <v>104</v>
      </c>
      <c r="E70" s="1540">
        <f t="shared" si="83"/>
        <v>103.5</v>
      </c>
      <c r="F70" s="1540">
        <f t="shared" si="83"/>
        <v>100.5</v>
      </c>
      <c r="G70" s="3283">
        <v>2002</v>
      </c>
      <c r="H70" s="1541">
        <v>1</v>
      </c>
      <c r="I70" s="1542"/>
      <c r="J70" s="1542"/>
      <c r="K70" s="1542"/>
      <c r="L70" s="1542"/>
      <c r="N70" s="1543"/>
      <c r="S70" s="1543"/>
      <c r="X70" s="1544"/>
      <c r="Y70" s="1544"/>
      <c r="Z70" s="1544"/>
    </row>
    <row r="71" spans="1:26" ht="13.5"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1211</v>
      </c>
      <c r="G73" s="1550"/>
      <c r="N73" s="1550"/>
      <c r="S73" s="1550"/>
    </row>
    <row r="74" spans="1:26" s="1549" customFormat="1">
      <c r="A74" s="1549" t="s">
        <v>1212</v>
      </c>
      <c r="G74" s="1550"/>
      <c r="N74" s="1550"/>
      <c r="S74" s="1550"/>
    </row>
    <row r="75" spans="1:26" s="1549" customFormat="1">
      <c r="A75" s="1549" t="s">
        <v>1213</v>
      </c>
      <c r="G75" s="1550"/>
      <c r="I75" s="1551"/>
      <c r="J75" s="1551"/>
      <c r="K75" s="1551"/>
      <c r="L75" s="1551"/>
      <c r="N75" s="1552"/>
      <c r="O75" s="1551"/>
      <c r="P75" s="1551"/>
      <c r="Q75" s="1551"/>
      <c r="S75" s="1552"/>
      <c r="T75" s="1551"/>
      <c r="U75" s="1551"/>
      <c r="V75" s="1551"/>
    </row>
    <row r="76" spans="1:26" s="1549" customFormat="1">
      <c r="A76" s="1549" t="s">
        <v>1214</v>
      </c>
      <c r="G76" s="1550"/>
      <c r="N76" s="1550"/>
      <c r="S76" s="1550"/>
    </row>
    <row r="83" spans="7:22" ht="13.5" thickBot="1"/>
    <row r="84" spans="7:22">
      <c r="G84" s="1471"/>
      <c r="S84" s="1553" t="s">
        <v>1215</v>
      </c>
      <c r="T84" s="1554" t="s">
        <v>1216</v>
      </c>
      <c r="U84" s="1554" t="s">
        <v>1217</v>
      </c>
      <c r="V84" s="1554" t="s">
        <v>1218</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5"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A13" zoomScale="90" zoomScaleNormal="90" workbookViewId="0">
      <selection activeCell="C22" sqref="C22:Q22"/>
    </sheetView>
  </sheetViews>
  <sheetFormatPr defaultRowHeight="12.75"/>
  <cols>
    <col min="1" max="1" width="14.125" style="139" customWidth="1"/>
    <col min="2" max="2" width="9.25" style="27" customWidth="1"/>
    <col min="3" max="3" width="8.625" style="27" customWidth="1"/>
    <col min="4" max="4" width="11.5" style="27" customWidth="1"/>
    <col min="5" max="5" width="10.125" style="27" customWidth="1"/>
    <col min="6" max="6" width="12.375" style="27" customWidth="1"/>
    <col min="7" max="7" width="8.7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4" t="s">
        <v>3005</v>
      </c>
      <c r="C1" s="3290" t="s">
        <v>3006</v>
      </c>
      <c r="D1" s="3291"/>
      <c r="E1" s="3291"/>
      <c r="F1" s="3291"/>
      <c r="G1" s="3291"/>
      <c r="H1" s="3291"/>
      <c r="I1" s="3291"/>
      <c r="J1" s="3291"/>
      <c r="K1" s="3291"/>
      <c r="L1" s="3291"/>
      <c r="M1" s="3291"/>
      <c r="N1" s="3291"/>
      <c r="O1" s="3291"/>
      <c r="P1" s="3291"/>
      <c r="Q1" s="3291"/>
      <c r="R1" s="3291"/>
      <c r="S1" s="3292"/>
      <c r="T1" s="1204" t="s">
        <v>3007</v>
      </c>
    </row>
    <row r="2" spans="1:45" s="706" customFormat="1" ht="27.75" customHeight="1" thickBot="1">
      <c r="A2" s="1205"/>
      <c r="B2" s="702" t="s">
        <v>3008</v>
      </c>
      <c r="C2" s="703" t="str">
        <f t="shared" ref="C2:L2" si="0">C3&amp;"(含)"&amp;"-"&amp;D3</f>
        <v>0(含)-100</v>
      </c>
      <c r="D2" s="704" t="str">
        <f t="shared" si="0"/>
        <v>100(含)-300</v>
      </c>
      <c r="E2" s="704" t="str">
        <f t="shared" si="0"/>
        <v>300(含)-500</v>
      </c>
      <c r="F2" s="704" t="str">
        <f t="shared" si="0"/>
        <v>500(含)-1000</v>
      </c>
      <c r="G2" s="704" t="str">
        <f t="shared" si="0"/>
        <v>1000(含)-5000</v>
      </c>
      <c r="H2" s="704" t="str">
        <f t="shared" si="0"/>
        <v>5000(含)-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5" thickTop="1">
      <c r="A3" s="1207"/>
      <c r="B3" s="707"/>
      <c r="C3" s="2956">
        <v>0</v>
      </c>
      <c r="D3" s="626">
        <v>100</v>
      </c>
      <c r="E3" s="626">
        <v>300</v>
      </c>
      <c r="F3" s="626">
        <v>500</v>
      </c>
      <c r="G3" s="1704">
        <v>1000</v>
      </c>
      <c r="H3" s="1704">
        <v>5000</v>
      </c>
      <c r="I3" s="1704"/>
      <c r="J3" s="1704"/>
      <c r="K3" s="1704"/>
      <c r="L3" s="1705"/>
      <c r="M3" s="1706"/>
      <c r="N3" s="1706"/>
      <c r="O3" s="1704"/>
      <c r="P3" s="1704"/>
      <c r="Q3" s="1704"/>
      <c r="R3" s="1704"/>
      <c r="S3" s="1707"/>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8"/>
      <c r="B4" s="1209"/>
      <c r="C4" s="1210">
        <v>100</v>
      </c>
      <c r="D4" s="1211">
        <v>95</v>
      </c>
      <c r="E4" s="1211">
        <v>90</v>
      </c>
      <c r="F4" s="1708">
        <v>85</v>
      </c>
      <c r="G4" s="1708">
        <v>80</v>
      </c>
      <c r="H4" s="1708"/>
      <c r="I4" s="1708"/>
      <c r="J4" s="1708"/>
      <c r="K4" s="1708"/>
      <c r="L4" s="1708"/>
      <c r="M4" s="1709"/>
      <c r="N4" s="1709"/>
      <c r="O4" s="1708"/>
      <c r="P4" s="1708"/>
      <c r="Q4" s="1708"/>
      <c r="R4" s="1708"/>
      <c r="S4" s="1710"/>
      <c r="T4" s="1214"/>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5"/>
      <c r="B5" s="2958" t="s">
        <v>3207</v>
      </c>
      <c r="C5" s="2959" t="s">
        <v>3208</v>
      </c>
      <c r="D5" s="2960" t="s">
        <v>3209</v>
      </c>
      <c r="E5" s="2960" t="s">
        <v>3210</v>
      </c>
      <c r="F5" s="2961" t="s">
        <v>3211</v>
      </c>
      <c r="G5" s="1711"/>
      <c r="H5" s="1711"/>
      <c r="I5" s="1711"/>
      <c r="J5" s="1711"/>
      <c r="K5" s="1711"/>
      <c r="L5" s="1712"/>
      <c r="M5" s="1713"/>
      <c r="N5" s="1713"/>
      <c r="O5" s="1711"/>
      <c r="P5" s="1711"/>
      <c r="Q5" s="1711"/>
      <c r="R5" s="1711"/>
      <c r="S5" s="1714"/>
      <c r="T5" s="1219">
        <f>'比较法-商业'!K25</f>
        <v>5</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5"/>
      <c r="B6" s="1116"/>
      <c r="C6" s="1122">
        <v>100</v>
      </c>
      <c r="D6" s="1119">
        <f>C6-$T5</f>
        <v>95</v>
      </c>
      <c r="E6" s="1119">
        <f t="shared" ref="E6:S6" si="7">D6-$T5</f>
        <v>90</v>
      </c>
      <c r="F6" s="1715">
        <f t="shared" si="7"/>
        <v>85</v>
      </c>
      <c r="G6" s="1715">
        <f t="shared" si="7"/>
        <v>80</v>
      </c>
      <c r="H6" s="1715">
        <f t="shared" si="7"/>
        <v>75</v>
      </c>
      <c r="I6" s="1715">
        <f t="shared" si="7"/>
        <v>70</v>
      </c>
      <c r="J6" s="1715">
        <f t="shared" si="7"/>
        <v>65</v>
      </c>
      <c r="K6" s="1715">
        <f t="shared" si="7"/>
        <v>60</v>
      </c>
      <c r="L6" s="1715">
        <f t="shared" si="7"/>
        <v>55</v>
      </c>
      <c r="M6" s="1715">
        <f t="shared" si="7"/>
        <v>50</v>
      </c>
      <c r="N6" s="1715">
        <f t="shared" si="7"/>
        <v>45</v>
      </c>
      <c r="O6" s="1715">
        <f t="shared" si="7"/>
        <v>40</v>
      </c>
      <c r="P6" s="1715">
        <f t="shared" si="7"/>
        <v>35</v>
      </c>
      <c r="Q6" s="1715">
        <f t="shared" si="7"/>
        <v>30</v>
      </c>
      <c r="R6" s="1715">
        <f t="shared" si="7"/>
        <v>25</v>
      </c>
      <c r="S6" s="1715">
        <f t="shared" si="7"/>
        <v>20</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5"/>
      <c r="B7" s="2963" t="s">
        <v>3248</v>
      </c>
      <c r="C7" s="2964" t="s">
        <v>3249</v>
      </c>
      <c r="D7" s="2965" t="s">
        <v>3250</v>
      </c>
      <c r="E7" s="1115"/>
      <c r="F7" s="1716"/>
      <c r="G7" s="1716"/>
      <c r="H7" s="1716"/>
      <c r="I7" s="1716"/>
      <c r="J7" s="1716"/>
      <c r="K7" s="1716"/>
      <c r="L7" s="1716"/>
      <c r="M7" s="1717"/>
      <c r="N7" s="1718"/>
      <c r="O7" s="1719"/>
      <c r="P7" s="1720"/>
      <c r="Q7" s="1721"/>
      <c r="R7" s="1722"/>
      <c r="S7" s="1723"/>
      <c r="T7" s="710">
        <f>'比较法-商业'!K39</f>
        <v>5</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5"/>
      <c r="B8" s="1116"/>
      <c r="C8" s="1122">
        <v>100</v>
      </c>
      <c r="D8" s="1119">
        <f>C8-$T7</f>
        <v>95</v>
      </c>
      <c r="E8" s="1119">
        <f t="shared" ref="E8:S8" si="8">D8-$T7</f>
        <v>90</v>
      </c>
      <c r="F8" s="1715">
        <f t="shared" si="8"/>
        <v>85</v>
      </c>
      <c r="G8" s="1715">
        <f t="shared" si="8"/>
        <v>80</v>
      </c>
      <c r="H8" s="1715">
        <f t="shared" si="8"/>
        <v>75</v>
      </c>
      <c r="I8" s="1715">
        <f t="shared" si="8"/>
        <v>70</v>
      </c>
      <c r="J8" s="1715">
        <f t="shared" si="8"/>
        <v>65</v>
      </c>
      <c r="K8" s="1715">
        <f t="shared" si="8"/>
        <v>60</v>
      </c>
      <c r="L8" s="1715">
        <f t="shared" si="8"/>
        <v>55</v>
      </c>
      <c r="M8" s="1715">
        <f t="shared" si="8"/>
        <v>50</v>
      </c>
      <c r="N8" s="1715">
        <f t="shared" si="8"/>
        <v>45</v>
      </c>
      <c r="O8" s="1715">
        <f t="shared" si="8"/>
        <v>40</v>
      </c>
      <c r="P8" s="1715">
        <f t="shared" si="8"/>
        <v>35</v>
      </c>
      <c r="Q8" s="1715">
        <f t="shared" si="8"/>
        <v>30</v>
      </c>
      <c r="R8" s="1715">
        <f t="shared" si="8"/>
        <v>25</v>
      </c>
      <c r="S8" s="1715">
        <f t="shared" si="8"/>
        <v>20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15" t="s">
        <v>3013</v>
      </c>
      <c r="B17" s="2916" t="s">
        <v>3014</v>
      </c>
      <c r="C17" s="1231" t="s">
        <v>3204</v>
      </c>
      <c r="D17" s="1232" t="s">
        <v>3205</v>
      </c>
      <c r="E17" s="1232" t="s">
        <v>3206</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3"/>
      <c r="AS17" s="793"/>
    </row>
    <row r="18" spans="1:45" s="706" customFormat="1" ht="13.5" thickBot="1">
      <c r="A18" s="1241"/>
      <c r="B18" s="1242"/>
      <c r="C18" s="1243">
        <v>100</v>
      </c>
      <c r="D18" s="1244">
        <f>'比较法-商业'!D93</f>
        <v>80</v>
      </c>
      <c r="E18" s="1244">
        <f>'比较法-商业'!E93</f>
        <v>60</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3"/>
      <c r="AS18" s="793"/>
    </row>
    <row r="19" spans="1:45">
      <c r="A19" s="138"/>
      <c r="B19" s="168"/>
      <c r="C19" s="168"/>
      <c r="D19" s="2917" t="s">
        <v>3015</v>
      </c>
      <c r="E19" s="1792"/>
      <c r="F19" s="1792"/>
      <c r="G19" s="1792"/>
      <c r="H19" s="1280"/>
      <c r="I19" s="168"/>
      <c r="J19" s="168"/>
      <c r="K19" s="168"/>
      <c r="L19" s="168"/>
      <c r="M19" s="168"/>
      <c r="N19" s="168"/>
      <c r="O19" s="168"/>
      <c r="P19" s="168"/>
      <c r="Q19" s="168"/>
      <c r="R19" s="785"/>
      <c r="S19" s="138"/>
    </row>
    <row r="20" spans="1:45" ht="16.5" thickBot="1">
      <c r="A20" s="712" t="s">
        <v>3016</v>
      </c>
      <c r="B20" s="338">
        <f ca="1">IF(D20="——",S22,S22-F20)</f>
        <v>14867</v>
      </c>
      <c r="C20" s="168"/>
      <c r="D20" s="2918" t="s">
        <v>70</v>
      </c>
      <c r="E20" s="1793"/>
      <c r="F20" s="1204" t="e">
        <f ca="1">SUMIF(INDIRECT("'"&amp;H20&amp;"'"&amp;"!A:A"),"承租人权益价值",INDIRECT("'"&amp;H20&amp;"'"&amp;"!c:c"))</f>
        <v>#REF!</v>
      </c>
      <c r="G20" s="1204" t="s">
        <v>3017</v>
      </c>
      <c r="H20" s="2919"/>
      <c r="I20" s="168"/>
      <c r="J20" s="168"/>
      <c r="K20" s="168"/>
      <c r="L20" s="168"/>
      <c r="M20" s="168"/>
      <c r="N20" s="168"/>
      <c r="O20" s="168"/>
      <c r="P20" s="168"/>
      <c r="Q20" s="168"/>
      <c r="R20" s="785"/>
      <c r="S20" s="138"/>
    </row>
    <row r="21" spans="1:45" ht="15.75">
      <c r="A21" s="712" t="s">
        <v>3018</v>
      </c>
      <c r="B21" s="338">
        <f ca="1">R22</f>
        <v>17322</v>
      </c>
      <c r="C21" s="168"/>
      <c r="D21" s="168"/>
      <c r="E21" s="168"/>
      <c r="F21" s="168"/>
      <c r="G21" s="168"/>
      <c r="H21" s="168"/>
      <c r="I21" s="168"/>
      <c r="J21" s="168"/>
      <c r="K21" s="168"/>
      <c r="L21" s="168"/>
      <c r="M21" s="168"/>
      <c r="N21" s="168"/>
      <c r="O21" s="168"/>
      <c r="P21" s="168"/>
      <c r="Q21" s="168"/>
      <c r="R21" s="785"/>
      <c r="S21" s="138"/>
    </row>
    <row r="22" spans="1:45">
      <c r="A22" s="361" t="s">
        <v>3019</v>
      </c>
      <c r="B22" s="24">
        <f>SUM(B24:B10000)</f>
        <v>8582.619999999999</v>
      </c>
      <c r="C22" s="3069" t="s">
        <v>33</v>
      </c>
      <c r="D22" s="3070"/>
      <c r="E22" s="3070"/>
      <c r="F22" s="3070"/>
      <c r="G22" s="3070"/>
      <c r="H22" s="3070"/>
      <c r="I22" s="3070"/>
      <c r="J22" s="3070"/>
      <c r="K22" s="3070"/>
      <c r="L22" s="3070"/>
      <c r="M22" s="3070"/>
      <c r="N22" s="3070"/>
      <c r="O22" s="3070"/>
      <c r="P22" s="3070"/>
      <c r="Q22" s="3289"/>
      <c r="R22" s="713">
        <f ca="1">ROUND(S22*10000/B22,0)</f>
        <v>17322</v>
      </c>
      <c r="S22" s="24">
        <f ca="1">SUM(S24:S10000)</f>
        <v>14867</v>
      </c>
    </row>
    <row r="23" spans="1:45" s="12" customFormat="1" ht="24">
      <c r="A23" s="11" t="s">
        <v>3020</v>
      </c>
      <c r="B23" s="11" t="s">
        <v>3021</v>
      </c>
      <c r="C23" s="11" t="s">
        <v>3022</v>
      </c>
      <c r="D23" s="11" t="str">
        <f>B5</f>
        <v>临街状况</v>
      </c>
      <c r="E23" s="11" t="s">
        <v>3022</v>
      </c>
      <c r="F23" s="11" t="str">
        <f>B7</f>
        <v>层高</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4" t="s">
        <v>3023</v>
      </c>
      <c r="S23" s="11" t="s">
        <v>3024</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62" t="str">
        <f>Sheet1!C2</f>
        <v>2-4栋1层2号</v>
      </c>
      <c r="B24" s="715">
        <f>Sheet1!I2</f>
        <v>54.53</v>
      </c>
      <c r="C24" s="716">
        <v>1</v>
      </c>
      <c r="D24" s="717" t="s">
        <v>3161</v>
      </c>
      <c r="E24" s="716">
        <v>1</v>
      </c>
      <c r="F24" s="717" t="s">
        <v>3191</v>
      </c>
      <c r="G24" s="716">
        <v>1</v>
      </c>
      <c r="H24" s="717"/>
      <c r="I24" s="716">
        <v>1</v>
      </c>
      <c r="J24" s="717"/>
      <c r="K24" s="716">
        <v>1</v>
      </c>
      <c r="L24" s="717"/>
      <c r="M24" s="716">
        <v>1</v>
      </c>
      <c r="N24" s="717"/>
      <c r="O24" s="716">
        <v>1</v>
      </c>
      <c r="P24" s="717" t="s">
        <v>3199</v>
      </c>
      <c r="Q24" s="716">
        <v>1</v>
      </c>
      <c r="R24" s="718">
        <f ca="1">结果表!G20</f>
        <v>24380</v>
      </c>
      <c r="S24" s="716">
        <f t="shared" ref="S24:S54" ca="1" si="11">ROUND(R24*B24/10000,0)</f>
        <v>133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62" t="str">
        <f>Sheet1!C3</f>
        <v>2-4栋1-2层1号</v>
      </c>
      <c r="B25" s="715">
        <f>Sheet1!I3</f>
        <v>4521.53</v>
      </c>
      <c r="C25" s="24">
        <f>IF(B25="",1,(LOOKUP(B25,$3:$3,$4:$4)-LOOKUP($B$24,$3:$3,$4:$4)+100)/100)</f>
        <v>0.8</v>
      </c>
      <c r="D25" s="717" t="s">
        <v>3196</v>
      </c>
      <c r="E25" s="24">
        <f>(SUMIF($5:$5,D25,$6:$6)-SUMIF($5:$5,$D$24,$6:$6)+100)/100</f>
        <v>1.05</v>
      </c>
      <c r="F25" s="717" t="s">
        <v>3193</v>
      </c>
      <c r="G25" s="24">
        <f>(SUMIF($7:$7,F25,$8:$8)-SUMIF($7:$7,$F$24,$8:$8)+100)/100</f>
        <v>0.95</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3198</v>
      </c>
      <c r="Q25" s="24">
        <f>(SUMIF($17:$17,P25,$18:$18)-SUMIF($17:$17,$P$24,$18:$18)+100)/100</f>
        <v>0.8</v>
      </c>
      <c r="R25" s="713">
        <f ca="1">IF(B25="",0,ROUND($R$24*C25*E25*G25*I25*K25*M25*O25*Q25,0))</f>
        <v>15564</v>
      </c>
      <c r="S25" s="361">
        <f t="shared" ca="1" si="11"/>
        <v>7037</v>
      </c>
    </row>
    <row r="26" spans="1:45">
      <c r="A26" s="2962" t="str">
        <f>Sheet1!C4</f>
        <v>2-4栋1-2层3号</v>
      </c>
      <c r="B26" s="715">
        <f>Sheet1!I4</f>
        <v>200.46</v>
      </c>
      <c r="C26" s="24">
        <f t="shared" ref="C26:C89" si="12">IF(B26="",1,(LOOKUP(B26,$3:$3,$4:$4)-LOOKUP($B$24,$3:$3,$4:$4)+100)/100)</f>
        <v>0.95</v>
      </c>
      <c r="D26" s="717" t="s">
        <v>3196</v>
      </c>
      <c r="E26" s="24">
        <f t="shared" ref="E26:E89" si="13">(SUMIF($5:$5,D26,$6:$6)-SUMIF($5:$5,$D$24,$6:$6)+100)/100</f>
        <v>1.05</v>
      </c>
      <c r="F26" s="717" t="s">
        <v>3193</v>
      </c>
      <c r="G26" s="24">
        <f t="shared" ref="G26:G89" si="14">(SUMIF($7:$7,F26,$8:$8)-SUMIF($7:$7,$F$24,$8:$8)+100)/100</f>
        <v>0.95</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3198</v>
      </c>
      <c r="Q26" s="24">
        <f t="shared" ref="Q26:Q89" si="19">(SUMIF($17:$17,P26,$18:$18)-SUMIF($17:$17,$P$24,$18:$18)+100)/100</f>
        <v>0.8</v>
      </c>
      <c r="R26" s="713">
        <f t="shared" ref="R26:R89" ca="1" si="20">IF(B26="",0,ROUND($R$24*C26*E26*G26*I26*K26*M26*O26*Q26,0))</f>
        <v>18482</v>
      </c>
      <c r="S26" s="361">
        <f t="shared" ca="1" si="11"/>
        <v>370</v>
      </c>
    </row>
    <row r="27" spans="1:45">
      <c r="A27" s="2962" t="str">
        <f>Sheet1!C5</f>
        <v>2-4栋1-2层4号</v>
      </c>
      <c r="B27" s="715">
        <f>Sheet1!I5</f>
        <v>155.19999999999999</v>
      </c>
      <c r="C27" s="24">
        <f t="shared" si="12"/>
        <v>0.95</v>
      </c>
      <c r="D27" s="717" t="s">
        <v>3196</v>
      </c>
      <c r="E27" s="24">
        <f t="shared" si="13"/>
        <v>1.05</v>
      </c>
      <c r="F27" s="717" t="s">
        <v>3193</v>
      </c>
      <c r="G27" s="24">
        <f t="shared" si="14"/>
        <v>0.95</v>
      </c>
      <c r="H27" s="717"/>
      <c r="I27" s="24">
        <f t="shared" si="15"/>
        <v>1</v>
      </c>
      <c r="J27" s="717"/>
      <c r="K27" s="24">
        <f t="shared" si="16"/>
        <v>1</v>
      </c>
      <c r="L27" s="717"/>
      <c r="M27" s="24">
        <f t="shared" si="17"/>
        <v>1</v>
      </c>
      <c r="N27" s="717"/>
      <c r="O27" s="24">
        <f t="shared" si="18"/>
        <v>1</v>
      </c>
      <c r="P27" s="717" t="s">
        <v>3198</v>
      </c>
      <c r="Q27" s="24">
        <f t="shared" si="19"/>
        <v>0.8</v>
      </c>
      <c r="R27" s="713">
        <f t="shared" ca="1" si="20"/>
        <v>18482</v>
      </c>
      <c r="S27" s="361">
        <f t="shared" ca="1" si="11"/>
        <v>287</v>
      </c>
    </row>
    <row r="28" spans="1:45">
      <c r="A28" s="2962" t="str">
        <f>Sheet1!C6</f>
        <v>2-3栋1层3号</v>
      </c>
      <c r="B28" s="715">
        <f>Sheet1!I6</f>
        <v>63.4</v>
      </c>
      <c r="C28" s="24">
        <f t="shared" si="12"/>
        <v>1</v>
      </c>
      <c r="D28" s="717" t="s">
        <v>3161</v>
      </c>
      <c r="E28" s="24">
        <f t="shared" si="13"/>
        <v>1</v>
      </c>
      <c r="F28" s="717" t="s">
        <v>3191</v>
      </c>
      <c r="G28" s="24">
        <f t="shared" si="14"/>
        <v>1</v>
      </c>
      <c r="H28" s="717"/>
      <c r="I28" s="24">
        <f t="shared" si="15"/>
        <v>1</v>
      </c>
      <c r="J28" s="717"/>
      <c r="K28" s="24">
        <f t="shared" si="16"/>
        <v>1</v>
      </c>
      <c r="L28" s="717"/>
      <c r="M28" s="24">
        <f t="shared" si="17"/>
        <v>1</v>
      </c>
      <c r="N28" s="717"/>
      <c r="O28" s="24">
        <f t="shared" si="18"/>
        <v>1</v>
      </c>
      <c r="P28" s="717" t="s">
        <v>3199</v>
      </c>
      <c r="Q28" s="24">
        <f t="shared" si="19"/>
        <v>1</v>
      </c>
      <c r="R28" s="713">
        <f t="shared" ca="1" si="20"/>
        <v>24380</v>
      </c>
      <c r="S28" s="361">
        <f t="shared" ca="1" si="11"/>
        <v>155</v>
      </c>
    </row>
    <row r="29" spans="1:45">
      <c r="A29" s="2962" t="str">
        <f>Sheet1!C7</f>
        <v>2-3栋1层9号</v>
      </c>
      <c r="B29" s="715">
        <f>Sheet1!I7</f>
        <v>59.08</v>
      </c>
      <c r="C29" s="24">
        <f t="shared" si="12"/>
        <v>1</v>
      </c>
      <c r="D29" s="717" t="s">
        <v>3161</v>
      </c>
      <c r="E29" s="24">
        <f t="shared" si="13"/>
        <v>1</v>
      </c>
      <c r="F29" s="717" t="s">
        <v>3191</v>
      </c>
      <c r="G29" s="24">
        <f t="shared" si="14"/>
        <v>1</v>
      </c>
      <c r="H29" s="717"/>
      <c r="I29" s="24">
        <f t="shared" si="15"/>
        <v>1</v>
      </c>
      <c r="J29" s="717"/>
      <c r="K29" s="24">
        <f t="shared" si="16"/>
        <v>1</v>
      </c>
      <c r="L29" s="717"/>
      <c r="M29" s="24">
        <f t="shared" si="17"/>
        <v>1</v>
      </c>
      <c r="N29" s="717"/>
      <c r="O29" s="24">
        <f t="shared" si="18"/>
        <v>1</v>
      </c>
      <c r="P29" s="717" t="s">
        <v>3199</v>
      </c>
      <c r="Q29" s="24">
        <f t="shared" si="19"/>
        <v>1</v>
      </c>
      <c r="R29" s="713">
        <f t="shared" ca="1" si="20"/>
        <v>24380</v>
      </c>
      <c r="S29" s="361">
        <f t="shared" ca="1" si="11"/>
        <v>144</v>
      </c>
    </row>
    <row r="30" spans="1:45">
      <c r="A30" s="2962" t="str">
        <f>Sheet1!C8</f>
        <v>2-3栋1层11号</v>
      </c>
      <c r="B30" s="715">
        <f>Sheet1!I8</f>
        <v>59.08</v>
      </c>
      <c r="C30" s="24">
        <f t="shared" si="12"/>
        <v>1</v>
      </c>
      <c r="D30" s="717" t="s">
        <v>3161</v>
      </c>
      <c r="E30" s="24">
        <f t="shared" si="13"/>
        <v>1</v>
      </c>
      <c r="F30" s="717" t="s">
        <v>3191</v>
      </c>
      <c r="G30" s="24">
        <f t="shared" si="14"/>
        <v>1</v>
      </c>
      <c r="H30" s="717"/>
      <c r="I30" s="24">
        <f t="shared" si="15"/>
        <v>1</v>
      </c>
      <c r="J30" s="717"/>
      <c r="K30" s="24">
        <f t="shared" si="16"/>
        <v>1</v>
      </c>
      <c r="L30" s="717"/>
      <c r="M30" s="24">
        <f t="shared" si="17"/>
        <v>1</v>
      </c>
      <c r="N30" s="717"/>
      <c r="O30" s="24">
        <f t="shared" si="18"/>
        <v>1</v>
      </c>
      <c r="P30" s="717" t="s">
        <v>3199</v>
      </c>
      <c r="Q30" s="24">
        <f t="shared" si="19"/>
        <v>1</v>
      </c>
      <c r="R30" s="713">
        <f t="shared" ca="1" si="20"/>
        <v>24380</v>
      </c>
      <c r="S30" s="361">
        <f t="shared" ca="1" si="11"/>
        <v>144</v>
      </c>
    </row>
    <row r="31" spans="1:45">
      <c r="A31" s="2962" t="str">
        <f>Sheet1!C9</f>
        <v>2-3栋1层22号</v>
      </c>
      <c r="B31" s="715">
        <f>Sheet1!I9</f>
        <v>40.98</v>
      </c>
      <c r="C31" s="24">
        <f t="shared" si="12"/>
        <v>1</v>
      </c>
      <c r="D31" s="717" t="s">
        <v>3161</v>
      </c>
      <c r="E31" s="24">
        <f t="shared" si="13"/>
        <v>1</v>
      </c>
      <c r="F31" s="717" t="s">
        <v>3191</v>
      </c>
      <c r="G31" s="24">
        <f t="shared" si="14"/>
        <v>1</v>
      </c>
      <c r="H31" s="717"/>
      <c r="I31" s="24">
        <f t="shared" si="15"/>
        <v>1</v>
      </c>
      <c r="J31" s="717"/>
      <c r="K31" s="24">
        <f t="shared" si="16"/>
        <v>1</v>
      </c>
      <c r="L31" s="717"/>
      <c r="M31" s="24">
        <f t="shared" si="17"/>
        <v>1</v>
      </c>
      <c r="N31" s="717"/>
      <c r="O31" s="24">
        <f t="shared" si="18"/>
        <v>1</v>
      </c>
      <c r="P31" s="717" t="s">
        <v>3199</v>
      </c>
      <c r="Q31" s="24">
        <f t="shared" si="19"/>
        <v>1</v>
      </c>
      <c r="R31" s="713">
        <f t="shared" ca="1" si="20"/>
        <v>24380</v>
      </c>
      <c r="S31" s="361">
        <f t="shared" ca="1" si="11"/>
        <v>100</v>
      </c>
    </row>
    <row r="32" spans="1:45">
      <c r="A32" s="2962" t="str">
        <f>Sheet1!C10</f>
        <v>2-3栋1层23号</v>
      </c>
      <c r="B32" s="715">
        <f>Sheet1!I10</f>
        <v>48.51</v>
      </c>
      <c r="C32" s="24">
        <f t="shared" si="12"/>
        <v>1</v>
      </c>
      <c r="D32" s="717" t="s">
        <v>3161</v>
      </c>
      <c r="E32" s="24">
        <f t="shared" si="13"/>
        <v>1</v>
      </c>
      <c r="F32" s="717" t="s">
        <v>3191</v>
      </c>
      <c r="G32" s="24">
        <f t="shared" si="14"/>
        <v>1</v>
      </c>
      <c r="H32" s="717"/>
      <c r="I32" s="24">
        <f t="shared" si="15"/>
        <v>1</v>
      </c>
      <c r="J32" s="717"/>
      <c r="K32" s="24">
        <f t="shared" si="16"/>
        <v>1</v>
      </c>
      <c r="L32" s="717"/>
      <c r="M32" s="24">
        <f t="shared" si="17"/>
        <v>1</v>
      </c>
      <c r="N32" s="717"/>
      <c r="O32" s="24">
        <f t="shared" si="18"/>
        <v>1</v>
      </c>
      <c r="P32" s="717" t="s">
        <v>3199</v>
      </c>
      <c r="Q32" s="24">
        <f t="shared" si="19"/>
        <v>1</v>
      </c>
      <c r="R32" s="713">
        <f t="shared" ca="1" si="20"/>
        <v>24380</v>
      </c>
      <c r="S32" s="361">
        <f t="shared" ca="1" si="11"/>
        <v>118</v>
      </c>
    </row>
    <row r="33" spans="1:19">
      <c r="A33" s="2962" t="str">
        <f>Sheet1!C11</f>
        <v>2-3栋1层25号</v>
      </c>
      <c r="B33" s="715">
        <f>Sheet1!I11</f>
        <v>46.24</v>
      </c>
      <c r="C33" s="24">
        <f t="shared" si="12"/>
        <v>1</v>
      </c>
      <c r="D33" s="717" t="s">
        <v>3161</v>
      </c>
      <c r="E33" s="24">
        <f t="shared" si="13"/>
        <v>1</v>
      </c>
      <c r="F33" s="717" t="s">
        <v>3191</v>
      </c>
      <c r="G33" s="24">
        <f t="shared" si="14"/>
        <v>1</v>
      </c>
      <c r="H33" s="717"/>
      <c r="I33" s="24">
        <f t="shared" si="15"/>
        <v>1</v>
      </c>
      <c r="J33" s="717"/>
      <c r="K33" s="24">
        <f t="shared" si="16"/>
        <v>1</v>
      </c>
      <c r="L33" s="717"/>
      <c r="M33" s="24">
        <f t="shared" si="17"/>
        <v>1</v>
      </c>
      <c r="N33" s="717"/>
      <c r="O33" s="24">
        <f t="shared" si="18"/>
        <v>1</v>
      </c>
      <c r="P33" s="717" t="s">
        <v>3199</v>
      </c>
      <c r="Q33" s="24">
        <f t="shared" si="19"/>
        <v>1</v>
      </c>
      <c r="R33" s="713">
        <f t="shared" ca="1" si="20"/>
        <v>24380</v>
      </c>
      <c r="S33" s="361">
        <f t="shared" ca="1" si="11"/>
        <v>113</v>
      </c>
    </row>
    <row r="34" spans="1:19">
      <c r="A34" s="2962" t="str">
        <f>Sheet1!C12</f>
        <v>2-3栋1层6号</v>
      </c>
      <c r="B34" s="715">
        <f>Sheet1!I12</f>
        <v>58.15</v>
      </c>
      <c r="C34" s="24">
        <f t="shared" si="12"/>
        <v>1</v>
      </c>
      <c r="D34" s="717" t="s">
        <v>3161</v>
      </c>
      <c r="E34" s="24">
        <f t="shared" si="13"/>
        <v>1</v>
      </c>
      <c r="F34" s="717" t="s">
        <v>3191</v>
      </c>
      <c r="G34" s="24">
        <f t="shared" si="14"/>
        <v>1</v>
      </c>
      <c r="H34" s="717"/>
      <c r="I34" s="24">
        <f t="shared" si="15"/>
        <v>1</v>
      </c>
      <c r="J34" s="717"/>
      <c r="K34" s="24">
        <f t="shared" si="16"/>
        <v>1</v>
      </c>
      <c r="L34" s="717"/>
      <c r="M34" s="24">
        <f t="shared" si="17"/>
        <v>1</v>
      </c>
      <c r="N34" s="717"/>
      <c r="O34" s="24">
        <f t="shared" si="18"/>
        <v>1</v>
      </c>
      <c r="P34" s="717" t="s">
        <v>3199</v>
      </c>
      <c r="Q34" s="24">
        <f t="shared" si="19"/>
        <v>1</v>
      </c>
      <c r="R34" s="713">
        <f t="shared" ca="1" si="20"/>
        <v>24380</v>
      </c>
      <c r="S34" s="361">
        <f t="shared" ca="1" si="11"/>
        <v>142</v>
      </c>
    </row>
    <row r="35" spans="1:19">
      <c r="A35" s="2962" t="str">
        <f>Sheet1!C13</f>
        <v>2-3栋1层7号</v>
      </c>
      <c r="B35" s="715">
        <f>Sheet1!I13</f>
        <v>58.15</v>
      </c>
      <c r="C35" s="24">
        <f t="shared" si="12"/>
        <v>1</v>
      </c>
      <c r="D35" s="717" t="s">
        <v>3161</v>
      </c>
      <c r="E35" s="24">
        <f t="shared" si="13"/>
        <v>1</v>
      </c>
      <c r="F35" s="717" t="s">
        <v>3191</v>
      </c>
      <c r="G35" s="24">
        <f t="shared" si="14"/>
        <v>1</v>
      </c>
      <c r="H35" s="717"/>
      <c r="I35" s="24">
        <f t="shared" si="15"/>
        <v>1</v>
      </c>
      <c r="J35" s="717"/>
      <c r="K35" s="24">
        <f t="shared" si="16"/>
        <v>1</v>
      </c>
      <c r="L35" s="717"/>
      <c r="M35" s="24">
        <f t="shared" si="17"/>
        <v>1</v>
      </c>
      <c r="N35" s="717"/>
      <c r="O35" s="24">
        <f t="shared" si="18"/>
        <v>1</v>
      </c>
      <c r="P35" s="717" t="s">
        <v>3199</v>
      </c>
      <c r="Q35" s="24">
        <f t="shared" si="19"/>
        <v>1</v>
      </c>
      <c r="R35" s="713">
        <f t="shared" ca="1" si="20"/>
        <v>24380</v>
      </c>
      <c r="S35" s="361">
        <f t="shared" ca="1" si="11"/>
        <v>142</v>
      </c>
    </row>
    <row r="36" spans="1:19">
      <c r="A36" s="2962" t="str">
        <f>Sheet1!C14</f>
        <v>2-3栋1-2层1号</v>
      </c>
      <c r="B36" s="715">
        <f>Sheet1!I14</f>
        <v>241.15</v>
      </c>
      <c r="C36" s="24">
        <f t="shared" si="12"/>
        <v>0.95</v>
      </c>
      <c r="D36" s="717" t="s">
        <v>3196</v>
      </c>
      <c r="E36" s="24">
        <f t="shared" si="13"/>
        <v>1.05</v>
      </c>
      <c r="F36" s="717" t="s">
        <v>3193</v>
      </c>
      <c r="G36" s="24">
        <f t="shared" si="14"/>
        <v>0.95</v>
      </c>
      <c r="H36" s="717"/>
      <c r="I36" s="24">
        <f t="shared" si="15"/>
        <v>1</v>
      </c>
      <c r="J36" s="717"/>
      <c r="K36" s="24">
        <f t="shared" si="16"/>
        <v>1</v>
      </c>
      <c r="L36" s="717"/>
      <c r="M36" s="24">
        <f t="shared" si="17"/>
        <v>1</v>
      </c>
      <c r="N36" s="717"/>
      <c r="O36" s="24">
        <f t="shared" si="18"/>
        <v>1</v>
      </c>
      <c r="P36" s="717" t="s">
        <v>3198</v>
      </c>
      <c r="Q36" s="24">
        <f t="shared" si="19"/>
        <v>0.8</v>
      </c>
      <c r="R36" s="713">
        <f t="shared" ca="1" si="20"/>
        <v>18482</v>
      </c>
      <c r="S36" s="361">
        <f t="shared" ca="1" si="11"/>
        <v>446</v>
      </c>
    </row>
    <row r="37" spans="1:19">
      <c r="A37" s="2962" t="str">
        <f>Sheet1!C15</f>
        <v>2-3栋1-2层4号</v>
      </c>
      <c r="B37" s="715">
        <f>Sheet1!I15</f>
        <v>230.71</v>
      </c>
      <c r="C37" s="24">
        <f t="shared" si="12"/>
        <v>0.95</v>
      </c>
      <c r="D37" s="717" t="s">
        <v>3196</v>
      </c>
      <c r="E37" s="24">
        <f t="shared" si="13"/>
        <v>1.05</v>
      </c>
      <c r="F37" s="717" t="s">
        <v>3193</v>
      </c>
      <c r="G37" s="24">
        <f t="shared" si="14"/>
        <v>0.95</v>
      </c>
      <c r="H37" s="717"/>
      <c r="I37" s="24">
        <f t="shared" si="15"/>
        <v>1</v>
      </c>
      <c r="J37" s="717"/>
      <c r="K37" s="24">
        <f t="shared" si="16"/>
        <v>1</v>
      </c>
      <c r="L37" s="717"/>
      <c r="M37" s="24">
        <f t="shared" si="17"/>
        <v>1</v>
      </c>
      <c r="N37" s="717"/>
      <c r="O37" s="24">
        <f t="shared" si="18"/>
        <v>1</v>
      </c>
      <c r="P37" s="717" t="s">
        <v>3198</v>
      </c>
      <c r="Q37" s="24">
        <f t="shared" si="19"/>
        <v>0.8</v>
      </c>
      <c r="R37" s="713">
        <f t="shared" ca="1" si="20"/>
        <v>18482</v>
      </c>
      <c r="S37" s="361">
        <f t="shared" ca="1" si="11"/>
        <v>426</v>
      </c>
    </row>
    <row r="38" spans="1:19">
      <c r="A38" s="2962" t="str">
        <f>Sheet1!C16</f>
        <v>2-3栋1-2层5号</v>
      </c>
      <c r="B38" s="715">
        <f>Sheet1!I16</f>
        <v>222.83</v>
      </c>
      <c r="C38" s="24">
        <f t="shared" si="12"/>
        <v>0.95</v>
      </c>
      <c r="D38" s="717" t="s">
        <v>3196</v>
      </c>
      <c r="E38" s="24">
        <f t="shared" si="13"/>
        <v>1.05</v>
      </c>
      <c r="F38" s="717" t="s">
        <v>3193</v>
      </c>
      <c r="G38" s="24">
        <f t="shared" si="14"/>
        <v>0.95</v>
      </c>
      <c r="H38" s="717"/>
      <c r="I38" s="24">
        <f t="shared" si="15"/>
        <v>1</v>
      </c>
      <c r="J38" s="717"/>
      <c r="K38" s="24">
        <f t="shared" si="16"/>
        <v>1</v>
      </c>
      <c r="L38" s="717"/>
      <c r="M38" s="24">
        <f t="shared" si="17"/>
        <v>1</v>
      </c>
      <c r="N38" s="717"/>
      <c r="O38" s="24">
        <f t="shared" si="18"/>
        <v>1</v>
      </c>
      <c r="P38" s="717" t="s">
        <v>3198</v>
      </c>
      <c r="Q38" s="24">
        <f t="shared" si="19"/>
        <v>0.8</v>
      </c>
      <c r="R38" s="713">
        <f t="shared" ca="1" si="20"/>
        <v>18482</v>
      </c>
      <c r="S38" s="361">
        <f t="shared" ca="1" si="11"/>
        <v>412</v>
      </c>
    </row>
    <row r="39" spans="1:19">
      <c r="A39" s="2962" t="str">
        <f>Sheet1!C17</f>
        <v>2-3栋1-2层8号</v>
      </c>
      <c r="B39" s="715">
        <f>Sheet1!I17</f>
        <v>212.79</v>
      </c>
      <c r="C39" s="24">
        <f t="shared" si="12"/>
        <v>0.95</v>
      </c>
      <c r="D39" s="717" t="s">
        <v>3196</v>
      </c>
      <c r="E39" s="24">
        <f t="shared" si="13"/>
        <v>1.05</v>
      </c>
      <c r="F39" s="717" t="s">
        <v>3193</v>
      </c>
      <c r="G39" s="24">
        <f t="shared" si="14"/>
        <v>0.95</v>
      </c>
      <c r="H39" s="717"/>
      <c r="I39" s="24">
        <f t="shared" si="15"/>
        <v>1</v>
      </c>
      <c r="J39" s="717"/>
      <c r="K39" s="24">
        <f t="shared" si="16"/>
        <v>1</v>
      </c>
      <c r="L39" s="717"/>
      <c r="M39" s="24">
        <f t="shared" si="17"/>
        <v>1</v>
      </c>
      <c r="N39" s="717"/>
      <c r="O39" s="24">
        <f t="shared" si="18"/>
        <v>1</v>
      </c>
      <c r="P39" s="717" t="s">
        <v>3198</v>
      </c>
      <c r="Q39" s="24">
        <f t="shared" si="19"/>
        <v>0.8</v>
      </c>
      <c r="R39" s="713">
        <f t="shared" ca="1" si="20"/>
        <v>18482</v>
      </c>
      <c r="S39" s="361">
        <f t="shared" ca="1" si="11"/>
        <v>393</v>
      </c>
    </row>
    <row r="40" spans="1:19">
      <c r="A40" s="2962" t="str">
        <f>Sheet1!C18</f>
        <v>2-3栋1-2层10号</v>
      </c>
      <c r="B40" s="715">
        <f>Sheet1!I18</f>
        <v>187.75</v>
      </c>
      <c r="C40" s="24">
        <f t="shared" si="12"/>
        <v>0.95</v>
      </c>
      <c r="D40" s="717" t="s">
        <v>3196</v>
      </c>
      <c r="E40" s="24">
        <f t="shared" si="13"/>
        <v>1.05</v>
      </c>
      <c r="F40" s="717" t="s">
        <v>3193</v>
      </c>
      <c r="G40" s="24">
        <f t="shared" si="14"/>
        <v>0.95</v>
      </c>
      <c r="H40" s="717"/>
      <c r="I40" s="24">
        <f t="shared" si="15"/>
        <v>1</v>
      </c>
      <c r="J40" s="717"/>
      <c r="K40" s="24">
        <f t="shared" si="16"/>
        <v>1</v>
      </c>
      <c r="L40" s="717"/>
      <c r="M40" s="24">
        <f t="shared" si="17"/>
        <v>1</v>
      </c>
      <c r="N40" s="717"/>
      <c r="O40" s="24">
        <f t="shared" si="18"/>
        <v>1</v>
      </c>
      <c r="P40" s="717" t="s">
        <v>3198</v>
      </c>
      <c r="Q40" s="24">
        <f t="shared" si="19"/>
        <v>0.8</v>
      </c>
      <c r="R40" s="713">
        <f t="shared" ca="1" si="20"/>
        <v>18482</v>
      </c>
      <c r="S40" s="361">
        <f t="shared" ca="1" si="11"/>
        <v>347</v>
      </c>
    </row>
    <row r="41" spans="1:19">
      <c r="A41" s="2962" t="str">
        <f>Sheet1!C19</f>
        <v>2-3栋1层2号</v>
      </c>
      <c r="B41" s="715">
        <f>Sheet1!I19</f>
        <v>63.4</v>
      </c>
      <c r="C41" s="24">
        <f t="shared" si="12"/>
        <v>1</v>
      </c>
      <c r="D41" s="717" t="s">
        <v>3161</v>
      </c>
      <c r="E41" s="24">
        <f t="shared" si="13"/>
        <v>1</v>
      </c>
      <c r="F41" s="717" t="s">
        <v>3191</v>
      </c>
      <c r="G41" s="24">
        <f t="shared" si="14"/>
        <v>1</v>
      </c>
      <c r="H41" s="717"/>
      <c r="I41" s="24">
        <f t="shared" si="15"/>
        <v>1</v>
      </c>
      <c r="J41" s="717"/>
      <c r="K41" s="24">
        <f t="shared" si="16"/>
        <v>1</v>
      </c>
      <c r="L41" s="717"/>
      <c r="M41" s="24">
        <f t="shared" si="17"/>
        <v>1</v>
      </c>
      <c r="N41" s="717"/>
      <c r="O41" s="24">
        <f t="shared" si="18"/>
        <v>1</v>
      </c>
      <c r="P41" s="717" t="s">
        <v>3199</v>
      </c>
      <c r="Q41" s="24">
        <f t="shared" si="19"/>
        <v>1</v>
      </c>
      <c r="R41" s="713">
        <f t="shared" ca="1" si="20"/>
        <v>24380</v>
      </c>
      <c r="S41" s="361">
        <f t="shared" ca="1" si="11"/>
        <v>155</v>
      </c>
    </row>
    <row r="42" spans="1:19">
      <c r="A42" s="2962" t="str">
        <f>Sheet1!C20</f>
        <v>2-3栋1-2层12号</v>
      </c>
      <c r="B42" s="715">
        <f>Sheet1!I20</f>
        <v>213.89</v>
      </c>
      <c r="C42" s="24">
        <f t="shared" si="12"/>
        <v>0.95</v>
      </c>
      <c r="D42" s="717" t="s">
        <v>3196</v>
      </c>
      <c r="E42" s="24">
        <f t="shared" si="13"/>
        <v>1.05</v>
      </c>
      <c r="F42" s="717" t="s">
        <v>3193</v>
      </c>
      <c r="G42" s="24">
        <f t="shared" si="14"/>
        <v>0.95</v>
      </c>
      <c r="H42" s="717"/>
      <c r="I42" s="24">
        <f t="shared" si="15"/>
        <v>1</v>
      </c>
      <c r="J42" s="717"/>
      <c r="K42" s="24">
        <f t="shared" si="16"/>
        <v>1</v>
      </c>
      <c r="L42" s="717"/>
      <c r="M42" s="24">
        <f t="shared" si="17"/>
        <v>1</v>
      </c>
      <c r="N42" s="717"/>
      <c r="O42" s="24">
        <f t="shared" si="18"/>
        <v>1</v>
      </c>
      <c r="P42" s="717" t="s">
        <v>3198</v>
      </c>
      <c r="Q42" s="24">
        <f t="shared" si="19"/>
        <v>0.8</v>
      </c>
      <c r="R42" s="713">
        <f t="shared" ca="1" si="20"/>
        <v>18482</v>
      </c>
      <c r="S42" s="361">
        <f t="shared" ca="1" si="11"/>
        <v>395</v>
      </c>
    </row>
    <row r="43" spans="1:19">
      <c r="A43" s="2962" t="str">
        <f>Sheet1!C21</f>
        <v>2-3栋1-2层17号</v>
      </c>
      <c r="B43" s="715">
        <f>Sheet1!I21</f>
        <v>116.04</v>
      </c>
      <c r="C43" s="24">
        <f t="shared" si="12"/>
        <v>0.95</v>
      </c>
      <c r="D43" s="717" t="s">
        <v>3196</v>
      </c>
      <c r="E43" s="24">
        <f t="shared" si="13"/>
        <v>1.05</v>
      </c>
      <c r="F43" s="717" t="s">
        <v>3193</v>
      </c>
      <c r="G43" s="24">
        <f t="shared" si="14"/>
        <v>0.95</v>
      </c>
      <c r="H43" s="717"/>
      <c r="I43" s="24">
        <f t="shared" si="15"/>
        <v>1</v>
      </c>
      <c r="J43" s="717"/>
      <c r="K43" s="24">
        <f t="shared" si="16"/>
        <v>1</v>
      </c>
      <c r="L43" s="717"/>
      <c r="M43" s="24">
        <f t="shared" si="17"/>
        <v>1</v>
      </c>
      <c r="N43" s="717"/>
      <c r="O43" s="24">
        <f t="shared" si="18"/>
        <v>1</v>
      </c>
      <c r="P43" s="717" t="s">
        <v>3198</v>
      </c>
      <c r="Q43" s="24">
        <f t="shared" si="19"/>
        <v>0.8</v>
      </c>
      <c r="R43" s="713">
        <f t="shared" ca="1" si="20"/>
        <v>18482</v>
      </c>
      <c r="S43" s="361">
        <f t="shared" ca="1" si="11"/>
        <v>214</v>
      </c>
    </row>
    <row r="44" spans="1:19">
      <c r="A44" s="2962" t="str">
        <f>Sheet1!C22</f>
        <v>2-3栋1-2层18号</v>
      </c>
      <c r="B44" s="715">
        <f>Sheet1!I22</f>
        <v>187.07</v>
      </c>
      <c r="C44" s="24">
        <f t="shared" si="12"/>
        <v>0.95</v>
      </c>
      <c r="D44" s="717" t="s">
        <v>3196</v>
      </c>
      <c r="E44" s="24">
        <f t="shared" si="13"/>
        <v>1.05</v>
      </c>
      <c r="F44" s="717" t="s">
        <v>3193</v>
      </c>
      <c r="G44" s="24">
        <f t="shared" si="14"/>
        <v>0.95</v>
      </c>
      <c r="H44" s="717"/>
      <c r="I44" s="24">
        <f t="shared" si="15"/>
        <v>1</v>
      </c>
      <c r="J44" s="717"/>
      <c r="K44" s="24">
        <f t="shared" si="16"/>
        <v>1</v>
      </c>
      <c r="L44" s="717"/>
      <c r="M44" s="24">
        <f t="shared" si="17"/>
        <v>1</v>
      </c>
      <c r="N44" s="717"/>
      <c r="O44" s="24">
        <f t="shared" si="18"/>
        <v>1</v>
      </c>
      <c r="P44" s="717" t="s">
        <v>3198</v>
      </c>
      <c r="Q44" s="24">
        <f t="shared" si="19"/>
        <v>0.8</v>
      </c>
      <c r="R44" s="713">
        <f t="shared" ca="1" si="20"/>
        <v>18482</v>
      </c>
      <c r="S44" s="361">
        <f t="shared" ca="1" si="11"/>
        <v>346</v>
      </c>
    </row>
    <row r="45" spans="1:19">
      <c r="A45" s="2962" t="str">
        <f>Sheet1!C23</f>
        <v>2-3栋1-2层19号</v>
      </c>
      <c r="B45" s="715">
        <f>Sheet1!I23</f>
        <v>140.80000000000001</v>
      </c>
      <c r="C45" s="24">
        <f t="shared" si="12"/>
        <v>0.95</v>
      </c>
      <c r="D45" s="717" t="s">
        <v>3196</v>
      </c>
      <c r="E45" s="24">
        <f t="shared" si="13"/>
        <v>1.05</v>
      </c>
      <c r="F45" s="717" t="s">
        <v>3193</v>
      </c>
      <c r="G45" s="24">
        <f t="shared" si="14"/>
        <v>0.95</v>
      </c>
      <c r="H45" s="717"/>
      <c r="I45" s="24">
        <f t="shared" si="15"/>
        <v>1</v>
      </c>
      <c r="J45" s="717"/>
      <c r="K45" s="24">
        <f t="shared" si="16"/>
        <v>1</v>
      </c>
      <c r="L45" s="717"/>
      <c r="M45" s="24">
        <f t="shared" si="17"/>
        <v>1</v>
      </c>
      <c r="N45" s="717"/>
      <c r="O45" s="24">
        <f t="shared" si="18"/>
        <v>1</v>
      </c>
      <c r="P45" s="717" t="s">
        <v>3198</v>
      </c>
      <c r="Q45" s="24">
        <f t="shared" si="19"/>
        <v>0.8</v>
      </c>
      <c r="R45" s="713">
        <f t="shared" ca="1" si="20"/>
        <v>18482</v>
      </c>
      <c r="S45" s="361">
        <f t="shared" ca="1" si="11"/>
        <v>260</v>
      </c>
    </row>
    <row r="46" spans="1:19">
      <c r="A46" s="2962" t="str">
        <f>Sheet1!C24</f>
        <v>2-3栋1-2层20号</v>
      </c>
      <c r="B46" s="715">
        <f>Sheet1!I24</f>
        <v>137.61000000000001</v>
      </c>
      <c r="C46" s="24">
        <f t="shared" si="12"/>
        <v>0.95</v>
      </c>
      <c r="D46" s="717" t="s">
        <v>3196</v>
      </c>
      <c r="E46" s="24">
        <f t="shared" si="13"/>
        <v>1.05</v>
      </c>
      <c r="F46" s="717" t="s">
        <v>3193</v>
      </c>
      <c r="G46" s="24">
        <f t="shared" si="14"/>
        <v>0.95</v>
      </c>
      <c r="H46" s="717"/>
      <c r="I46" s="24">
        <f t="shared" si="15"/>
        <v>1</v>
      </c>
      <c r="J46" s="717"/>
      <c r="K46" s="24">
        <f t="shared" si="16"/>
        <v>1</v>
      </c>
      <c r="L46" s="717"/>
      <c r="M46" s="24">
        <f t="shared" si="17"/>
        <v>1</v>
      </c>
      <c r="N46" s="717"/>
      <c r="O46" s="24">
        <f t="shared" si="18"/>
        <v>1</v>
      </c>
      <c r="P46" s="717" t="s">
        <v>3198</v>
      </c>
      <c r="Q46" s="24">
        <f t="shared" si="19"/>
        <v>0.8</v>
      </c>
      <c r="R46" s="713">
        <f t="shared" ca="1" si="20"/>
        <v>18482</v>
      </c>
      <c r="S46" s="361">
        <f t="shared" ca="1" si="11"/>
        <v>254</v>
      </c>
    </row>
    <row r="47" spans="1:19">
      <c r="A47" s="2962" t="str">
        <f>Sheet1!C25</f>
        <v>2-3栋1-2层21号</v>
      </c>
      <c r="B47" s="715">
        <f>Sheet1!I25</f>
        <v>133.63999999999999</v>
      </c>
      <c r="C47" s="24">
        <f t="shared" si="12"/>
        <v>0.95</v>
      </c>
      <c r="D47" s="717" t="s">
        <v>3196</v>
      </c>
      <c r="E47" s="24">
        <f t="shared" si="13"/>
        <v>1.05</v>
      </c>
      <c r="F47" s="717" t="s">
        <v>3193</v>
      </c>
      <c r="G47" s="24">
        <f t="shared" si="14"/>
        <v>0.95</v>
      </c>
      <c r="H47" s="717"/>
      <c r="I47" s="24">
        <f t="shared" si="15"/>
        <v>1</v>
      </c>
      <c r="J47" s="717"/>
      <c r="K47" s="24">
        <f t="shared" si="16"/>
        <v>1</v>
      </c>
      <c r="L47" s="717"/>
      <c r="M47" s="24">
        <f t="shared" si="17"/>
        <v>1</v>
      </c>
      <c r="N47" s="717"/>
      <c r="O47" s="24">
        <f t="shared" si="18"/>
        <v>1</v>
      </c>
      <c r="P47" s="717" t="s">
        <v>3198</v>
      </c>
      <c r="Q47" s="24">
        <f t="shared" si="19"/>
        <v>0.8</v>
      </c>
      <c r="R47" s="713">
        <f t="shared" ca="1" si="20"/>
        <v>18482</v>
      </c>
      <c r="S47" s="361">
        <f t="shared" ca="1" si="11"/>
        <v>247</v>
      </c>
    </row>
    <row r="48" spans="1:19">
      <c r="A48" s="2962" t="str">
        <f>Sheet1!C26</f>
        <v>2-3栋1-2层24号</v>
      </c>
      <c r="B48" s="715">
        <f>Sheet1!I26</f>
        <v>145.52000000000001</v>
      </c>
      <c r="C48" s="24">
        <f t="shared" si="12"/>
        <v>0.95</v>
      </c>
      <c r="D48" s="717" t="s">
        <v>3196</v>
      </c>
      <c r="E48" s="24">
        <f t="shared" si="13"/>
        <v>1.05</v>
      </c>
      <c r="F48" s="717" t="s">
        <v>3193</v>
      </c>
      <c r="G48" s="24">
        <f t="shared" si="14"/>
        <v>0.95</v>
      </c>
      <c r="H48" s="717"/>
      <c r="I48" s="24">
        <f t="shared" si="15"/>
        <v>1</v>
      </c>
      <c r="J48" s="717"/>
      <c r="K48" s="24">
        <f t="shared" si="16"/>
        <v>1</v>
      </c>
      <c r="L48" s="717"/>
      <c r="M48" s="24">
        <f t="shared" si="17"/>
        <v>1</v>
      </c>
      <c r="N48" s="717"/>
      <c r="O48" s="24">
        <f t="shared" si="18"/>
        <v>1</v>
      </c>
      <c r="P48" s="717" t="s">
        <v>3198</v>
      </c>
      <c r="Q48" s="24">
        <f t="shared" si="19"/>
        <v>0.8</v>
      </c>
      <c r="R48" s="713">
        <f t="shared" ca="1" si="20"/>
        <v>18482</v>
      </c>
      <c r="S48" s="361">
        <f t="shared" ca="1" si="11"/>
        <v>269</v>
      </c>
    </row>
    <row r="49" spans="1:19">
      <c r="A49" s="2962" t="str">
        <f>Sheet1!C27</f>
        <v>2-3栋1-2层26号</v>
      </c>
      <c r="B49" s="715">
        <f>Sheet1!I27</f>
        <v>129.85</v>
      </c>
      <c r="C49" s="24">
        <f t="shared" si="12"/>
        <v>0.95</v>
      </c>
      <c r="D49" s="717" t="s">
        <v>3196</v>
      </c>
      <c r="E49" s="24">
        <f t="shared" si="13"/>
        <v>1.05</v>
      </c>
      <c r="F49" s="717" t="s">
        <v>3193</v>
      </c>
      <c r="G49" s="24">
        <f t="shared" si="14"/>
        <v>0.95</v>
      </c>
      <c r="H49" s="717"/>
      <c r="I49" s="24">
        <f t="shared" si="15"/>
        <v>1</v>
      </c>
      <c r="J49" s="717"/>
      <c r="K49" s="24">
        <f t="shared" si="16"/>
        <v>1</v>
      </c>
      <c r="L49" s="717"/>
      <c r="M49" s="24">
        <f t="shared" si="17"/>
        <v>1</v>
      </c>
      <c r="N49" s="717"/>
      <c r="O49" s="24">
        <f t="shared" si="18"/>
        <v>1</v>
      </c>
      <c r="P49" s="717" t="s">
        <v>3198</v>
      </c>
      <c r="Q49" s="24">
        <f t="shared" si="19"/>
        <v>0.8</v>
      </c>
      <c r="R49" s="713">
        <f t="shared" ca="1" si="20"/>
        <v>18482</v>
      </c>
      <c r="S49" s="361">
        <f t="shared" ca="1" si="11"/>
        <v>240</v>
      </c>
    </row>
    <row r="50" spans="1:19">
      <c r="A50" s="2962" t="str">
        <f>Sheet1!C28</f>
        <v>2-3栋1-2层27号</v>
      </c>
      <c r="B50" s="715">
        <f>Sheet1!I28</f>
        <v>116.92</v>
      </c>
      <c r="C50" s="24">
        <f t="shared" si="12"/>
        <v>0.95</v>
      </c>
      <c r="D50" s="717" t="s">
        <v>3196</v>
      </c>
      <c r="E50" s="24">
        <f t="shared" si="13"/>
        <v>1.05</v>
      </c>
      <c r="F50" s="717" t="s">
        <v>3193</v>
      </c>
      <c r="G50" s="24">
        <f t="shared" si="14"/>
        <v>0.95</v>
      </c>
      <c r="H50" s="717"/>
      <c r="I50" s="24">
        <f t="shared" si="15"/>
        <v>1</v>
      </c>
      <c r="J50" s="717"/>
      <c r="K50" s="24">
        <f t="shared" si="16"/>
        <v>1</v>
      </c>
      <c r="L50" s="717"/>
      <c r="M50" s="24">
        <f t="shared" si="17"/>
        <v>1</v>
      </c>
      <c r="N50" s="717"/>
      <c r="O50" s="24">
        <f t="shared" si="18"/>
        <v>1</v>
      </c>
      <c r="P50" s="717" t="s">
        <v>3198</v>
      </c>
      <c r="Q50" s="24">
        <f t="shared" si="19"/>
        <v>0.8</v>
      </c>
      <c r="R50" s="713">
        <f t="shared" ca="1" si="20"/>
        <v>18482</v>
      </c>
      <c r="S50" s="361">
        <f t="shared" ca="1" si="11"/>
        <v>216</v>
      </c>
    </row>
    <row r="51" spans="1:19">
      <c r="A51" s="2962" t="str">
        <f>Sheet1!C29</f>
        <v>2-3栋1-2层13号</v>
      </c>
      <c r="B51" s="715">
        <f>Sheet1!I29</f>
        <v>215.62</v>
      </c>
      <c r="C51" s="24">
        <f t="shared" si="12"/>
        <v>0.95</v>
      </c>
      <c r="D51" s="717" t="s">
        <v>3196</v>
      </c>
      <c r="E51" s="24">
        <f t="shared" si="13"/>
        <v>1.05</v>
      </c>
      <c r="F51" s="717" t="s">
        <v>3193</v>
      </c>
      <c r="G51" s="24">
        <f t="shared" si="14"/>
        <v>0.95</v>
      </c>
      <c r="H51" s="717"/>
      <c r="I51" s="24">
        <f t="shared" si="15"/>
        <v>1</v>
      </c>
      <c r="J51" s="717"/>
      <c r="K51" s="24">
        <f t="shared" si="16"/>
        <v>1</v>
      </c>
      <c r="L51" s="717"/>
      <c r="M51" s="24">
        <f t="shared" si="17"/>
        <v>1</v>
      </c>
      <c r="N51" s="717"/>
      <c r="O51" s="24">
        <f t="shared" si="18"/>
        <v>1</v>
      </c>
      <c r="P51" s="717" t="s">
        <v>3198</v>
      </c>
      <c r="Q51" s="24">
        <f t="shared" si="19"/>
        <v>0.8</v>
      </c>
      <c r="R51" s="713">
        <f t="shared" ca="1" si="20"/>
        <v>18482</v>
      </c>
      <c r="S51" s="361">
        <f t="shared" ca="1" si="11"/>
        <v>399</v>
      </c>
    </row>
    <row r="52" spans="1:19">
      <c r="A52" s="2962" t="str">
        <f>Sheet1!C30</f>
        <v>2-3栋1-2层14号</v>
      </c>
      <c r="B52" s="715">
        <f>Sheet1!I30</f>
        <v>206.85</v>
      </c>
      <c r="C52" s="24">
        <f t="shared" si="12"/>
        <v>0.95</v>
      </c>
      <c r="D52" s="717" t="s">
        <v>3196</v>
      </c>
      <c r="E52" s="24">
        <f t="shared" si="13"/>
        <v>1.05</v>
      </c>
      <c r="F52" s="717" t="s">
        <v>3193</v>
      </c>
      <c r="G52" s="24">
        <f t="shared" si="14"/>
        <v>0.95</v>
      </c>
      <c r="H52" s="717"/>
      <c r="I52" s="24">
        <f t="shared" si="15"/>
        <v>1</v>
      </c>
      <c r="J52" s="717"/>
      <c r="K52" s="24">
        <f t="shared" si="16"/>
        <v>1</v>
      </c>
      <c r="L52" s="717"/>
      <c r="M52" s="24">
        <f t="shared" si="17"/>
        <v>1</v>
      </c>
      <c r="N52" s="717"/>
      <c r="O52" s="24">
        <f t="shared" si="18"/>
        <v>1</v>
      </c>
      <c r="P52" s="717" t="s">
        <v>3198</v>
      </c>
      <c r="Q52" s="24">
        <f t="shared" si="19"/>
        <v>0.8</v>
      </c>
      <c r="R52" s="713">
        <f t="shared" ca="1" si="20"/>
        <v>18482</v>
      </c>
      <c r="S52" s="361">
        <f t="shared" ca="1" si="11"/>
        <v>382</v>
      </c>
    </row>
    <row r="53" spans="1:19">
      <c r="A53" s="2962" t="str">
        <f>Sheet1!C31</f>
        <v>2-3栋1-2层15号</v>
      </c>
      <c r="B53" s="715">
        <f>Sheet1!I31</f>
        <v>198.83</v>
      </c>
      <c r="C53" s="24">
        <f t="shared" si="12"/>
        <v>0.95</v>
      </c>
      <c r="D53" s="717" t="s">
        <v>3196</v>
      </c>
      <c r="E53" s="24">
        <f t="shared" si="13"/>
        <v>1.05</v>
      </c>
      <c r="F53" s="717" t="s">
        <v>3193</v>
      </c>
      <c r="G53" s="24">
        <f t="shared" si="14"/>
        <v>0.95</v>
      </c>
      <c r="H53" s="717"/>
      <c r="I53" s="24">
        <f t="shared" si="15"/>
        <v>1</v>
      </c>
      <c r="J53" s="717"/>
      <c r="K53" s="24">
        <f t="shared" si="16"/>
        <v>1</v>
      </c>
      <c r="L53" s="717"/>
      <c r="M53" s="24">
        <f t="shared" si="17"/>
        <v>1</v>
      </c>
      <c r="N53" s="717"/>
      <c r="O53" s="24">
        <f t="shared" si="18"/>
        <v>1</v>
      </c>
      <c r="P53" s="717" t="s">
        <v>3198</v>
      </c>
      <c r="Q53" s="24">
        <f t="shared" si="19"/>
        <v>0.8</v>
      </c>
      <c r="R53" s="713">
        <f t="shared" ca="1" si="20"/>
        <v>18482</v>
      </c>
      <c r="S53" s="361">
        <f t="shared" ca="1" si="11"/>
        <v>367</v>
      </c>
    </row>
    <row r="54" spans="1:19">
      <c r="A54" s="2962" t="str">
        <f>Sheet1!C32</f>
        <v>2-3栋1-2层16号</v>
      </c>
      <c r="B54" s="715">
        <f>Sheet1!I32</f>
        <v>116.04</v>
      </c>
      <c r="C54" s="24">
        <f t="shared" si="12"/>
        <v>0.95</v>
      </c>
      <c r="D54" s="717" t="s">
        <v>3196</v>
      </c>
      <c r="E54" s="24">
        <f t="shared" si="13"/>
        <v>1.05</v>
      </c>
      <c r="F54" s="717" t="s">
        <v>3193</v>
      </c>
      <c r="G54" s="24">
        <f t="shared" si="14"/>
        <v>0.95</v>
      </c>
      <c r="H54" s="717"/>
      <c r="I54" s="24">
        <f t="shared" si="15"/>
        <v>1</v>
      </c>
      <c r="J54" s="717"/>
      <c r="K54" s="24">
        <f t="shared" si="16"/>
        <v>1</v>
      </c>
      <c r="L54" s="717"/>
      <c r="M54" s="24">
        <f t="shared" si="17"/>
        <v>1</v>
      </c>
      <c r="N54" s="717"/>
      <c r="O54" s="24">
        <f t="shared" si="18"/>
        <v>1</v>
      </c>
      <c r="P54" s="717" t="s">
        <v>3198</v>
      </c>
      <c r="Q54" s="24">
        <f t="shared" si="19"/>
        <v>0.8</v>
      </c>
      <c r="R54" s="713">
        <f t="shared" ca="1" si="20"/>
        <v>18482</v>
      </c>
      <c r="S54" s="361">
        <f t="shared" ca="1" si="11"/>
        <v>214</v>
      </c>
    </row>
    <row r="55" spans="1:19">
      <c r="A55" s="2962"/>
      <c r="B55" s="715"/>
      <c r="C55" s="24">
        <f t="shared" si="12"/>
        <v>1</v>
      </c>
      <c r="D55" s="717"/>
      <c r="E55" s="24">
        <f t="shared" si="13"/>
        <v>0.15</v>
      </c>
      <c r="F55" s="717"/>
      <c r="G55" s="24">
        <f t="shared" si="14"/>
        <v>0</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2962"/>
      <c r="B56" s="715"/>
      <c r="C56" s="24">
        <f t="shared" si="12"/>
        <v>1</v>
      </c>
      <c r="D56" s="717"/>
      <c r="E56" s="24">
        <f t="shared" si="13"/>
        <v>0.15</v>
      </c>
      <c r="F56" s="717"/>
      <c r="G56" s="24">
        <f t="shared" si="14"/>
        <v>0</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159"/>
      <c r="B57" s="59"/>
      <c r="C57" s="24">
        <f t="shared" si="12"/>
        <v>1</v>
      </c>
      <c r="D57" s="717"/>
      <c r="E57" s="24">
        <f t="shared" si="13"/>
        <v>0.15</v>
      </c>
      <c r="F57" s="717"/>
      <c r="G57" s="24">
        <f t="shared" si="14"/>
        <v>0</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159"/>
      <c r="B58" s="59"/>
      <c r="C58" s="24">
        <f t="shared" si="12"/>
        <v>1</v>
      </c>
      <c r="D58" s="717"/>
      <c r="E58" s="24">
        <f t="shared" si="13"/>
        <v>0.15</v>
      </c>
      <c r="F58" s="717"/>
      <c r="G58" s="24">
        <f t="shared" si="14"/>
        <v>0</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159"/>
      <c r="B59" s="59"/>
      <c r="C59" s="24">
        <f t="shared" si="12"/>
        <v>1</v>
      </c>
      <c r="D59" s="717"/>
      <c r="E59" s="24">
        <f t="shared" si="13"/>
        <v>0.15</v>
      </c>
      <c r="F59" s="717"/>
      <c r="G59" s="24">
        <f t="shared" si="14"/>
        <v>0</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159"/>
      <c r="B60" s="59"/>
      <c r="C60" s="24">
        <f t="shared" si="12"/>
        <v>1</v>
      </c>
      <c r="D60" s="717"/>
      <c r="E60" s="24">
        <f t="shared" si="13"/>
        <v>0.15</v>
      </c>
      <c r="F60" s="717"/>
      <c r="G60" s="24">
        <f t="shared" si="14"/>
        <v>0</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159"/>
      <c r="B61" s="59"/>
      <c r="C61" s="24">
        <f t="shared" si="12"/>
        <v>1</v>
      </c>
      <c r="D61" s="717"/>
      <c r="E61" s="24">
        <f t="shared" si="13"/>
        <v>0.15</v>
      </c>
      <c r="F61" s="717"/>
      <c r="G61" s="24">
        <f t="shared" si="14"/>
        <v>0</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159"/>
      <c r="B62" s="59"/>
      <c r="C62" s="24">
        <f t="shared" si="12"/>
        <v>1</v>
      </c>
      <c r="D62" s="717"/>
      <c r="E62" s="24">
        <f t="shared" si="13"/>
        <v>0.15</v>
      </c>
      <c r="F62" s="717"/>
      <c r="G62" s="24">
        <f t="shared" si="14"/>
        <v>0</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159"/>
      <c r="B63" s="59"/>
      <c r="C63" s="24">
        <f t="shared" si="12"/>
        <v>1</v>
      </c>
      <c r="D63" s="717"/>
      <c r="E63" s="24">
        <f t="shared" si="13"/>
        <v>0.15</v>
      </c>
      <c r="F63" s="717"/>
      <c r="G63" s="24">
        <f t="shared" si="14"/>
        <v>0</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159"/>
      <c r="B64" s="59"/>
      <c r="C64" s="24">
        <f t="shared" si="12"/>
        <v>1</v>
      </c>
      <c r="D64" s="717"/>
      <c r="E64" s="24">
        <f t="shared" si="13"/>
        <v>0.15</v>
      </c>
      <c r="F64" s="717"/>
      <c r="G64" s="24">
        <f t="shared" si="14"/>
        <v>0</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159"/>
      <c r="B65" s="59"/>
      <c r="C65" s="24">
        <f t="shared" si="12"/>
        <v>1</v>
      </c>
      <c r="D65" s="717"/>
      <c r="E65" s="24">
        <f t="shared" si="13"/>
        <v>0.15</v>
      </c>
      <c r="F65" s="717"/>
      <c r="G65" s="24">
        <f t="shared" si="14"/>
        <v>0</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159"/>
      <c r="B66" s="59"/>
      <c r="C66" s="24">
        <f t="shared" si="12"/>
        <v>1</v>
      </c>
      <c r="D66" s="717"/>
      <c r="E66" s="24">
        <f t="shared" si="13"/>
        <v>0.15</v>
      </c>
      <c r="F66" s="717"/>
      <c r="G66" s="24">
        <f t="shared" si="14"/>
        <v>0</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159"/>
      <c r="B67" s="59"/>
      <c r="C67" s="24">
        <f t="shared" si="12"/>
        <v>1</v>
      </c>
      <c r="D67" s="717"/>
      <c r="E67" s="24">
        <f t="shared" si="13"/>
        <v>0.15</v>
      </c>
      <c r="F67" s="717"/>
      <c r="G67" s="24">
        <f t="shared" si="14"/>
        <v>0</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159"/>
      <c r="B68" s="59"/>
      <c r="C68" s="24">
        <f t="shared" si="12"/>
        <v>1</v>
      </c>
      <c r="D68" s="717"/>
      <c r="E68" s="24">
        <f t="shared" si="13"/>
        <v>0.15</v>
      </c>
      <c r="F68" s="717"/>
      <c r="G68" s="24">
        <f t="shared" si="14"/>
        <v>0</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159"/>
      <c r="B69" s="59"/>
      <c r="C69" s="24">
        <f t="shared" si="12"/>
        <v>1</v>
      </c>
      <c r="D69" s="717"/>
      <c r="E69" s="24">
        <f t="shared" si="13"/>
        <v>0.15</v>
      </c>
      <c r="F69" s="717"/>
      <c r="G69" s="24">
        <f t="shared" si="14"/>
        <v>0</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159"/>
      <c r="B70" s="59"/>
      <c r="C70" s="24">
        <f t="shared" si="12"/>
        <v>1</v>
      </c>
      <c r="D70" s="717"/>
      <c r="E70" s="24">
        <f t="shared" si="13"/>
        <v>0.15</v>
      </c>
      <c r="F70" s="717"/>
      <c r="G70" s="24">
        <f t="shared" si="14"/>
        <v>0</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159"/>
      <c r="B71" s="59"/>
      <c r="C71" s="24">
        <f t="shared" si="12"/>
        <v>1</v>
      </c>
      <c r="D71" s="717"/>
      <c r="E71" s="24">
        <f t="shared" si="13"/>
        <v>0.15</v>
      </c>
      <c r="F71" s="717"/>
      <c r="G71" s="24">
        <f t="shared" si="14"/>
        <v>0</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159"/>
      <c r="B72" s="59"/>
      <c r="C72" s="24">
        <f t="shared" si="12"/>
        <v>1</v>
      </c>
      <c r="D72" s="717"/>
      <c r="E72" s="24">
        <f t="shared" si="13"/>
        <v>0.15</v>
      </c>
      <c r="F72" s="717"/>
      <c r="G72" s="24">
        <f t="shared" si="14"/>
        <v>0</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159"/>
      <c r="B73" s="59"/>
      <c r="C73" s="24">
        <f t="shared" si="12"/>
        <v>1</v>
      </c>
      <c r="D73" s="717"/>
      <c r="E73" s="24">
        <f t="shared" si="13"/>
        <v>0.15</v>
      </c>
      <c r="F73" s="717"/>
      <c r="G73" s="24">
        <f t="shared" si="14"/>
        <v>0</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159"/>
      <c r="B74" s="59"/>
      <c r="C74" s="24">
        <f t="shared" si="12"/>
        <v>1</v>
      </c>
      <c r="D74" s="717"/>
      <c r="E74" s="24">
        <f t="shared" si="13"/>
        <v>0.15</v>
      </c>
      <c r="F74" s="717"/>
      <c r="G74" s="24">
        <f t="shared" si="14"/>
        <v>0</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159"/>
      <c r="B75" s="59"/>
      <c r="C75" s="24">
        <f t="shared" si="12"/>
        <v>1</v>
      </c>
      <c r="D75" s="717"/>
      <c r="E75" s="24">
        <f t="shared" si="13"/>
        <v>0.15</v>
      </c>
      <c r="F75" s="717"/>
      <c r="G75" s="24">
        <f t="shared" si="14"/>
        <v>0</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159"/>
      <c r="B76" s="59"/>
      <c r="C76" s="24">
        <f t="shared" si="12"/>
        <v>1</v>
      </c>
      <c r="D76" s="717"/>
      <c r="E76" s="24">
        <f t="shared" si="13"/>
        <v>0.15</v>
      </c>
      <c r="F76" s="717"/>
      <c r="G76" s="24">
        <f t="shared" si="14"/>
        <v>0</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159"/>
      <c r="B77" s="59"/>
      <c r="C77" s="24">
        <f t="shared" si="12"/>
        <v>1</v>
      </c>
      <c r="D77" s="717"/>
      <c r="E77" s="24">
        <f t="shared" si="13"/>
        <v>0.15</v>
      </c>
      <c r="F77" s="717"/>
      <c r="G77" s="24">
        <f t="shared" si="14"/>
        <v>0</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159"/>
      <c r="B78" s="59"/>
      <c r="C78" s="24">
        <f t="shared" si="12"/>
        <v>1</v>
      </c>
      <c r="D78" s="717"/>
      <c r="E78" s="24">
        <f t="shared" si="13"/>
        <v>0.15</v>
      </c>
      <c r="F78" s="717"/>
      <c r="G78" s="24">
        <f t="shared" si="14"/>
        <v>0</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159"/>
      <c r="B79" s="59"/>
      <c r="C79" s="24">
        <f t="shared" si="12"/>
        <v>1</v>
      </c>
      <c r="D79" s="717"/>
      <c r="E79" s="24">
        <f t="shared" si="13"/>
        <v>0.15</v>
      </c>
      <c r="F79" s="717"/>
      <c r="G79" s="24">
        <f t="shared" si="14"/>
        <v>0</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159"/>
      <c r="B80" s="59"/>
      <c r="C80" s="24">
        <f t="shared" si="12"/>
        <v>1</v>
      </c>
      <c r="D80" s="717"/>
      <c r="E80" s="24">
        <f t="shared" si="13"/>
        <v>0.15</v>
      </c>
      <c r="F80" s="717"/>
      <c r="G80" s="24">
        <f t="shared" si="14"/>
        <v>0</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159"/>
      <c r="B81" s="59"/>
      <c r="C81" s="24">
        <f t="shared" si="12"/>
        <v>1</v>
      </c>
      <c r="D81" s="717"/>
      <c r="E81" s="24">
        <f t="shared" si="13"/>
        <v>0.15</v>
      </c>
      <c r="F81" s="717"/>
      <c r="G81" s="24">
        <f t="shared" si="14"/>
        <v>0</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159"/>
      <c r="B82" s="59"/>
      <c r="C82" s="24">
        <f t="shared" si="12"/>
        <v>1</v>
      </c>
      <c r="D82" s="717"/>
      <c r="E82" s="24">
        <f t="shared" si="13"/>
        <v>0.15</v>
      </c>
      <c r="F82" s="717"/>
      <c r="G82" s="24">
        <f t="shared" si="14"/>
        <v>0</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159"/>
      <c r="B83" s="59"/>
      <c r="C83" s="24">
        <f t="shared" si="12"/>
        <v>1</v>
      </c>
      <c r="D83" s="717"/>
      <c r="E83" s="24">
        <f t="shared" si="13"/>
        <v>0.15</v>
      </c>
      <c r="F83" s="717"/>
      <c r="G83" s="24">
        <f t="shared" si="14"/>
        <v>0</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159"/>
      <c r="B84" s="59"/>
      <c r="C84" s="24">
        <f t="shared" si="12"/>
        <v>1</v>
      </c>
      <c r="D84" s="717"/>
      <c r="E84" s="24">
        <f t="shared" si="13"/>
        <v>0.15</v>
      </c>
      <c r="F84" s="717"/>
      <c r="G84" s="24">
        <f t="shared" si="14"/>
        <v>0</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159"/>
      <c r="B85" s="59"/>
      <c r="C85" s="24">
        <f t="shared" si="12"/>
        <v>1</v>
      </c>
      <c r="D85" s="717"/>
      <c r="E85" s="24">
        <f t="shared" si="13"/>
        <v>0.15</v>
      </c>
      <c r="F85" s="717"/>
      <c r="G85" s="24">
        <f t="shared" si="14"/>
        <v>0</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159"/>
      <c r="B86" s="59"/>
      <c r="C86" s="24">
        <f t="shared" si="12"/>
        <v>1</v>
      </c>
      <c r="D86" s="717"/>
      <c r="E86" s="24">
        <f t="shared" si="13"/>
        <v>0.15</v>
      </c>
      <c r="F86" s="717"/>
      <c r="G86" s="24">
        <f t="shared" si="14"/>
        <v>0</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159"/>
      <c r="B87" s="59"/>
      <c r="C87" s="24">
        <f t="shared" si="12"/>
        <v>1</v>
      </c>
      <c r="D87" s="717"/>
      <c r="E87" s="24">
        <f t="shared" si="13"/>
        <v>0.15</v>
      </c>
      <c r="F87" s="717"/>
      <c r="G87" s="24">
        <f t="shared" si="14"/>
        <v>0</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159"/>
      <c r="B88" s="59"/>
      <c r="C88" s="24">
        <f t="shared" si="12"/>
        <v>1</v>
      </c>
      <c r="D88" s="717"/>
      <c r="E88" s="24">
        <f t="shared" si="13"/>
        <v>0.15</v>
      </c>
      <c r="F88" s="717"/>
      <c r="G88" s="24">
        <f t="shared" si="14"/>
        <v>0</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159"/>
      <c r="B89" s="59"/>
      <c r="C89" s="24">
        <f t="shared" si="12"/>
        <v>1</v>
      </c>
      <c r="D89" s="717"/>
      <c r="E89" s="24">
        <f t="shared" si="13"/>
        <v>0.15</v>
      </c>
      <c r="F89" s="717"/>
      <c r="G89" s="24">
        <f t="shared" si="14"/>
        <v>0</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159"/>
      <c r="B90" s="59"/>
      <c r="C90" s="24">
        <f t="shared" ref="C90:C153" si="23">IF(B90="",1,(LOOKUP(B90,$3:$3,$4:$4)-LOOKUP($B$24,$3:$3,$4:$4)+100)/100)</f>
        <v>1</v>
      </c>
      <c r="D90" s="717"/>
      <c r="E90" s="24">
        <f t="shared" ref="E90:E153" si="24">(SUMIF($5:$5,D90,$6:$6)-SUMIF($5:$5,$D$24,$6:$6)+100)/100</f>
        <v>0.15</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7"/>
      <c r="E91" s="24">
        <f t="shared" si="24"/>
        <v>0.15</v>
      </c>
      <c r="F91" s="717"/>
      <c r="G91" s="24">
        <f t="shared" si="25"/>
        <v>0</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159"/>
      <c r="B92" s="59"/>
      <c r="C92" s="24">
        <f t="shared" si="23"/>
        <v>1</v>
      </c>
      <c r="D92" s="717"/>
      <c r="E92" s="24">
        <f t="shared" si="24"/>
        <v>0.15</v>
      </c>
      <c r="F92" s="717"/>
      <c r="G92" s="24">
        <f t="shared" si="25"/>
        <v>0</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159"/>
      <c r="B93" s="59"/>
      <c r="C93" s="24">
        <f t="shared" si="23"/>
        <v>1</v>
      </c>
      <c r="D93" s="717"/>
      <c r="E93" s="24">
        <f t="shared" si="24"/>
        <v>0.15</v>
      </c>
      <c r="F93" s="717"/>
      <c r="G93" s="24">
        <f t="shared" si="25"/>
        <v>0</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159"/>
      <c r="B94" s="59"/>
      <c r="C94" s="24">
        <f t="shared" si="23"/>
        <v>1</v>
      </c>
      <c r="D94" s="717"/>
      <c r="E94" s="24">
        <f t="shared" si="24"/>
        <v>0.15</v>
      </c>
      <c r="F94" s="717"/>
      <c r="G94" s="24">
        <f t="shared" si="25"/>
        <v>0</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159"/>
      <c r="B95" s="59"/>
      <c r="C95" s="24">
        <f t="shared" si="23"/>
        <v>1</v>
      </c>
      <c r="D95" s="717"/>
      <c r="E95" s="24">
        <f t="shared" si="24"/>
        <v>0.15</v>
      </c>
      <c r="F95" s="717"/>
      <c r="G95" s="24">
        <f t="shared" si="25"/>
        <v>0</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159"/>
      <c r="B96" s="59"/>
      <c r="C96" s="24">
        <f t="shared" si="23"/>
        <v>1</v>
      </c>
      <c r="D96" s="717"/>
      <c r="E96" s="24">
        <f t="shared" si="24"/>
        <v>0.15</v>
      </c>
      <c r="F96" s="717"/>
      <c r="G96" s="24">
        <f t="shared" si="25"/>
        <v>0</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159"/>
      <c r="B97" s="59"/>
      <c r="C97" s="24">
        <f t="shared" si="23"/>
        <v>1</v>
      </c>
      <c r="D97" s="717"/>
      <c r="E97" s="24">
        <f t="shared" si="24"/>
        <v>0.15</v>
      </c>
      <c r="F97" s="717"/>
      <c r="G97" s="24">
        <f t="shared" si="25"/>
        <v>0</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159"/>
      <c r="B98" s="59"/>
      <c r="C98" s="24">
        <f t="shared" si="23"/>
        <v>1</v>
      </c>
      <c r="D98" s="717"/>
      <c r="E98" s="24">
        <f t="shared" si="24"/>
        <v>0.15</v>
      </c>
      <c r="F98" s="717"/>
      <c r="G98" s="24">
        <f t="shared" si="25"/>
        <v>0</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159"/>
      <c r="B99" s="59"/>
      <c r="C99" s="24">
        <f t="shared" si="23"/>
        <v>1</v>
      </c>
      <c r="D99" s="717"/>
      <c r="E99" s="24">
        <f t="shared" si="24"/>
        <v>0.15</v>
      </c>
      <c r="F99" s="717"/>
      <c r="G99" s="24">
        <f t="shared" si="25"/>
        <v>0</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159"/>
      <c r="B100" s="59"/>
      <c r="C100" s="24">
        <f t="shared" si="23"/>
        <v>1</v>
      </c>
      <c r="D100" s="717"/>
      <c r="E100" s="24">
        <f t="shared" si="24"/>
        <v>0.15</v>
      </c>
      <c r="F100" s="717"/>
      <c r="G100" s="24">
        <f t="shared" si="25"/>
        <v>0</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159"/>
      <c r="B101" s="59"/>
      <c r="C101" s="24">
        <f t="shared" si="23"/>
        <v>1</v>
      </c>
      <c r="D101" s="717"/>
      <c r="E101" s="24">
        <f t="shared" si="24"/>
        <v>0.15</v>
      </c>
      <c r="F101" s="717"/>
      <c r="G101" s="24">
        <f t="shared" si="25"/>
        <v>0</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159"/>
      <c r="B102" s="59"/>
      <c r="C102" s="24">
        <f t="shared" si="23"/>
        <v>1</v>
      </c>
      <c r="D102" s="717"/>
      <c r="E102" s="24">
        <f t="shared" si="24"/>
        <v>0.15</v>
      </c>
      <c r="F102" s="717"/>
      <c r="G102" s="24">
        <f t="shared" si="25"/>
        <v>0</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159"/>
      <c r="B103" s="59"/>
      <c r="C103" s="24">
        <f t="shared" si="23"/>
        <v>1</v>
      </c>
      <c r="D103" s="717"/>
      <c r="E103" s="24">
        <f t="shared" si="24"/>
        <v>0.15</v>
      </c>
      <c r="F103" s="717"/>
      <c r="G103" s="24">
        <f t="shared" si="25"/>
        <v>0</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159"/>
      <c r="B104" s="59"/>
      <c r="C104" s="24">
        <f t="shared" si="23"/>
        <v>1</v>
      </c>
      <c r="D104" s="717"/>
      <c r="E104" s="24">
        <f t="shared" si="24"/>
        <v>0.15</v>
      </c>
      <c r="F104" s="717"/>
      <c r="G104" s="24">
        <f t="shared" si="25"/>
        <v>0</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159"/>
      <c r="B105" s="59"/>
      <c r="C105" s="24">
        <f t="shared" si="23"/>
        <v>1</v>
      </c>
      <c r="D105" s="717"/>
      <c r="E105" s="24">
        <f t="shared" si="24"/>
        <v>0.15</v>
      </c>
      <c r="F105" s="717"/>
      <c r="G105" s="24">
        <f t="shared" si="25"/>
        <v>0</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159"/>
      <c r="B106" s="59"/>
      <c r="C106" s="24">
        <f t="shared" si="23"/>
        <v>1</v>
      </c>
      <c r="D106" s="717"/>
      <c r="E106" s="24">
        <f t="shared" si="24"/>
        <v>0.15</v>
      </c>
      <c r="F106" s="717"/>
      <c r="G106" s="24">
        <f t="shared" si="25"/>
        <v>0</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159"/>
      <c r="B107" s="59"/>
      <c r="C107" s="24">
        <f t="shared" si="23"/>
        <v>1</v>
      </c>
      <c r="D107" s="717"/>
      <c r="E107" s="24">
        <f t="shared" si="24"/>
        <v>0.15</v>
      </c>
      <c r="F107" s="717"/>
      <c r="G107" s="24">
        <f t="shared" si="25"/>
        <v>0</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159"/>
      <c r="B108" s="59"/>
      <c r="C108" s="24">
        <f t="shared" si="23"/>
        <v>1</v>
      </c>
      <c r="D108" s="717"/>
      <c r="E108" s="24">
        <f t="shared" si="24"/>
        <v>0.15</v>
      </c>
      <c r="F108" s="717"/>
      <c r="G108" s="24">
        <f t="shared" si="25"/>
        <v>0</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159"/>
      <c r="B109" s="59"/>
      <c r="C109" s="24">
        <f t="shared" si="23"/>
        <v>1</v>
      </c>
      <c r="D109" s="717"/>
      <c r="E109" s="24">
        <f t="shared" si="24"/>
        <v>0.15</v>
      </c>
      <c r="F109" s="717"/>
      <c r="G109" s="24">
        <f t="shared" si="25"/>
        <v>0</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159"/>
      <c r="B110" s="59"/>
      <c r="C110" s="24">
        <f t="shared" si="23"/>
        <v>1</v>
      </c>
      <c r="D110" s="717"/>
      <c r="E110" s="24">
        <f t="shared" si="24"/>
        <v>0.15</v>
      </c>
      <c r="F110" s="717"/>
      <c r="G110" s="24">
        <f t="shared" si="25"/>
        <v>0</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159"/>
      <c r="B111" s="59"/>
      <c r="C111" s="24">
        <f t="shared" si="23"/>
        <v>1</v>
      </c>
      <c r="D111" s="717"/>
      <c r="E111" s="24">
        <f t="shared" si="24"/>
        <v>0.15</v>
      </c>
      <c r="F111" s="717"/>
      <c r="G111" s="24">
        <f t="shared" si="25"/>
        <v>0</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159"/>
      <c r="B112" s="59"/>
      <c r="C112" s="24">
        <f t="shared" si="23"/>
        <v>1</v>
      </c>
      <c r="D112" s="717"/>
      <c r="E112" s="24">
        <f t="shared" si="24"/>
        <v>0.15</v>
      </c>
      <c r="F112" s="717"/>
      <c r="G112" s="24">
        <f t="shared" si="25"/>
        <v>0</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159"/>
      <c r="B113" s="59"/>
      <c r="C113" s="24">
        <f t="shared" si="23"/>
        <v>1</v>
      </c>
      <c r="D113" s="717"/>
      <c r="E113" s="24">
        <f t="shared" si="24"/>
        <v>0.15</v>
      </c>
      <c r="F113" s="717"/>
      <c r="G113" s="24">
        <f t="shared" si="25"/>
        <v>0</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159"/>
      <c r="B114" s="59"/>
      <c r="C114" s="24">
        <f t="shared" si="23"/>
        <v>1</v>
      </c>
      <c r="D114" s="717"/>
      <c r="E114" s="24">
        <f t="shared" si="24"/>
        <v>0.15</v>
      </c>
      <c r="F114" s="717"/>
      <c r="G114" s="24">
        <f t="shared" si="25"/>
        <v>0</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159"/>
      <c r="B115" s="59"/>
      <c r="C115" s="24">
        <f t="shared" si="23"/>
        <v>1</v>
      </c>
      <c r="D115" s="717"/>
      <c r="E115" s="24">
        <f t="shared" si="24"/>
        <v>0.15</v>
      </c>
      <c r="F115" s="717"/>
      <c r="G115" s="24">
        <f t="shared" si="25"/>
        <v>0</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159"/>
      <c r="B116" s="59"/>
      <c r="C116" s="24">
        <f t="shared" si="23"/>
        <v>1</v>
      </c>
      <c r="D116" s="717"/>
      <c r="E116" s="24">
        <f t="shared" si="24"/>
        <v>0.15</v>
      </c>
      <c r="F116" s="717"/>
      <c r="G116" s="24">
        <f t="shared" si="25"/>
        <v>0</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159"/>
      <c r="B117" s="59"/>
      <c r="C117" s="24">
        <f t="shared" si="23"/>
        <v>1</v>
      </c>
      <c r="D117" s="717"/>
      <c r="E117" s="24">
        <f t="shared" si="24"/>
        <v>0.15</v>
      </c>
      <c r="F117" s="717"/>
      <c r="G117" s="24">
        <f t="shared" si="25"/>
        <v>0</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159"/>
      <c r="B118" s="59"/>
      <c r="C118" s="24">
        <f t="shared" si="23"/>
        <v>1</v>
      </c>
      <c r="D118" s="717"/>
      <c r="E118" s="24">
        <f t="shared" si="24"/>
        <v>0.15</v>
      </c>
      <c r="F118" s="717"/>
      <c r="G118" s="24">
        <f t="shared" si="25"/>
        <v>0</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159"/>
      <c r="B119" s="59"/>
      <c r="C119" s="24">
        <f t="shared" si="23"/>
        <v>1</v>
      </c>
      <c r="D119" s="717"/>
      <c r="E119" s="24">
        <f t="shared" si="24"/>
        <v>0.15</v>
      </c>
      <c r="F119" s="717"/>
      <c r="G119" s="24">
        <f t="shared" si="25"/>
        <v>0</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159"/>
      <c r="B120" s="59"/>
      <c r="C120" s="24">
        <f t="shared" si="23"/>
        <v>1</v>
      </c>
      <c r="D120" s="717"/>
      <c r="E120" s="24">
        <f t="shared" si="24"/>
        <v>0.15</v>
      </c>
      <c r="F120" s="717"/>
      <c r="G120" s="24">
        <f t="shared" si="25"/>
        <v>0</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159"/>
      <c r="B121" s="59"/>
      <c r="C121" s="24">
        <f t="shared" si="23"/>
        <v>1</v>
      </c>
      <c r="D121" s="717"/>
      <c r="E121" s="24">
        <f t="shared" si="24"/>
        <v>0.15</v>
      </c>
      <c r="F121" s="717"/>
      <c r="G121" s="24">
        <f t="shared" si="25"/>
        <v>0</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159"/>
      <c r="B122" s="59"/>
      <c r="C122" s="24">
        <f t="shared" si="23"/>
        <v>1</v>
      </c>
      <c r="D122" s="717"/>
      <c r="E122" s="24">
        <f t="shared" si="24"/>
        <v>0.15</v>
      </c>
      <c r="F122" s="717"/>
      <c r="G122" s="24">
        <f t="shared" si="25"/>
        <v>0</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159"/>
      <c r="B123" s="59"/>
      <c r="C123" s="24">
        <f t="shared" si="23"/>
        <v>1</v>
      </c>
      <c r="D123" s="717"/>
      <c r="E123" s="24">
        <f t="shared" si="24"/>
        <v>0.15</v>
      </c>
      <c r="F123" s="717"/>
      <c r="G123" s="24">
        <f t="shared" si="25"/>
        <v>0</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159"/>
      <c r="B124" s="59"/>
      <c r="C124" s="24">
        <f t="shared" si="23"/>
        <v>1</v>
      </c>
      <c r="D124" s="717"/>
      <c r="E124" s="24">
        <f t="shared" si="24"/>
        <v>0.15</v>
      </c>
      <c r="F124" s="717"/>
      <c r="G124" s="24">
        <f t="shared" si="25"/>
        <v>0</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159"/>
      <c r="B125" s="59"/>
      <c r="C125" s="24">
        <f t="shared" si="23"/>
        <v>1</v>
      </c>
      <c r="D125" s="717"/>
      <c r="E125" s="24">
        <f t="shared" si="24"/>
        <v>0.15</v>
      </c>
      <c r="F125" s="717"/>
      <c r="G125" s="24">
        <f t="shared" si="25"/>
        <v>0</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159"/>
      <c r="B126" s="59"/>
      <c r="C126" s="24">
        <f t="shared" si="23"/>
        <v>1</v>
      </c>
      <c r="D126" s="717"/>
      <c r="E126" s="24">
        <f t="shared" si="24"/>
        <v>0.15</v>
      </c>
      <c r="F126" s="717"/>
      <c r="G126" s="24">
        <f t="shared" si="25"/>
        <v>0</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159"/>
      <c r="B127" s="59"/>
      <c r="C127" s="24">
        <f t="shared" si="23"/>
        <v>1</v>
      </c>
      <c r="D127" s="717"/>
      <c r="E127" s="24">
        <f t="shared" si="24"/>
        <v>0.15</v>
      </c>
      <c r="F127" s="717"/>
      <c r="G127" s="24">
        <f t="shared" si="25"/>
        <v>0</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159"/>
      <c r="B128" s="59"/>
      <c r="C128" s="24">
        <f t="shared" si="23"/>
        <v>1</v>
      </c>
      <c r="D128" s="717"/>
      <c r="E128" s="24">
        <f t="shared" si="24"/>
        <v>0.15</v>
      </c>
      <c r="F128" s="717"/>
      <c r="G128" s="24">
        <f t="shared" si="25"/>
        <v>0</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159"/>
      <c r="B129" s="59"/>
      <c r="C129" s="24">
        <f t="shared" si="23"/>
        <v>1</v>
      </c>
      <c r="D129" s="717"/>
      <c r="E129" s="24">
        <f t="shared" si="24"/>
        <v>0.15</v>
      </c>
      <c r="F129" s="717"/>
      <c r="G129" s="24">
        <f t="shared" si="25"/>
        <v>0</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159"/>
      <c r="B130" s="59"/>
      <c r="C130" s="24">
        <f t="shared" si="23"/>
        <v>1</v>
      </c>
      <c r="D130" s="717"/>
      <c r="E130" s="24">
        <f t="shared" si="24"/>
        <v>0.15</v>
      </c>
      <c r="F130" s="717"/>
      <c r="G130" s="24">
        <f t="shared" si="25"/>
        <v>0</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159"/>
      <c r="B131" s="59"/>
      <c r="C131" s="24">
        <f t="shared" si="23"/>
        <v>1</v>
      </c>
      <c r="D131" s="717"/>
      <c r="E131" s="24">
        <f t="shared" si="24"/>
        <v>0.15</v>
      </c>
      <c r="F131" s="717"/>
      <c r="G131" s="24">
        <f t="shared" si="25"/>
        <v>0</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159"/>
      <c r="B132" s="59"/>
      <c r="C132" s="24">
        <f t="shared" si="23"/>
        <v>1</v>
      </c>
      <c r="D132" s="717"/>
      <c r="E132" s="24">
        <f t="shared" si="24"/>
        <v>0.15</v>
      </c>
      <c r="F132" s="717"/>
      <c r="G132" s="24">
        <f t="shared" si="25"/>
        <v>0</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159"/>
      <c r="B133" s="59"/>
      <c r="C133" s="24">
        <f t="shared" si="23"/>
        <v>1</v>
      </c>
      <c r="D133" s="717"/>
      <c r="E133" s="24">
        <f t="shared" si="24"/>
        <v>0.15</v>
      </c>
      <c r="F133" s="717"/>
      <c r="G133" s="24">
        <f t="shared" si="25"/>
        <v>0</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159"/>
      <c r="B134" s="59"/>
      <c r="C134" s="24">
        <f t="shared" si="23"/>
        <v>1</v>
      </c>
      <c r="D134" s="717"/>
      <c r="E134" s="24">
        <f t="shared" si="24"/>
        <v>0.15</v>
      </c>
      <c r="F134" s="717"/>
      <c r="G134" s="24">
        <f t="shared" si="25"/>
        <v>0</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159"/>
      <c r="B135" s="59"/>
      <c r="C135" s="24">
        <f t="shared" si="23"/>
        <v>1</v>
      </c>
      <c r="D135" s="717"/>
      <c r="E135" s="24">
        <f t="shared" si="24"/>
        <v>0.15</v>
      </c>
      <c r="F135" s="717"/>
      <c r="G135" s="24">
        <f t="shared" si="25"/>
        <v>0</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159"/>
      <c r="B136" s="59"/>
      <c r="C136" s="24">
        <f t="shared" si="23"/>
        <v>1</v>
      </c>
      <c r="D136" s="717"/>
      <c r="E136" s="24">
        <f t="shared" si="24"/>
        <v>0.15</v>
      </c>
      <c r="F136" s="717"/>
      <c r="G136" s="24">
        <f t="shared" si="25"/>
        <v>0</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159"/>
      <c r="B137" s="59"/>
      <c r="C137" s="24">
        <f t="shared" si="23"/>
        <v>1</v>
      </c>
      <c r="D137" s="717"/>
      <c r="E137" s="24">
        <f t="shared" si="24"/>
        <v>0.15</v>
      </c>
      <c r="F137" s="717"/>
      <c r="G137" s="24">
        <f t="shared" si="25"/>
        <v>0</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159"/>
      <c r="B138" s="59"/>
      <c r="C138" s="24">
        <f t="shared" si="23"/>
        <v>1</v>
      </c>
      <c r="D138" s="717"/>
      <c r="E138" s="24">
        <f t="shared" si="24"/>
        <v>0.15</v>
      </c>
      <c r="F138" s="717"/>
      <c r="G138" s="24">
        <f t="shared" si="25"/>
        <v>0</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159"/>
      <c r="B139" s="59"/>
      <c r="C139" s="24">
        <f t="shared" si="23"/>
        <v>1</v>
      </c>
      <c r="D139" s="717"/>
      <c r="E139" s="24">
        <f t="shared" si="24"/>
        <v>0.15</v>
      </c>
      <c r="F139" s="717"/>
      <c r="G139" s="24">
        <f t="shared" si="25"/>
        <v>0</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159"/>
      <c r="B140" s="59"/>
      <c r="C140" s="24">
        <f t="shared" si="23"/>
        <v>1</v>
      </c>
      <c r="D140" s="717"/>
      <c r="E140" s="24">
        <f t="shared" si="24"/>
        <v>0.15</v>
      </c>
      <c r="F140" s="717"/>
      <c r="G140" s="24">
        <f t="shared" si="25"/>
        <v>0</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159"/>
      <c r="B141" s="59"/>
      <c r="C141" s="24">
        <f t="shared" si="23"/>
        <v>1</v>
      </c>
      <c r="D141" s="717"/>
      <c r="E141" s="24">
        <f t="shared" si="24"/>
        <v>0.15</v>
      </c>
      <c r="F141" s="717"/>
      <c r="G141" s="24">
        <f t="shared" si="25"/>
        <v>0</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159"/>
      <c r="B142" s="59"/>
      <c r="C142" s="24">
        <f t="shared" si="23"/>
        <v>1</v>
      </c>
      <c r="D142" s="717"/>
      <c r="E142" s="24">
        <f t="shared" si="24"/>
        <v>0.15</v>
      </c>
      <c r="F142" s="717"/>
      <c r="G142" s="24">
        <f t="shared" si="25"/>
        <v>0</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159"/>
      <c r="B143" s="59"/>
      <c r="C143" s="24">
        <f t="shared" si="23"/>
        <v>1</v>
      </c>
      <c r="D143" s="717"/>
      <c r="E143" s="24">
        <f t="shared" si="24"/>
        <v>0.15</v>
      </c>
      <c r="F143" s="717"/>
      <c r="G143" s="24">
        <f t="shared" si="25"/>
        <v>0</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159"/>
      <c r="B144" s="59"/>
      <c r="C144" s="24">
        <f t="shared" si="23"/>
        <v>1</v>
      </c>
      <c r="D144" s="717"/>
      <c r="E144" s="24">
        <f t="shared" si="24"/>
        <v>0.15</v>
      </c>
      <c r="F144" s="717"/>
      <c r="G144" s="24">
        <f t="shared" si="25"/>
        <v>0</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159"/>
      <c r="B145" s="59"/>
      <c r="C145" s="24">
        <f t="shared" si="23"/>
        <v>1</v>
      </c>
      <c r="D145" s="717"/>
      <c r="E145" s="24">
        <f t="shared" si="24"/>
        <v>0.15</v>
      </c>
      <c r="F145" s="717"/>
      <c r="G145" s="24">
        <f t="shared" si="25"/>
        <v>0</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159"/>
      <c r="B146" s="59"/>
      <c r="C146" s="24">
        <f t="shared" si="23"/>
        <v>1</v>
      </c>
      <c r="D146" s="717"/>
      <c r="E146" s="24">
        <f t="shared" si="24"/>
        <v>0.15</v>
      </c>
      <c r="F146" s="717"/>
      <c r="G146" s="24">
        <f t="shared" si="25"/>
        <v>0</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159"/>
      <c r="B147" s="59"/>
      <c r="C147" s="24">
        <f t="shared" si="23"/>
        <v>1</v>
      </c>
      <c r="D147" s="717"/>
      <c r="E147" s="24">
        <f t="shared" si="24"/>
        <v>0.15</v>
      </c>
      <c r="F147" s="717"/>
      <c r="G147" s="24">
        <f t="shared" si="25"/>
        <v>0</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159"/>
      <c r="B148" s="59"/>
      <c r="C148" s="24">
        <f t="shared" si="23"/>
        <v>1</v>
      </c>
      <c r="D148" s="717"/>
      <c r="E148" s="24">
        <f t="shared" si="24"/>
        <v>0.15</v>
      </c>
      <c r="F148" s="717"/>
      <c r="G148" s="24">
        <f t="shared" si="25"/>
        <v>0</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159"/>
      <c r="B149" s="59"/>
      <c r="C149" s="24">
        <f t="shared" si="23"/>
        <v>1</v>
      </c>
      <c r="D149" s="717"/>
      <c r="E149" s="24">
        <f t="shared" si="24"/>
        <v>0.15</v>
      </c>
      <c r="F149" s="717"/>
      <c r="G149" s="24">
        <f t="shared" si="25"/>
        <v>0</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159"/>
      <c r="B150" s="59"/>
      <c r="C150" s="24">
        <f t="shared" si="23"/>
        <v>1</v>
      </c>
      <c r="D150" s="717"/>
      <c r="E150" s="24">
        <f t="shared" si="24"/>
        <v>0.15</v>
      </c>
      <c r="F150" s="717"/>
      <c r="G150" s="24">
        <f t="shared" si="25"/>
        <v>0</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159"/>
      <c r="B151" s="59"/>
      <c r="C151" s="24">
        <f t="shared" si="23"/>
        <v>1</v>
      </c>
      <c r="D151" s="717"/>
      <c r="E151" s="24">
        <f t="shared" si="24"/>
        <v>0.15</v>
      </c>
      <c r="F151" s="717"/>
      <c r="G151" s="24">
        <f t="shared" si="25"/>
        <v>0</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159"/>
      <c r="B152" s="59"/>
      <c r="C152" s="24">
        <f t="shared" si="23"/>
        <v>1</v>
      </c>
      <c r="D152" s="717"/>
      <c r="E152" s="24">
        <f t="shared" si="24"/>
        <v>0.15</v>
      </c>
      <c r="F152" s="717"/>
      <c r="G152" s="24">
        <f t="shared" si="25"/>
        <v>0</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159"/>
      <c r="B153" s="59"/>
      <c r="C153" s="24">
        <f t="shared" si="23"/>
        <v>1</v>
      </c>
      <c r="D153" s="717"/>
      <c r="E153" s="24">
        <f t="shared" si="24"/>
        <v>0.15</v>
      </c>
      <c r="F153" s="717"/>
      <c r="G153" s="24">
        <f t="shared" si="25"/>
        <v>0</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159"/>
      <c r="B154" s="59"/>
      <c r="C154" s="24">
        <f t="shared" ref="C154:C217" si="33">IF(B154="",1,(LOOKUP(B154,$3:$3,$4:$4)-LOOKUP($B$24,$3:$3,$4:$4)+100)/100)</f>
        <v>1</v>
      </c>
      <c r="D154" s="717"/>
      <c r="E154" s="24">
        <f t="shared" ref="E154:E217" si="34">(SUMIF($5:$5,D154,$6:$6)-SUMIF($5:$5,$D$24,$6:$6)+100)/100</f>
        <v>0.15</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7"/>
      <c r="E155" s="24">
        <f t="shared" si="34"/>
        <v>0.15</v>
      </c>
      <c r="F155" s="717"/>
      <c r="G155" s="24">
        <f t="shared" si="35"/>
        <v>0</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159"/>
      <c r="B156" s="59"/>
      <c r="C156" s="24">
        <f t="shared" si="33"/>
        <v>1</v>
      </c>
      <c r="D156" s="717"/>
      <c r="E156" s="24">
        <f t="shared" si="34"/>
        <v>0.15</v>
      </c>
      <c r="F156" s="717"/>
      <c r="G156" s="24">
        <f t="shared" si="35"/>
        <v>0</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159"/>
      <c r="B157" s="59"/>
      <c r="C157" s="24">
        <f t="shared" si="33"/>
        <v>1</v>
      </c>
      <c r="D157" s="717"/>
      <c r="E157" s="24">
        <f t="shared" si="34"/>
        <v>0.15</v>
      </c>
      <c r="F157" s="717"/>
      <c r="G157" s="24">
        <f t="shared" si="35"/>
        <v>0</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159"/>
      <c r="B158" s="59"/>
      <c r="C158" s="24">
        <f t="shared" si="33"/>
        <v>1</v>
      </c>
      <c r="D158" s="717"/>
      <c r="E158" s="24">
        <f t="shared" si="34"/>
        <v>0.15</v>
      </c>
      <c r="F158" s="717"/>
      <c r="G158" s="24">
        <f t="shared" si="35"/>
        <v>0</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159"/>
      <c r="B159" s="59"/>
      <c r="C159" s="24">
        <f t="shared" si="33"/>
        <v>1</v>
      </c>
      <c r="D159" s="717"/>
      <c r="E159" s="24">
        <f t="shared" si="34"/>
        <v>0.15</v>
      </c>
      <c r="F159" s="717"/>
      <c r="G159" s="24">
        <f t="shared" si="35"/>
        <v>0</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159"/>
      <c r="B160" s="59"/>
      <c r="C160" s="24">
        <f t="shared" si="33"/>
        <v>1</v>
      </c>
      <c r="D160" s="717"/>
      <c r="E160" s="24">
        <f t="shared" si="34"/>
        <v>0.15</v>
      </c>
      <c r="F160" s="717"/>
      <c r="G160" s="24">
        <f t="shared" si="35"/>
        <v>0</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159"/>
      <c r="B161" s="59"/>
      <c r="C161" s="24">
        <f t="shared" si="33"/>
        <v>1</v>
      </c>
      <c r="D161" s="717"/>
      <c r="E161" s="24">
        <f t="shared" si="34"/>
        <v>0.15</v>
      </c>
      <c r="F161" s="717"/>
      <c r="G161" s="24">
        <f t="shared" si="35"/>
        <v>0</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159"/>
      <c r="B162" s="59"/>
      <c r="C162" s="24">
        <f t="shared" si="33"/>
        <v>1</v>
      </c>
      <c r="D162" s="717"/>
      <c r="E162" s="24">
        <f t="shared" si="34"/>
        <v>0.15</v>
      </c>
      <c r="F162" s="717"/>
      <c r="G162" s="24">
        <f t="shared" si="35"/>
        <v>0</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159"/>
      <c r="B163" s="59"/>
      <c r="C163" s="24">
        <f t="shared" si="33"/>
        <v>1</v>
      </c>
      <c r="D163" s="717"/>
      <c r="E163" s="24">
        <f t="shared" si="34"/>
        <v>0.15</v>
      </c>
      <c r="F163" s="717"/>
      <c r="G163" s="24">
        <f t="shared" si="35"/>
        <v>0</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159"/>
      <c r="B164" s="59"/>
      <c r="C164" s="24">
        <f t="shared" si="33"/>
        <v>1</v>
      </c>
      <c r="D164" s="717"/>
      <c r="E164" s="24">
        <f t="shared" si="34"/>
        <v>0.15</v>
      </c>
      <c r="F164" s="717"/>
      <c r="G164" s="24">
        <f t="shared" si="35"/>
        <v>0</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159"/>
      <c r="B165" s="59"/>
      <c r="C165" s="24">
        <f t="shared" si="33"/>
        <v>1</v>
      </c>
      <c r="D165" s="717"/>
      <c r="E165" s="24">
        <f t="shared" si="34"/>
        <v>0.15</v>
      </c>
      <c r="F165" s="717"/>
      <c r="G165" s="24">
        <f t="shared" si="35"/>
        <v>0</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159"/>
      <c r="B166" s="59"/>
      <c r="C166" s="24">
        <f t="shared" si="33"/>
        <v>1</v>
      </c>
      <c r="D166" s="717"/>
      <c r="E166" s="24">
        <f t="shared" si="34"/>
        <v>0.15</v>
      </c>
      <c r="F166" s="717"/>
      <c r="G166" s="24">
        <f t="shared" si="35"/>
        <v>0</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159"/>
      <c r="B167" s="59"/>
      <c r="C167" s="24">
        <f t="shared" si="33"/>
        <v>1</v>
      </c>
      <c r="D167" s="717"/>
      <c r="E167" s="24">
        <f t="shared" si="34"/>
        <v>0.15</v>
      </c>
      <c r="F167" s="717"/>
      <c r="G167" s="24">
        <f t="shared" si="35"/>
        <v>0</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159"/>
      <c r="B168" s="59"/>
      <c r="C168" s="24">
        <f t="shared" si="33"/>
        <v>1</v>
      </c>
      <c r="D168" s="717"/>
      <c r="E168" s="24">
        <f t="shared" si="34"/>
        <v>0.15</v>
      </c>
      <c r="F168" s="717"/>
      <c r="G168" s="24">
        <f t="shared" si="35"/>
        <v>0</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159"/>
      <c r="B169" s="59"/>
      <c r="C169" s="24">
        <f t="shared" si="33"/>
        <v>1</v>
      </c>
      <c r="D169" s="717"/>
      <c r="E169" s="24">
        <f t="shared" si="34"/>
        <v>0.15</v>
      </c>
      <c r="F169" s="717"/>
      <c r="G169" s="24">
        <f t="shared" si="35"/>
        <v>0</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159"/>
      <c r="B170" s="59"/>
      <c r="C170" s="24">
        <f t="shared" si="33"/>
        <v>1</v>
      </c>
      <c r="D170" s="717"/>
      <c r="E170" s="24">
        <f t="shared" si="34"/>
        <v>0.15</v>
      </c>
      <c r="F170" s="717"/>
      <c r="G170" s="24">
        <f t="shared" si="35"/>
        <v>0</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0.15</v>
      </c>
      <c r="F171" s="717"/>
      <c r="G171" s="24">
        <f t="shared" si="35"/>
        <v>0</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0.15</v>
      </c>
      <c r="F172" s="717"/>
      <c r="G172" s="24">
        <f t="shared" si="35"/>
        <v>0</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0.15</v>
      </c>
      <c r="F173" s="717"/>
      <c r="G173" s="24">
        <f t="shared" si="35"/>
        <v>0</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0.15</v>
      </c>
      <c r="F174" s="717"/>
      <c r="G174" s="24">
        <f t="shared" si="35"/>
        <v>0</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0.15</v>
      </c>
      <c r="F175" s="717"/>
      <c r="G175" s="24">
        <f t="shared" si="35"/>
        <v>0</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0.15</v>
      </c>
      <c r="F176" s="717"/>
      <c r="G176" s="24">
        <f t="shared" si="35"/>
        <v>0</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0.15</v>
      </c>
      <c r="F177" s="717"/>
      <c r="G177" s="24">
        <f t="shared" si="35"/>
        <v>0</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0.15</v>
      </c>
      <c r="F178" s="717"/>
      <c r="G178" s="24">
        <f t="shared" si="35"/>
        <v>0</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0.15</v>
      </c>
      <c r="F179" s="717"/>
      <c r="G179" s="24">
        <f t="shared" si="35"/>
        <v>0</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0.15</v>
      </c>
      <c r="F180" s="717"/>
      <c r="G180" s="24">
        <f t="shared" si="35"/>
        <v>0</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0.15</v>
      </c>
      <c r="F181" s="717"/>
      <c r="G181" s="24">
        <f t="shared" si="35"/>
        <v>0</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0.15</v>
      </c>
      <c r="F182" s="717"/>
      <c r="G182" s="24">
        <f t="shared" si="35"/>
        <v>0</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0.15</v>
      </c>
      <c r="F183" s="717"/>
      <c r="G183" s="24">
        <f t="shared" si="35"/>
        <v>0</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0.15</v>
      </c>
      <c r="F184" s="717"/>
      <c r="G184" s="24">
        <f t="shared" si="35"/>
        <v>0</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0.15</v>
      </c>
      <c r="F185" s="717"/>
      <c r="G185" s="24">
        <f t="shared" si="35"/>
        <v>0</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0.15</v>
      </c>
      <c r="F186" s="717"/>
      <c r="G186" s="24">
        <f t="shared" si="35"/>
        <v>0</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0.15</v>
      </c>
      <c r="F187" s="717"/>
      <c r="G187" s="24">
        <f t="shared" si="35"/>
        <v>0</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0.15</v>
      </c>
      <c r="F188" s="717"/>
      <c r="G188" s="24">
        <f t="shared" si="35"/>
        <v>0</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0.15</v>
      </c>
      <c r="F189" s="717"/>
      <c r="G189" s="24">
        <f t="shared" si="35"/>
        <v>0</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0.15</v>
      </c>
      <c r="F190" s="717"/>
      <c r="G190" s="24">
        <f t="shared" si="35"/>
        <v>0</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0.15</v>
      </c>
      <c r="F191" s="717"/>
      <c r="G191" s="24">
        <f t="shared" si="35"/>
        <v>0</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0.15</v>
      </c>
      <c r="F192" s="717"/>
      <c r="G192" s="24">
        <f t="shared" si="35"/>
        <v>0</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0.15</v>
      </c>
      <c r="F193" s="717"/>
      <c r="G193" s="24">
        <f t="shared" si="35"/>
        <v>0</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0.15</v>
      </c>
      <c r="F194" s="717"/>
      <c r="G194" s="24">
        <f t="shared" si="35"/>
        <v>0</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0.15</v>
      </c>
      <c r="F195" s="717"/>
      <c r="G195" s="24">
        <f t="shared" si="35"/>
        <v>0</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0.15</v>
      </c>
      <c r="F196" s="717"/>
      <c r="G196" s="24">
        <f t="shared" si="35"/>
        <v>0</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0.15</v>
      </c>
      <c r="F197" s="717"/>
      <c r="G197" s="24">
        <f t="shared" si="35"/>
        <v>0</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0.15</v>
      </c>
      <c r="F198" s="717"/>
      <c r="G198" s="24">
        <f t="shared" si="35"/>
        <v>0</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0.15</v>
      </c>
      <c r="F199" s="717"/>
      <c r="G199" s="24">
        <f t="shared" si="35"/>
        <v>0</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0.15</v>
      </c>
      <c r="F200" s="717"/>
      <c r="G200" s="24">
        <f t="shared" si="35"/>
        <v>0</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0.15</v>
      </c>
      <c r="F201" s="717"/>
      <c r="G201" s="24">
        <f t="shared" si="35"/>
        <v>0</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0.15</v>
      </c>
      <c r="F202" s="717"/>
      <c r="G202" s="24">
        <f t="shared" si="35"/>
        <v>0</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0.15</v>
      </c>
      <c r="F203" s="717"/>
      <c r="G203" s="24">
        <f t="shared" si="35"/>
        <v>0</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0.15</v>
      </c>
      <c r="F204" s="717"/>
      <c r="G204" s="24">
        <f t="shared" si="35"/>
        <v>0</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0.15</v>
      </c>
      <c r="F205" s="717"/>
      <c r="G205" s="24">
        <f t="shared" si="35"/>
        <v>0</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0.15</v>
      </c>
      <c r="F206" s="717"/>
      <c r="G206" s="24">
        <f t="shared" si="35"/>
        <v>0</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0.15</v>
      </c>
      <c r="F207" s="717"/>
      <c r="G207" s="24">
        <f t="shared" si="35"/>
        <v>0</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0.15</v>
      </c>
      <c r="F208" s="717"/>
      <c r="G208" s="24">
        <f t="shared" si="35"/>
        <v>0</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0.15</v>
      </c>
      <c r="F209" s="717"/>
      <c r="G209" s="24">
        <f t="shared" si="35"/>
        <v>0</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0.15</v>
      </c>
      <c r="F210" s="717"/>
      <c r="G210" s="24">
        <f t="shared" si="35"/>
        <v>0</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0.15</v>
      </c>
      <c r="F211" s="717"/>
      <c r="G211" s="24">
        <f t="shared" si="35"/>
        <v>0</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0.15</v>
      </c>
      <c r="F212" s="717"/>
      <c r="G212" s="24">
        <f t="shared" si="35"/>
        <v>0</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0.15</v>
      </c>
      <c r="F213" s="717"/>
      <c r="G213" s="24">
        <f t="shared" si="35"/>
        <v>0</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0.15</v>
      </c>
      <c r="F214" s="717"/>
      <c r="G214" s="24">
        <f t="shared" si="35"/>
        <v>0</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0.15</v>
      </c>
      <c r="F215" s="717"/>
      <c r="G215" s="24">
        <f t="shared" si="35"/>
        <v>0</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0.15</v>
      </c>
      <c r="F216" s="717"/>
      <c r="G216" s="24">
        <f t="shared" si="35"/>
        <v>0</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0.15</v>
      </c>
      <c r="F217" s="717"/>
      <c r="G217" s="24">
        <f t="shared" si="35"/>
        <v>0</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0.15</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0.15</v>
      </c>
      <c r="F219" s="717"/>
      <c r="G219" s="24">
        <f t="shared" si="45"/>
        <v>0</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0.15</v>
      </c>
      <c r="F220" s="717"/>
      <c r="G220" s="24">
        <f t="shared" si="45"/>
        <v>0</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0.15</v>
      </c>
      <c r="F221" s="717"/>
      <c r="G221" s="24">
        <f t="shared" si="45"/>
        <v>0</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0.15</v>
      </c>
      <c r="F222" s="717"/>
      <c r="G222" s="24">
        <f t="shared" si="45"/>
        <v>0</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0.15</v>
      </c>
      <c r="F223" s="717"/>
      <c r="G223" s="24">
        <f t="shared" si="45"/>
        <v>0</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0.15</v>
      </c>
      <c r="F224" s="717"/>
      <c r="G224" s="24">
        <f t="shared" si="45"/>
        <v>0</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0.15</v>
      </c>
      <c r="F225" s="717"/>
      <c r="G225" s="24">
        <f t="shared" si="45"/>
        <v>0</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0.15</v>
      </c>
      <c r="F226" s="717"/>
      <c r="G226" s="24">
        <f t="shared" si="45"/>
        <v>0</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0.15</v>
      </c>
      <c r="F227" s="717"/>
      <c r="G227" s="24">
        <f t="shared" si="45"/>
        <v>0</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0.15</v>
      </c>
      <c r="F228" s="717"/>
      <c r="G228" s="24">
        <f t="shared" si="45"/>
        <v>0</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0.15</v>
      </c>
      <c r="F229" s="717"/>
      <c r="G229" s="24">
        <f t="shared" si="45"/>
        <v>0</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0.15</v>
      </c>
      <c r="F230" s="717"/>
      <c r="G230" s="24">
        <f t="shared" si="45"/>
        <v>0</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0.15</v>
      </c>
      <c r="F231" s="717"/>
      <c r="G231" s="24">
        <f t="shared" si="45"/>
        <v>0</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0.15</v>
      </c>
      <c r="F232" s="717"/>
      <c r="G232" s="24">
        <f t="shared" si="45"/>
        <v>0</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0.15</v>
      </c>
      <c r="F233" s="717"/>
      <c r="G233" s="24">
        <f t="shared" si="45"/>
        <v>0</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0.15</v>
      </c>
      <c r="F234" s="717"/>
      <c r="G234" s="24">
        <f t="shared" si="45"/>
        <v>0</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0.15</v>
      </c>
      <c r="F235" s="717"/>
      <c r="G235" s="24">
        <f t="shared" si="45"/>
        <v>0</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0.15</v>
      </c>
      <c r="F236" s="717"/>
      <c r="G236" s="24">
        <f t="shared" si="45"/>
        <v>0</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0.15</v>
      </c>
      <c r="F237" s="717"/>
      <c r="G237" s="24">
        <f t="shared" si="45"/>
        <v>0</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0.15</v>
      </c>
      <c r="F238" s="717"/>
      <c r="G238" s="24">
        <f t="shared" si="45"/>
        <v>0</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0.15</v>
      </c>
      <c r="F239" s="717"/>
      <c r="G239" s="24">
        <f t="shared" si="45"/>
        <v>0</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0.15</v>
      </c>
      <c r="F240" s="717"/>
      <c r="G240" s="24">
        <f t="shared" si="45"/>
        <v>0</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0.15</v>
      </c>
      <c r="F241" s="717"/>
      <c r="G241" s="24">
        <f t="shared" si="45"/>
        <v>0</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0.15</v>
      </c>
      <c r="F242" s="717"/>
      <c r="G242" s="24">
        <f t="shared" si="45"/>
        <v>0</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0.15</v>
      </c>
      <c r="F243" s="717"/>
      <c r="G243" s="24">
        <f t="shared" si="45"/>
        <v>0</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0.15</v>
      </c>
      <c r="F244" s="717"/>
      <c r="G244" s="24">
        <f t="shared" si="45"/>
        <v>0</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0.15</v>
      </c>
      <c r="F245" s="717"/>
      <c r="G245" s="24">
        <f t="shared" si="45"/>
        <v>0</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0.15</v>
      </c>
      <c r="F246" s="717"/>
      <c r="G246" s="24">
        <f t="shared" si="45"/>
        <v>0</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0.15</v>
      </c>
      <c r="F247" s="717"/>
      <c r="G247" s="24">
        <f t="shared" si="45"/>
        <v>0</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0.15</v>
      </c>
      <c r="F248" s="717"/>
      <c r="G248" s="24">
        <f t="shared" si="45"/>
        <v>0</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0.15</v>
      </c>
      <c r="F249" s="717"/>
      <c r="G249" s="24">
        <f t="shared" si="45"/>
        <v>0</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0.15</v>
      </c>
      <c r="F250" s="717"/>
      <c r="G250" s="24">
        <f t="shared" si="45"/>
        <v>0</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0.15</v>
      </c>
      <c r="F251" s="717"/>
      <c r="G251" s="24">
        <f t="shared" si="45"/>
        <v>0</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0.15</v>
      </c>
      <c r="F252" s="717"/>
      <c r="G252" s="24">
        <f t="shared" si="45"/>
        <v>0</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0.15</v>
      </c>
      <c r="F253" s="717"/>
      <c r="G253" s="24">
        <f t="shared" si="45"/>
        <v>0</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0.15</v>
      </c>
      <c r="F254" s="717"/>
      <c r="G254" s="24">
        <f t="shared" si="45"/>
        <v>0</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0.15</v>
      </c>
      <c r="F255" s="717"/>
      <c r="G255" s="24">
        <f t="shared" si="45"/>
        <v>0</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0.15</v>
      </c>
      <c r="F256" s="717"/>
      <c r="G256" s="24">
        <f t="shared" si="45"/>
        <v>0</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0.15</v>
      </c>
      <c r="F257" s="717"/>
      <c r="G257" s="24">
        <f t="shared" si="45"/>
        <v>0</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0.15</v>
      </c>
      <c r="F258" s="717"/>
      <c r="G258" s="24">
        <f t="shared" si="45"/>
        <v>0</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0.15</v>
      </c>
      <c r="F259" s="717"/>
      <c r="G259" s="24">
        <f t="shared" si="45"/>
        <v>0</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0.15</v>
      </c>
      <c r="F260" s="717"/>
      <c r="G260" s="24">
        <f t="shared" si="45"/>
        <v>0</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0.15</v>
      </c>
      <c r="F261" s="717"/>
      <c r="G261" s="24">
        <f t="shared" si="45"/>
        <v>0</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0.15</v>
      </c>
      <c r="F262" s="717"/>
      <c r="G262" s="24">
        <f t="shared" si="45"/>
        <v>0</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0.15</v>
      </c>
      <c r="F263" s="717"/>
      <c r="G263" s="24">
        <f t="shared" si="45"/>
        <v>0</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0.15</v>
      </c>
      <c r="F264" s="717"/>
      <c r="G264" s="24">
        <f t="shared" si="45"/>
        <v>0</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0.15</v>
      </c>
      <c r="F265" s="717"/>
      <c r="G265" s="24">
        <f t="shared" si="45"/>
        <v>0</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0.15</v>
      </c>
      <c r="F266" s="717"/>
      <c r="G266" s="24">
        <f t="shared" si="45"/>
        <v>0</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0.15</v>
      </c>
      <c r="F267" s="717"/>
      <c r="G267" s="24">
        <f t="shared" si="45"/>
        <v>0</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0.15</v>
      </c>
      <c r="F268" s="717"/>
      <c r="G268" s="24">
        <f t="shared" si="45"/>
        <v>0</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0.15</v>
      </c>
      <c r="F269" s="717"/>
      <c r="G269" s="24">
        <f t="shared" si="45"/>
        <v>0</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0.15</v>
      </c>
      <c r="F270" s="717"/>
      <c r="G270" s="24">
        <f t="shared" si="45"/>
        <v>0</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0.15</v>
      </c>
      <c r="F271" s="717"/>
      <c r="G271" s="24">
        <f t="shared" si="45"/>
        <v>0</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0.15</v>
      </c>
      <c r="F272" s="717"/>
      <c r="G272" s="24">
        <f t="shared" si="45"/>
        <v>0</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0.15</v>
      </c>
      <c r="F273" s="717"/>
      <c r="G273" s="24">
        <f t="shared" si="45"/>
        <v>0</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0.15</v>
      </c>
      <c r="F274" s="717"/>
      <c r="G274" s="24">
        <f t="shared" si="45"/>
        <v>0</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0.15</v>
      </c>
      <c r="F275" s="717"/>
      <c r="G275" s="24">
        <f t="shared" si="45"/>
        <v>0</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0.15</v>
      </c>
      <c r="F276" s="717"/>
      <c r="G276" s="24">
        <f t="shared" si="45"/>
        <v>0</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0.15</v>
      </c>
      <c r="F277" s="717"/>
      <c r="G277" s="24">
        <f t="shared" si="45"/>
        <v>0</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0.15</v>
      </c>
      <c r="F278" s="717"/>
      <c r="G278" s="24">
        <f t="shared" si="45"/>
        <v>0</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0.15</v>
      </c>
      <c r="F279" s="717"/>
      <c r="G279" s="24">
        <f t="shared" si="45"/>
        <v>0</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0.15</v>
      </c>
      <c r="F280" s="717"/>
      <c r="G280" s="24">
        <f t="shared" si="45"/>
        <v>0</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0.15</v>
      </c>
      <c r="F281" s="717"/>
      <c r="G281" s="24">
        <f t="shared" si="45"/>
        <v>0</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0.15</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0.15</v>
      </c>
      <c r="F283" s="717"/>
      <c r="G283" s="24">
        <f t="shared" si="55"/>
        <v>0</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0.15</v>
      </c>
      <c r="F284" s="717"/>
      <c r="G284" s="24">
        <f t="shared" si="55"/>
        <v>0</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0.15</v>
      </c>
      <c r="F285" s="717"/>
      <c r="G285" s="24">
        <f t="shared" si="55"/>
        <v>0</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0.15</v>
      </c>
      <c r="F286" s="717"/>
      <c r="G286" s="24">
        <f t="shared" si="55"/>
        <v>0</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0.15</v>
      </c>
      <c r="F287" s="717"/>
      <c r="G287" s="24">
        <f t="shared" si="55"/>
        <v>0</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0.15</v>
      </c>
      <c r="F288" s="717"/>
      <c r="G288" s="24">
        <f t="shared" si="55"/>
        <v>0</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0.15</v>
      </c>
      <c r="F289" s="717"/>
      <c r="G289" s="24">
        <f t="shared" si="55"/>
        <v>0</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0.15</v>
      </c>
      <c r="F290" s="717"/>
      <c r="G290" s="24">
        <f t="shared" si="55"/>
        <v>0</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0.15</v>
      </c>
      <c r="F291" s="717"/>
      <c r="G291" s="24">
        <f t="shared" si="55"/>
        <v>0</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0.15</v>
      </c>
      <c r="F292" s="717"/>
      <c r="G292" s="24">
        <f t="shared" si="55"/>
        <v>0</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0.15</v>
      </c>
      <c r="F293" s="717"/>
      <c r="G293" s="24">
        <f t="shared" si="55"/>
        <v>0</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0.15</v>
      </c>
      <c r="F294" s="717"/>
      <c r="G294" s="24">
        <f t="shared" si="55"/>
        <v>0</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0.15</v>
      </c>
      <c r="F295" s="717"/>
      <c r="G295" s="24">
        <f t="shared" si="55"/>
        <v>0</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0.15</v>
      </c>
      <c r="F296" s="717"/>
      <c r="G296" s="24">
        <f t="shared" si="55"/>
        <v>0</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0.15</v>
      </c>
      <c r="F297" s="717"/>
      <c r="G297" s="24">
        <f t="shared" si="55"/>
        <v>0</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0.15</v>
      </c>
      <c r="F298" s="717"/>
      <c r="G298" s="24">
        <f t="shared" si="55"/>
        <v>0</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0.15</v>
      </c>
      <c r="F299" s="717"/>
      <c r="G299" s="24">
        <f t="shared" si="55"/>
        <v>0</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0.15</v>
      </c>
      <c r="F300" s="717"/>
      <c r="G300" s="24">
        <f t="shared" si="55"/>
        <v>0</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0.15</v>
      </c>
      <c r="F301" s="717"/>
      <c r="G301" s="24">
        <f t="shared" si="55"/>
        <v>0</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0.15</v>
      </c>
      <c r="F302" s="717"/>
      <c r="G302" s="24">
        <f t="shared" si="55"/>
        <v>0</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0.15</v>
      </c>
      <c r="F303" s="717"/>
      <c r="G303" s="24">
        <f t="shared" si="55"/>
        <v>0</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0.15</v>
      </c>
      <c r="F304" s="717"/>
      <c r="G304" s="24">
        <f t="shared" si="55"/>
        <v>0</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0.15</v>
      </c>
      <c r="F305" s="717"/>
      <c r="G305" s="24">
        <f t="shared" si="55"/>
        <v>0</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0.15</v>
      </c>
      <c r="F306" s="717"/>
      <c r="G306" s="24">
        <f t="shared" si="55"/>
        <v>0</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0.15</v>
      </c>
      <c r="F307" s="717"/>
      <c r="G307" s="24">
        <f t="shared" si="55"/>
        <v>0</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0.15</v>
      </c>
      <c r="F308" s="717"/>
      <c r="G308" s="24">
        <f t="shared" si="55"/>
        <v>0</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0.15</v>
      </c>
      <c r="F309" s="717"/>
      <c r="G309" s="24">
        <f t="shared" si="55"/>
        <v>0</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0.15</v>
      </c>
      <c r="F310" s="717"/>
      <c r="G310" s="24">
        <f t="shared" si="55"/>
        <v>0</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0.15</v>
      </c>
      <c r="F311" s="717"/>
      <c r="G311" s="24">
        <f t="shared" si="55"/>
        <v>0</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0.15</v>
      </c>
      <c r="F312" s="717"/>
      <c r="G312" s="24">
        <f t="shared" si="55"/>
        <v>0</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0.15</v>
      </c>
      <c r="F313" s="717"/>
      <c r="G313" s="24">
        <f t="shared" si="55"/>
        <v>0</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0.15</v>
      </c>
      <c r="F314" s="717"/>
      <c r="G314" s="24">
        <f t="shared" si="55"/>
        <v>0</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0.15</v>
      </c>
      <c r="F315" s="717"/>
      <c r="G315" s="24">
        <f t="shared" si="55"/>
        <v>0</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0.15</v>
      </c>
      <c r="F316" s="717"/>
      <c r="G316" s="24">
        <f t="shared" si="55"/>
        <v>0</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0.15</v>
      </c>
      <c r="F317" s="717"/>
      <c r="G317" s="24">
        <f t="shared" si="55"/>
        <v>0</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0.15</v>
      </c>
      <c r="F318" s="717"/>
      <c r="G318" s="24">
        <f t="shared" si="55"/>
        <v>0</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0.15</v>
      </c>
      <c r="F319" s="717"/>
      <c r="G319" s="24">
        <f t="shared" si="55"/>
        <v>0</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0.15</v>
      </c>
      <c r="F320" s="717"/>
      <c r="G320" s="24">
        <f t="shared" si="55"/>
        <v>0</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0.15</v>
      </c>
      <c r="F321" s="717"/>
      <c r="G321" s="24">
        <f t="shared" si="55"/>
        <v>0</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0.15</v>
      </c>
      <c r="F322" s="717"/>
      <c r="G322" s="24">
        <f t="shared" si="55"/>
        <v>0</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0.15</v>
      </c>
      <c r="F323" s="717"/>
      <c r="G323" s="24">
        <f t="shared" si="55"/>
        <v>0</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0.15</v>
      </c>
      <c r="F324" s="717"/>
      <c r="G324" s="24">
        <f t="shared" si="55"/>
        <v>0</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0.15</v>
      </c>
      <c r="F325" s="717"/>
      <c r="G325" s="24">
        <f t="shared" si="55"/>
        <v>0</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0.15</v>
      </c>
      <c r="F326" s="717"/>
      <c r="G326" s="24">
        <f t="shared" si="55"/>
        <v>0</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0.15</v>
      </c>
      <c r="F327" s="717"/>
      <c r="G327" s="24">
        <f t="shared" si="55"/>
        <v>0</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0.15</v>
      </c>
      <c r="F328" s="717"/>
      <c r="G328" s="24">
        <f t="shared" si="55"/>
        <v>0</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0.15</v>
      </c>
      <c r="F329" s="717"/>
      <c r="G329" s="24">
        <f t="shared" si="55"/>
        <v>0</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0.15</v>
      </c>
      <c r="F330" s="717"/>
      <c r="G330" s="24">
        <f t="shared" si="55"/>
        <v>0</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0.15</v>
      </c>
      <c r="F331" s="717"/>
      <c r="G331" s="24">
        <f t="shared" si="55"/>
        <v>0</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0.15</v>
      </c>
      <c r="F332" s="717"/>
      <c r="G332" s="24">
        <f t="shared" si="55"/>
        <v>0</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0.15</v>
      </c>
      <c r="F333" s="717"/>
      <c r="G333" s="24">
        <f t="shared" si="55"/>
        <v>0</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0.15</v>
      </c>
      <c r="F334" s="717"/>
      <c r="G334" s="24">
        <f t="shared" si="55"/>
        <v>0</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0.15</v>
      </c>
      <c r="F335" s="717"/>
      <c r="G335" s="24">
        <f t="shared" si="55"/>
        <v>0</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0.15</v>
      </c>
      <c r="F336" s="717"/>
      <c r="G336" s="24">
        <f t="shared" si="55"/>
        <v>0</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0.15</v>
      </c>
      <c r="F337" s="717"/>
      <c r="G337" s="24">
        <f t="shared" si="55"/>
        <v>0</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0.15</v>
      </c>
      <c r="F338" s="717"/>
      <c r="G338" s="24">
        <f t="shared" si="55"/>
        <v>0</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0.15</v>
      </c>
      <c r="F339" s="717"/>
      <c r="G339" s="24">
        <f t="shared" si="55"/>
        <v>0</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0.15</v>
      </c>
      <c r="F340" s="717"/>
      <c r="G340" s="24">
        <f t="shared" si="55"/>
        <v>0</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0.15</v>
      </c>
      <c r="F341" s="717"/>
      <c r="G341" s="24">
        <f t="shared" si="55"/>
        <v>0</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0.15</v>
      </c>
      <c r="F342" s="717"/>
      <c r="G342" s="24">
        <f t="shared" si="55"/>
        <v>0</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0.15</v>
      </c>
      <c r="F343" s="717"/>
      <c r="G343" s="24">
        <f t="shared" si="55"/>
        <v>0</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0.15</v>
      </c>
      <c r="F344" s="717"/>
      <c r="G344" s="24">
        <f t="shared" si="55"/>
        <v>0</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0.15</v>
      </c>
      <c r="F345" s="717"/>
      <c r="G345" s="24">
        <f t="shared" si="55"/>
        <v>0</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0.15</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0.15</v>
      </c>
      <c r="F347" s="717"/>
      <c r="G347" s="24">
        <f t="shared" si="66"/>
        <v>0</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0.15</v>
      </c>
      <c r="F348" s="717"/>
      <c r="G348" s="24">
        <f t="shared" si="66"/>
        <v>0</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0.15</v>
      </c>
      <c r="F349" s="717"/>
      <c r="G349" s="24">
        <f t="shared" si="66"/>
        <v>0</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0.15</v>
      </c>
      <c r="F350" s="717"/>
      <c r="G350" s="24">
        <f t="shared" si="66"/>
        <v>0</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0.15</v>
      </c>
      <c r="F351" s="717"/>
      <c r="G351" s="24">
        <f t="shared" si="66"/>
        <v>0</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0.15</v>
      </c>
      <c r="F352" s="717"/>
      <c r="G352" s="24">
        <f t="shared" si="66"/>
        <v>0</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0.15</v>
      </c>
      <c r="F353" s="717"/>
      <c r="G353" s="24">
        <f t="shared" si="66"/>
        <v>0</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0.15</v>
      </c>
      <c r="F354" s="717"/>
      <c r="G354" s="24">
        <f t="shared" si="66"/>
        <v>0</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0.15</v>
      </c>
      <c r="F355" s="717"/>
      <c r="G355" s="24">
        <f t="shared" si="66"/>
        <v>0</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0.15</v>
      </c>
      <c r="F356" s="717"/>
      <c r="G356" s="24">
        <f t="shared" si="66"/>
        <v>0</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0.15</v>
      </c>
      <c r="F357" s="717"/>
      <c r="G357" s="24">
        <f t="shared" si="66"/>
        <v>0</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0.15</v>
      </c>
      <c r="F358" s="717"/>
      <c r="G358" s="24">
        <f t="shared" si="66"/>
        <v>0</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0.15</v>
      </c>
      <c r="F359" s="717"/>
      <c r="G359" s="24">
        <f t="shared" si="66"/>
        <v>0</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0.15</v>
      </c>
      <c r="F360" s="717"/>
      <c r="G360" s="24">
        <f t="shared" si="66"/>
        <v>0</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0.15</v>
      </c>
      <c r="F361" s="717"/>
      <c r="G361" s="24">
        <f t="shared" si="66"/>
        <v>0</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0.15</v>
      </c>
      <c r="F362" s="717"/>
      <c r="G362" s="24">
        <f t="shared" si="66"/>
        <v>0</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0.15</v>
      </c>
      <c r="F363" s="717"/>
      <c r="G363" s="24">
        <f t="shared" si="66"/>
        <v>0</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0.15</v>
      </c>
      <c r="F364" s="717"/>
      <c r="G364" s="24">
        <f t="shared" si="66"/>
        <v>0</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0.15</v>
      </c>
      <c r="F365" s="717"/>
      <c r="G365" s="24">
        <f t="shared" si="66"/>
        <v>0</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0.15</v>
      </c>
      <c r="F366" s="717"/>
      <c r="G366" s="24">
        <f t="shared" si="66"/>
        <v>0</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0.15</v>
      </c>
      <c r="F367" s="717"/>
      <c r="G367" s="24">
        <f t="shared" si="66"/>
        <v>0</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0.15</v>
      </c>
      <c r="F368" s="717"/>
      <c r="G368" s="24">
        <f t="shared" si="66"/>
        <v>0</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0.15</v>
      </c>
      <c r="F369" s="717"/>
      <c r="G369" s="24">
        <f t="shared" si="66"/>
        <v>0</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0.15</v>
      </c>
      <c r="F370" s="717"/>
      <c r="G370" s="24">
        <f t="shared" si="66"/>
        <v>0</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0.15</v>
      </c>
      <c r="F371" s="717"/>
      <c r="G371" s="24">
        <f t="shared" si="66"/>
        <v>0</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0.15</v>
      </c>
      <c r="F372" s="717"/>
      <c r="G372" s="24">
        <f t="shared" si="66"/>
        <v>0</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0.15</v>
      </c>
      <c r="F373" s="717"/>
      <c r="G373" s="24">
        <f t="shared" si="66"/>
        <v>0</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0.15</v>
      </c>
      <c r="F374" s="717"/>
      <c r="G374" s="24">
        <f t="shared" si="66"/>
        <v>0</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0.15</v>
      </c>
      <c r="F375" s="717"/>
      <c r="G375" s="24">
        <f t="shared" si="66"/>
        <v>0</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0.15</v>
      </c>
      <c r="F376" s="717"/>
      <c r="G376" s="24">
        <f t="shared" si="66"/>
        <v>0</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0.15</v>
      </c>
      <c r="F377" s="717"/>
      <c r="G377" s="24">
        <f t="shared" si="66"/>
        <v>0</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0.15</v>
      </c>
      <c r="F378" s="717"/>
      <c r="G378" s="24">
        <f t="shared" si="66"/>
        <v>0</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0.15</v>
      </c>
      <c r="F379" s="717"/>
      <c r="G379" s="24">
        <f t="shared" si="66"/>
        <v>0</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0.15</v>
      </c>
      <c r="F380" s="717"/>
      <c r="G380" s="24">
        <f t="shared" si="66"/>
        <v>0</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0.15</v>
      </c>
      <c r="F381" s="717"/>
      <c r="G381" s="24">
        <f t="shared" si="66"/>
        <v>0</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0.15</v>
      </c>
      <c r="F382" s="717"/>
      <c r="G382" s="24">
        <f t="shared" si="66"/>
        <v>0</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0.15</v>
      </c>
      <c r="F383" s="717"/>
      <c r="G383" s="24">
        <f t="shared" si="66"/>
        <v>0</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0.15</v>
      </c>
      <c r="F384" s="717"/>
      <c r="G384" s="24">
        <f t="shared" si="66"/>
        <v>0</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0.15</v>
      </c>
      <c r="F385" s="717"/>
      <c r="G385" s="24">
        <f t="shared" si="66"/>
        <v>0</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0.15</v>
      </c>
      <c r="F386" s="717"/>
      <c r="G386" s="24">
        <f t="shared" si="66"/>
        <v>0</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0.15</v>
      </c>
      <c r="F387" s="717"/>
      <c r="G387" s="24">
        <f t="shared" si="66"/>
        <v>0</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0.15</v>
      </c>
      <c r="F388" s="717"/>
      <c r="G388" s="24">
        <f t="shared" si="66"/>
        <v>0</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0.15</v>
      </c>
      <c r="F389" s="717"/>
      <c r="G389" s="24">
        <f t="shared" si="66"/>
        <v>0</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0.15</v>
      </c>
      <c r="F390" s="717"/>
      <c r="G390" s="24">
        <f t="shared" si="66"/>
        <v>0</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0.15</v>
      </c>
      <c r="F391" s="717"/>
      <c r="G391" s="24">
        <f t="shared" si="66"/>
        <v>0</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0.15</v>
      </c>
      <c r="F392" s="717"/>
      <c r="G392" s="24">
        <f t="shared" si="66"/>
        <v>0</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0.15</v>
      </c>
      <c r="F393" s="717"/>
      <c r="G393" s="24">
        <f t="shared" si="66"/>
        <v>0</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0.15</v>
      </c>
      <c r="F394" s="717"/>
      <c r="G394" s="24">
        <f t="shared" si="66"/>
        <v>0</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0.15</v>
      </c>
      <c r="F395" s="717"/>
      <c r="G395" s="24">
        <f t="shared" si="66"/>
        <v>0</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0.15</v>
      </c>
      <c r="F396" s="717"/>
      <c r="G396" s="24">
        <f t="shared" si="66"/>
        <v>0</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0.15</v>
      </c>
      <c r="F397" s="717"/>
      <c r="G397" s="24">
        <f t="shared" si="66"/>
        <v>0</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0.15</v>
      </c>
      <c r="F398" s="717"/>
      <c r="G398" s="24">
        <f t="shared" si="66"/>
        <v>0</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0.15</v>
      </c>
      <c r="F399" s="717"/>
      <c r="G399" s="24">
        <f t="shared" si="66"/>
        <v>0</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0.15</v>
      </c>
      <c r="F400" s="717"/>
      <c r="G400" s="24">
        <f t="shared" si="66"/>
        <v>0</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0.15</v>
      </c>
      <c r="F401" s="717"/>
      <c r="G401" s="24">
        <f t="shared" si="66"/>
        <v>0</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0.15</v>
      </c>
      <c r="F402" s="717"/>
      <c r="G402" s="24">
        <f t="shared" si="66"/>
        <v>0</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0.15</v>
      </c>
      <c r="F403" s="717"/>
      <c r="G403" s="24">
        <f t="shared" si="66"/>
        <v>0</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0.15</v>
      </c>
      <c r="F404" s="717"/>
      <c r="G404" s="24">
        <f t="shared" si="66"/>
        <v>0</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0.15</v>
      </c>
      <c r="F405" s="717"/>
      <c r="G405" s="24">
        <f t="shared" si="66"/>
        <v>0</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0.15</v>
      </c>
      <c r="F406" s="717"/>
      <c r="G406" s="24">
        <f t="shared" si="66"/>
        <v>0</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0.15</v>
      </c>
      <c r="F407" s="717"/>
      <c r="G407" s="24">
        <f t="shared" si="66"/>
        <v>0</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0.15</v>
      </c>
      <c r="F408" s="717"/>
      <c r="G408" s="24">
        <f t="shared" si="66"/>
        <v>0</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0.15</v>
      </c>
      <c r="F409" s="717"/>
      <c r="G409" s="24">
        <f t="shared" si="66"/>
        <v>0</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0.15</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0.15</v>
      </c>
      <c r="F411" s="717"/>
      <c r="G411" s="24">
        <f t="shared" si="76"/>
        <v>0</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0.15</v>
      </c>
      <c r="F412" s="717"/>
      <c r="G412" s="24">
        <f t="shared" si="76"/>
        <v>0</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0.15</v>
      </c>
      <c r="F413" s="717"/>
      <c r="G413" s="24">
        <f t="shared" si="76"/>
        <v>0</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0.15</v>
      </c>
      <c r="F414" s="717"/>
      <c r="G414" s="24">
        <f t="shared" si="76"/>
        <v>0</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0.15</v>
      </c>
      <c r="F415" s="717"/>
      <c r="G415" s="24">
        <f t="shared" si="76"/>
        <v>0</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0.15</v>
      </c>
      <c r="F416" s="717"/>
      <c r="G416" s="24">
        <f t="shared" si="76"/>
        <v>0</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0.15</v>
      </c>
      <c r="F417" s="717"/>
      <c r="G417" s="24">
        <f t="shared" si="76"/>
        <v>0</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0.15</v>
      </c>
      <c r="F418" s="717"/>
      <c r="G418" s="24">
        <f t="shared" si="76"/>
        <v>0</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0.15</v>
      </c>
      <c r="F419" s="717"/>
      <c r="G419" s="24">
        <f t="shared" si="76"/>
        <v>0</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0.15</v>
      </c>
      <c r="F420" s="717"/>
      <c r="G420" s="24">
        <f t="shared" si="76"/>
        <v>0</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0.15</v>
      </c>
      <c r="F421" s="717"/>
      <c r="G421" s="24">
        <f t="shared" si="76"/>
        <v>0</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0.15</v>
      </c>
      <c r="F422" s="717"/>
      <c r="G422" s="24">
        <f t="shared" si="76"/>
        <v>0</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0.15</v>
      </c>
      <c r="F423" s="717"/>
      <c r="G423" s="24">
        <f t="shared" si="76"/>
        <v>0</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0.15</v>
      </c>
      <c r="F424" s="717"/>
      <c r="G424" s="24">
        <f t="shared" si="76"/>
        <v>0</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0.15</v>
      </c>
      <c r="F425" s="717"/>
      <c r="G425" s="24">
        <f t="shared" si="76"/>
        <v>0</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0.15</v>
      </c>
      <c r="F426" s="717"/>
      <c r="G426" s="24">
        <f t="shared" si="76"/>
        <v>0</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0.15</v>
      </c>
      <c r="F427" s="717"/>
      <c r="G427" s="24">
        <f t="shared" si="76"/>
        <v>0</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0.15</v>
      </c>
      <c r="F428" s="717"/>
      <c r="G428" s="24">
        <f t="shared" si="76"/>
        <v>0</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0.15</v>
      </c>
      <c r="F429" s="717"/>
      <c r="G429" s="24">
        <f t="shared" si="76"/>
        <v>0</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0.15</v>
      </c>
      <c r="F430" s="717"/>
      <c r="G430" s="24">
        <f t="shared" si="76"/>
        <v>0</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0.15</v>
      </c>
      <c r="F431" s="717"/>
      <c r="G431" s="24">
        <f t="shared" si="76"/>
        <v>0</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0.15</v>
      </c>
      <c r="F432" s="717"/>
      <c r="G432" s="24">
        <f t="shared" si="76"/>
        <v>0</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0.15</v>
      </c>
      <c r="F433" s="717"/>
      <c r="G433" s="24">
        <f t="shared" si="76"/>
        <v>0</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0.15</v>
      </c>
      <c r="F434" s="717"/>
      <c r="G434" s="24">
        <f t="shared" si="76"/>
        <v>0</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0.15</v>
      </c>
      <c r="F435" s="717"/>
      <c r="G435" s="24">
        <f t="shared" si="76"/>
        <v>0</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0.15</v>
      </c>
      <c r="F436" s="717"/>
      <c r="G436" s="24">
        <f t="shared" si="76"/>
        <v>0</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0.15</v>
      </c>
      <c r="F437" s="717"/>
      <c r="G437" s="24">
        <f t="shared" si="76"/>
        <v>0</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0.15</v>
      </c>
      <c r="F438" s="717"/>
      <c r="G438" s="24">
        <f t="shared" si="76"/>
        <v>0</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0.15</v>
      </c>
      <c r="F439" s="717"/>
      <c r="G439" s="24">
        <f t="shared" si="76"/>
        <v>0</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0.15</v>
      </c>
      <c r="F440" s="717"/>
      <c r="G440" s="24">
        <f t="shared" si="76"/>
        <v>0</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0.15</v>
      </c>
      <c r="F441" s="717"/>
      <c r="G441" s="24">
        <f t="shared" si="76"/>
        <v>0</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0.15</v>
      </c>
      <c r="F442" s="717"/>
      <c r="G442" s="24">
        <f t="shared" si="76"/>
        <v>0</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0.15</v>
      </c>
      <c r="F443" s="717"/>
      <c r="G443" s="24">
        <f t="shared" si="76"/>
        <v>0</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0.15</v>
      </c>
      <c r="F444" s="717"/>
      <c r="G444" s="24">
        <f t="shared" si="76"/>
        <v>0</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0.15</v>
      </c>
      <c r="F445" s="717"/>
      <c r="G445" s="24">
        <f t="shared" si="76"/>
        <v>0</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0.15</v>
      </c>
      <c r="F446" s="717"/>
      <c r="G446" s="24">
        <f t="shared" si="76"/>
        <v>0</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0.15</v>
      </c>
      <c r="F447" s="717"/>
      <c r="G447" s="24">
        <f t="shared" si="76"/>
        <v>0</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0.15</v>
      </c>
      <c r="F448" s="717"/>
      <c r="G448" s="24">
        <f t="shared" si="76"/>
        <v>0</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0.15</v>
      </c>
      <c r="F449" s="717"/>
      <c r="G449" s="24">
        <f t="shared" si="76"/>
        <v>0</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0.15</v>
      </c>
      <c r="F450" s="717"/>
      <c r="G450" s="24">
        <f t="shared" si="76"/>
        <v>0</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0.15</v>
      </c>
      <c r="F451" s="717"/>
      <c r="G451" s="24">
        <f t="shared" si="76"/>
        <v>0</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0.15</v>
      </c>
      <c r="F452" s="717"/>
      <c r="G452" s="24">
        <f t="shared" si="76"/>
        <v>0</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0.15</v>
      </c>
      <c r="F453" s="717"/>
      <c r="G453" s="24">
        <f t="shared" si="76"/>
        <v>0</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0.15</v>
      </c>
      <c r="F454" s="717"/>
      <c r="G454" s="24">
        <f t="shared" si="76"/>
        <v>0</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0.15</v>
      </c>
      <c r="F455" s="717"/>
      <c r="G455" s="24">
        <f t="shared" si="76"/>
        <v>0</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0.15</v>
      </c>
      <c r="F456" s="717"/>
      <c r="G456" s="24">
        <f t="shared" si="76"/>
        <v>0</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0.15</v>
      </c>
      <c r="F457" s="717"/>
      <c r="G457" s="24">
        <f t="shared" si="76"/>
        <v>0</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0.15</v>
      </c>
      <c r="F458" s="717"/>
      <c r="G458" s="24">
        <f t="shared" si="76"/>
        <v>0</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0.15</v>
      </c>
      <c r="F459" s="717"/>
      <c r="G459" s="24">
        <f t="shared" si="76"/>
        <v>0</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0.15</v>
      </c>
      <c r="F460" s="717"/>
      <c r="G460" s="24">
        <f t="shared" si="76"/>
        <v>0</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0.15</v>
      </c>
      <c r="F461" s="717"/>
      <c r="G461" s="24">
        <f t="shared" si="76"/>
        <v>0</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0.15</v>
      </c>
      <c r="F462" s="717"/>
      <c r="G462" s="24">
        <f t="shared" si="76"/>
        <v>0</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0.15</v>
      </c>
      <c r="F463" s="717"/>
      <c r="G463" s="24">
        <f t="shared" si="76"/>
        <v>0</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0.15</v>
      </c>
      <c r="F464" s="717"/>
      <c r="G464" s="24">
        <f t="shared" si="76"/>
        <v>0</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0.15</v>
      </c>
      <c r="F465" s="717"/>
      <c r="G465" s="24">
        <f t="shared" si="76"/>
        <v>0</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0.15</v>
      </c>
      <c r="F466" s="717"/>
      <c r="G466" s="24">
        <f t="shared" si="76"/>
        <v>0</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0.15</v>
      </c>
      <c r="F467" s="717"/>
      <c r="G467" s="24">
        <f t="shared" si="76"/>
        <v>0</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0.15</v>
      </c>
      <c r="F468" s="717"/>
      <c r="G468" s="24">
        <f t="shared" si="76"/>
        <v>0</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0.15</v>
      </c>
      <c r="F469" s="717"/>
      <c r="G469" s="24">
        <f t="shared" si="76"/>
        <v>0</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0.15</v>
      </c>
      <c r="F470" s="717"/>
      <c r="G470" s="24">
        <f t="shared" si="76"/>
        <v>0</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0.15</v>
      </c>
      <c r="F471" s="717"/>
      <c r="G471" s="24">
        <f t="shared" si="76"/>
        <v>0</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0.15</v>
      </c>
      <c r="F472" s="717"/>
      <c r="G472" s="24">
        <f t="shared" si="76"/>
        <v>0</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0.15</v>
      </c>
      <c r="F473" s="717"/>
      <c r="G473" s="24">
        <f t="shared" si="76"/>
        <v>0</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0.15</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0.15</v>
      </c>
      <c r="F475" s="717"/>
      <c r="G475" s="24">
        <f t="shared" si="87"/>
        <v>0</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0.15</v>
      </c>
      <c r="F476" s="717"/>
      <c r="G476" s="24">
        <f t="shared" si="87"/>
        <v>0</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0.15</v>
      </c>
      <c r="F477" s="717"/>
      <c r="G477" s="24">
        <f t="shared" si="87"/>
        <v>0</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0.15</v>
      </c>
      <c r="F478" s="717"/>
      <c r="G478" s="24">
        <f t="shared" si="87"/>
        <v>0</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0.15</v>
      </c>
      <c r="F479" s="717"/>
      <c r="G479" s="24">
        <f t="shared" si="87"/>
        <v>0</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0.15</v>
      </c>
      <c r="F480" s="717"/>
      <c r="G480" s="24">
        <f t="shared" si="87"/>
        <v>0</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0.15</v>
      </c>
      <c r="F481" s="717"/>
      <c r="G481" s="24">
        <f t="shared" si="87"/>
        <v>0</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0.15</v>
      </c>
      <c r="F482" s="717"/>
      <c r="G482" s="24">
        <f t="shared" si="87"/>
        <v>0</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0.15</v>
      </c>
      <c r="F483" s="717"/>
      <c r="G483" s="24">
        <f t="shared" si="87"/>
        <v>0</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0.15</v>
      </c>
      <c r="F484" s="717"/>
      <c r="G484" s="24">
        <f t="shared" si="87"/>
        <v>0</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0.15</v>
      </c>
      <c r="F485" s="717"/>
      <c r="G485" s="24">
        <f t="shared" si="87"/>
        <v>0</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0.15</v>
      </c>
      <c r="F486" s="717"/>
      <c r="G486" s="24">
        <f t="shared" si="87"/>
        <v>0</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0.15</v>
      </c>
      <c r="F487" s="717"/>
      <c r="G487" s="24">
        <f t="shared" si="87"/>
        <v>0</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0.15</v>
      </c>
      <c r="F488" s="717"/>
      <c r="G488" s="24">
        <f t="shared" si="87"/>
        <v>0</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0.15</v>
      </c>
      <c r="F489" s="717"/>
      <c r="G489" s="24">
        <f t="shared" si="87"/>
        <v>0</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0.15</v>
      </c>
      <c r="F490" s="717"/>
      <c r="G490" s="24">
        <f t="shared" si="87"/>
        <v>0</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0.15</v>
      </c>
      <c r="F491" s="717"/>
      <c r="G491" s="24">
        <f t="shared" si="87"/>
        <v>0</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0.15</v>
      </c>
      <c r="F492" s="717"/>
      <c r="G492" s="24">
        <f t="shared" si="87"/>
        <v>0</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0.15</v>
      </c>
      <c r="F493" s="717"/>
      <c r="G493" s="24">
        <f t="shared" si="87"/>
        <v>0</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0.15</v>
      </c>
      <c r="F494" s="717"/>
      <c r="G494" s="24">
        <f t="shared" si="87"/>
        <v>0</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0.15</v>
      </c>
      <c r="F495" s="717"/>
      <c r="G495" s="24">
        <f t="shared" si="87"/>
        <v>0</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0.15</v>
      </c>
      <c r="F496" s="717"/>
      <c r="G496" s="24">
        <f t="shared" si="87"/>
        <v>0</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0.15</v>
      </c>
      <c r="F497" s="717"/>
      <c r="G497" s="24">
        <f t="shared" si="87"/>
        <v>0</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0.15</v>
      </c>
      <c r="F498" s="717"/>
      <c r="G498" s="24">
        <f t="shared" si="87"/>
        <v>0</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0.15</v>
      </c>
      <c r="F499" s="717"/>
      <c r="G499" s="24">
        <f t="shared" si="87"/>
        <v>0</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0.15</v>
      </c>
      <c r="F500" s="717"/>
      <c r="G500" s="24">
        <f t="shared" si="87"/>
        <v>0</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0.15</v>
      </c>
      <c r="F501" s="717"/>
      <c r="G501" s="24">
        <f t="shared" si="87"/>
        <v>0</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0.15</v>
      </c>
      <c r="F502" s="717"/>
      <c r="G502" s="24">
        <f t="shared" si="87"/>
        <v>0</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0.15</v>
      </c>
      <c r="F503" s="717"/>
      <c r="G503" s="24">
        <f t="shared" si="87"/>
        <v>0</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0.15</v>
      </c>
      <c r="F504" s="717"/>
      <c r="G504" s="24">
        <f t="shared" si="87"/>
        <v>0</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0.15</v>
      </c>
      <c r="F505" s="717"/>
      <c r="G505" s="24">
        <f t="shared" si="87"/>
        <v>0</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0.15</v>
      </c>
      <c r="F506" s="717"/>
      <c r="G506" s="24">
        <f t="shared" si="87"/>
        <v>0</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0.15</v>
      </c>
      <c r="F507" s="717"/>
      <c r="G507" s="24">
        <f t="shared" si="87"/>
        <v>0</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0.15</v>
      </c>
      <c r="F508" s="717"/>
      <c r="G508" s="24">
        <f t="shared" si="87"/>
        <v>0</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0.15</v>
      </c>
      <c r="F509" s="717"/>
      <c r="G509" s="24">
        <f t="shared" si="87"/>
        <v>0</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0.15</v>
      </c>
      <c r="F510" s="717"/>
      <c r="G510" s="24">
        <f t="shared" si="87"/>
        <v>0</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0.15</v>
      </c>
      <c r="F511" s="717"/>
      <c r="G511" s="24">
        <f t="shared" si="87"/>
        <v>0</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0.15</v>
      </c>
      <c r="F512" s="717"/>
      <c r="G512" s="24">
        <f t="shared" si="87"/>
        <v>0</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0.15</v>
      </c>
      <c r="F513" s="717"/>
      <c r="G513" s="24">
        <f t="shared" si="87"/>
        <v>0</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0.15</v>
      </c>
      <c r="F514" s="717"/>
      <c r="G514" s="24">
        <f t="shared" si="87"/>
        <v>0</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0.15</v>
      </c>
      <c r="F515" s="717"/>
      <c r="G515" s="24">
        <f t="shared" si="87"/>
        <v>0</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0.15</v>
      </c>
      <c r="F516" s="717"/>
      <c r="G516" s="24">
        <f t="shared" si="87"/>
        <v>0</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0.15</v>
      </c>
      <c r="F517" s="717"/>
      <c r="G517" s="24">
        <f t="shared" si="87"/>
        <v>0</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0.15</v>
      </c>
      <c r="F518" s="717"/>
      <c r="G518" s="24">
        <f t="shared" si="87"/>
        <v>0</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0.15</v>
      </c>
      <c r="F519" s="717"/>
      <c r="G519" s="24">
        <f t="shared" si="87"/>
        <v>0</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0.15</v>
      </c>
      <c r="F520" s="717"/>
      <c r="G520" s="24">
        <f t="shared" si="87"/>
        <v>0</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0.15</v>
      </c>
      <c r="F521" s="717"/>
      <c r="G521" s="24">
        <f t="shared" si="87"/>
        <v>0</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0.15</v>
      </c>
      <c r="F522" s="717"/>
      <c r="G522" s="24">
        <f t="shared" si="87"/>
        <v>0</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0.15</v>
      </c>
      <c r="F523" s="717"/>
      <c r="G523" s="24">
        <f t="shared" si="87"/>
        <v>0</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0.15</v>
      </c>
      <c r="F524" s="717"/>
      <c r="G524" s="24">
        <f t="shared" si="87"/>
        <v>0</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1"/>
      <c r="B4" s="2975" t="s">
        <v>1630</v>
      </c>
      <c r="C4" s="2975"/>
      <c r="D4" s="2975"/>
      <c r="E4" s="1961"/>
    </row>
    <row r="5" spans="1:5" ht="16.5" thickTop="1">
      <c r="A5" s="1959"/>
      <c r="B5" s="2973" t="s">
        <v>1622</v>
      </c>
      <c r="C5" s="1962" t="s">
        <v>1623</v>
      </c>
      <c r="D5" s="1040">
        <f ca="1">结果表!H101</f>
        <v>133</v>
      </c>
      <c r="E5" s="1959"/>
    </row>
    <row r="6" spans="1:5" ht="15.75">
      <c r="A6" s="1959"/>
      <c r="B6" s="2973"/>
      <c r="C6" s="1962" t="s">
        <v>1624</v>
      </c>
      <c r="D6" s="1040" t="str">
        <f ca="1">NUMBERSTRING(INT(D5*10000),2)&amp;"元整"</f>
        <v>壹佰叁拾叁万元整</v>
      </c>
      <c r="E6" s="1959"/>
    </row>
    <row r="7" spans="1:5" ht="15.75">
      <c r="A7" s="1959"/>
      <c r="B7" s="2978"/>
      <c r="C7" s="1963" t="s">
        <v>1625</v>
      </c>
      <c r="D7" s="1041">
        <f ca="1">结果表!H102</f>
        <v>24390</v>
      </c>
      <c r="E7" s="1959"/>
    </row>
    <row r="8" spans="1:5" ht="15.75">
      <c r="A8" s="1959"/>
      <c r="B8" s="2979" t="str">
        <f>结果表!E103</f>
        <v>2.估价师知悉的法定优先受偿款</v>
      </c>
      <c r="C8" s="1964" t="s">
        <v>1626</v>
      </c>
      <c r="D8" s="1041">
        <f>结果表!H103</f>
        <v>0</v>
      </c>
      <c r="E8" s="1959"/>
    </row>
    <row r="9" spans="1:5" ht="15.75">
      <c r="A9" s="1959"/>
      <c r="B9" s="2981"/>
      <c r="C9" s="1962" t="s">
        <v>1624</v>
      </c>
      <c r="D9" s="1040" t="str">
        <f>NUMBERSTRING(INT(D8*10000),2)&amp;"元整"</f>
        <v>零元整</v>
      </c>
      <c r="E9" s="1959"/>
    </row>
    <row r="10" spans="1:5" ht="15">
      <c r="A10" s="1959"/>
      <c r="B10" s="1965" t="s">
        <v>1629</v>
      </c>
      <c r="C10" s="1966" t="s">
        <v>1627</v>
      </c>
      <c r="D10" s="1042">
        <f>结果表!H104</f>
        <v>0</v>
      </c>
      <c r="E10" s="1959"/>
    </row>
    <row r="11" spans="1:5" ht="15">
      <c r="A11" s="1959"/>
      <c r="B11" s="1965" t="s">
        <v>1631</v>
      </c>
      <c r="C11" s="1966" t="s">
        <v>1632</v>
      </c>
      <c r="D11" s="1042">
        <f>结果表!H105</f>
        <v>0</v>
      </c>
      <c r="E11" s="1959"/>
    </row>
    <row r="12" spans="1:5" ht="15">
      <c r="A12" s="1959"/>
      <c r="B12" s="1965" t="s">
        <v>1633</v>
      </c>
      <c r="C12" s="1966" t="s">
        <v>1632</v>
      </c>
      <c r="D12" s="1042">
        <f>结果表!H106</f>
        <v>0</v>
      </c>
      <c r="E12" s="1959"/>
    </row>
    <row r="13" spans="1:5" ht="15.75">
      <c r="A13" s="1959"/>
      <c r="B13" s="2972" t="str">
        <f>结果表!E107</f>
        <v>3.房地产抵押价值</v>
      </c>
      <c r="C13" s="1967" t="s">
        <v>1623</v>
      </c>
      <c r="D13" s="1043">
        <f ca="1">结果表!H107</f>
        <v>133</v>
      </c>
      <c r="E13" s="1959"/>
    </row>
    <row r="14" spans="1:5" ht="15.75">
      <c r="A14" s="1959"/>
      <c r="B14" s="2973"/>
      <c r="C14" s="1962" t="s">
        <v>1624</v>
      </c>
      <c r="D14" s="1040" t="str">
        <f ca="1">NUMBERSTRING(INT(D13*10000),2)&amp;"元整"</f>
        <v>壹佰叁拾叁万元整</v>
      </c>
      <c r="E14" s="1959"/>
    </row>
    <row r="15" spans="1:5" ht="15">
      <c r="A15" s="1959"/>
      <c r="B15" s="2978"/>
      <c r="C15" s="1963" t="s">
        <v>1634</v>
      </c>
      <c r="D15" s="1052">
        <f ca="1">结果表!H108</f>
        <v>155</v>
      </c>
      <c r="E15" s="1959"/>
    </row>
    <row r="16" spans="1:5" ht="15">
      <c r="A16" s="1959"/>
      <c r="B16" s="2979" t="str">
        <f>结果表!E109</f>
        <v>——</v>
      </c>
      <c r="C16" s="1967" t="s">
        <v>1635</v>
      </c>
      <c r="D16" s="1968" t="str">
        <f>结果表!H109</f>
        <v>——</v>
      </c>
      <c r="E16" s="1959"/>
    </row>
    <row r="17" spans="1:5" ht="15.75">
      <c r="A17" s="1959"/>
      <c r="B17" s="2980"/>
      <c r="C17" s="1962" t="s">
        <v>1636</v>
      </c>
      <c r="D17" s="1040" t="e">
        <f>NUMBERSTRING(INT(D16*10000),2)&amp;"元整"</f>
        <v>#VALUE!</v>
      </c>
      <c r="E17" s="1959"/>
    </row>
    <row r="18" spans="1:5" ht="15">
      <c r="A18" s="1959"/>
      <c r="B18" s="2981"/>
      <c r="C18" s="1963" t="s">
        <v>1625</v>
      </c>
      <c r="D18" s="1052" t="str">
        <f>结果表!H110</f>
        <v>——</v>
      </c>
      <c r="E18" s="1959"/>
    </row>
    <row r="19" spans="1:5" ht="15.75">
      <c r="A19" s="1959"/>
      <c r="B19" s="2972" t="str">
        <f>结果表!E111</f>
        <v>——</v>
      </c>
      <c r="C19" s="1967" t="s">
        <v>1623</v>
      </c>
      <c r="D19" s="1041" t="str">
        <f>结果表!H111</f>
        <v>——</v>
      </c>
      <c r="E19" s="1959"/>
    </row>
    <row r="20" spans="1:5" ht="15.75">
      <c r="A20" s="1959"/>
      <c r="B20" s="2973"/>
      <c r="C20" s="1962" t="s">
        <v>1636</v>
      </c>
      <c r="D20" s="1040" t="e">
        <f>NUMBERSTRING(INT(D19*10000),2)&amp;"元整"</f>
        <v>#VALUE!</v>
      </c>
      <c r="E20" s="1959"/>
    </row>
    <row r="21" spans="1:5" ht="15.75" thickBot="1">
      <c r="A21" s="1959"/>
      <c r="B21" s="2974"/>
      <c r="C21" s="1969" t="s">
        <v>1634</v>
      </c>
      <c r="D21" s="1053"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32828</v>
      </c>
      <c r="C2" s="2" t="s">
        <v>133</v>
      </c>
      <c r="D2" s="243"/>
      <c r="E2" s="243"/>
      <c r="F2" s="243"/>
      <c r="G2" s="243"/>
    </row>
    <row r="3" spans="1:7" s="244" customFormat="1" ht="18" customHeight="1" thickBot="1">
      <c r="A3" s="247" t="s">
        <v>85</v>
      </c>
      <c r="B3" s="248">
        <f ca="1">ROUND(B2*10000/'数据-汇总表'!E3,0)</f>
        <v>38249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0</v>
      </c>
      <c r="D9" s="1032">
        <f>'数据-汇总表'!E5</f>
        <v>0</v>
      </c>
      <c r="E9" s="269">
        <f>'数据-取费表'!B27</f>
        <v>60</v>
      </c>
      <c r="F9" s="265"/>
      <c r="G9" s="270"/>
    </row>
    <row r="10" spans="1:7" s="258" customFormat="1" ht="13.5" customHeight="1">
      <c r="A10" s="950" t="s">
        <v>801</v>
      </c>
      <c r="B10" s="268" t="s">
        <v>94</v>
      </c>
      <c r="C10" s="269">
        <f>ROUND(D10*E10/10000,0)</f>
        <v>51</v>
      </c>
      <c r="D10" s="1032">
        <f>'数据-汇总表'!E6</f>
        <v>8582.619999999999</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172</v>
      </c>
      <c r="D19" s="1036">
        <f>'数据-汇总表'!E3</f>
        <v>8582.619999999999</v>
      </c>
      <c r="E19" s="255">
        <f>'数据-取费表'!B31</f>
        <v>200</v>
      </c>
      <c r="F19" s="275"/>
      <c r="G19" s="1" t="s">
        <v>1074</v>
      </c>
    </row>
    <row r="20" spans="1:7" s="258" customFormat="1" ht="13.5" customHeight="1">
      <c r="A20" s="948" t="s">
        <v>1057</v>
      </c>
      <c r="B20" s="254" t="s">
        <v>104</v>
      </c>
      <c r="C20" s="276">
        <f>ROUND((C5+C19)*F20,0)</f>
        <v>420</v>
      </c>
      <c r="D20" s="276"/>
      <c r="E20" s="276"/>
      <c r="F20" s="277">
        <f>'数据-取费表'!B37</f>
        <v>0.02</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1527</v>
      </c>
      <c r="D22" s="279">
        <f ca="1">C26</f>
        <v>1.1000000000000001E-3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1500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12</v>
      </c>
      <c r="D24" s="282"/>
      <c r="E24" s="282"/>
      <c r="F24" s="283"/>
      <c r="G24" s="284" t="s">
        <v>109</v>
      </c>
    </row>
    <row r="25" spans="1:7" s="258" customFormat="1" ht="24">
      <c r="A25" s="951" t="s">
        <v>793</v>
      </c>
      <c r="B25" s="259" t="s">
        <v>1058</v>
      </c>
      <c r="C25" s="1355">
        <f ca="1">ROUND(IF('数据-取费表'!B22&lt;=1,C20*F22*'数据-取费表'!B23/2,C20*(POWER((1+F22),'数据-取费表'!B23/2)-1)),0)</f>
        <v>15</v>
      </c>
      <c r="D25" s="282"/>
      <c r="E25" s="285"/>
      <c r="F25" s="283"/>
      <c r="G25" s="286" t="s">
        <v>110</v>
      </c>
    </row>
    <row r="26" spans="1:7" s="258" customFormat="1">
      <c r="A26" s="951" t="s">
        <v>795</v>
      </c>
      <c r="B26" s="259" t="s">
        <v>1060</v>
      </c>
      <c r="C26" s="282">
        <f ca="1">ROUND(IF('数据-取费表'!B22&lt;=1,F21*F22*'数据-取费表'!B23/2,F21*(POWER((1+F22),'数据-取费表'!B23/2)-1)),4)</f>
        <v>1.1000000000000001E-3</v>
      </c>
      <c r="D26" s="282"/>
      <c r="E26" s="285"/>
      <c r="F26" s="283"/>
      <c r="G26" s="287"/>
    </row>
    <row r="27" spans="1:7" s="258" customFormat="1" ht="24.75">
      <c r="A27" s="948" t="s">
        <v>787</v>
      </c>
      <c r="B27" s="288" t="s">
        <v>112</v>
      </c>
      <c r="C27" s="289">
        <f>C28</f>
        <v>4280</v>
      </c>
      <c r="D27" s="279">
        <f>C29</f>
        <v>6.0000000000000001E-3</v>
      </c>
      <c r="E27" s="280" t="s">
        <v>126</v>
      </c>
      <c r="F27" s="290">
        <f>'数据-取费表'!Q16</f>
        <v>0.2</v>
      </c>
      <c r="G27" s="291" t="s">
        <v>1069</v>
      </c>
    </row>
    <row r="28" spans="1:7" s="258" customFormat="1" ht="13.5" customHeight="1">
      <c r="A28" s="951" t="s">
        <v>794</v>
      </c>
      <c r="B28" s="292" t="s">
        <v>1062</v>
      </c>
      <c r="C28" s="293">
        <f>ROUND((C5+C19+C20)*F27*'数据-取费表'!B21/'数据-取费表'!B20,0)</f>
        <v>4280</v>
      </c>
      <c r="D28" s="279"/>
      <c r="E28" s="280"/>
      <c r="F28" s="290"/>
      <c r="G28" s="291"/>
    </row>
    <row r="29" spans="1:7" s="258" customFormat="1" ht="13.5" customHeight="1">
      <c r="A29" s="951" t="s">
        <v>792</v>
      </c>
      <c r="B29" s="292" t="s">
        <v>1063</v>
      </c>
      <c r="C29" s="282">
        <f>ROUND(C21*F27*'数据-取费表'!B21/'数据-取费表'!B20,4)</f>
        <v>6.0000000000000001E-3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29914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2145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1888</v>
      </c>
      <c r="D34" s="261"/>
      <c r="E34" s="264"/>
      <c r="F34" s="301">
        <f>IF('数据-取费表'!B24=0,1,'数据-取费表'!N16)</f>
        <v>1</v>
      </c>
      <c r="G34" s="263" t="s">
        <v>116</v>
      </c>
    </row>
    <row r="35" spans="1:7" ht="13.5" customHeight="1">
      <c r="A35" s="951" t="s">
        <v>796</v>
      </c>
      <c r="B35" s="259" t="s">
        <v>60</v>
      </c>
      <c r="C35" s="264">
        <f>ROUND(C34*F35,0)</f>
        <v>57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172</v>
      </c>
      <c r="D37" s="261">
        <f>'数据-汇总表'!E3</f>
        <v>8582.619999999999</v>
      </c>
      <c r="E37" s="293">
        <f>'数据-取费表'!B35</f>
        <v>200</v>
      </c>
      <c r="F37" s="303"/>
      <c r="G37" s="305" t="s">
        <v>119</v>
      </c>
    </row>
    <row r="38" spans="1:7" ht="13.5" customHeight="1">
      <c r="A38" s="951" t="s">
        <v>799</v>
      </c>
      <c r="B38" s="259" t="s">
        <v>63</v>
      </c>
      <c r="C38" s="264">
        <f>ROUND(C34*F38,0)</f>
        <v>28</v>
      </c>
      <c r="D38" s="264"/>
      <c r="E38" s="264"/>
      <c r="F38" s="303">
        <f>'数据-取费表'!B36</f>
        <v>1.4999999999999999E-2</v>
      </c>
      <c r="G38" s="263" t="s">
        <v>117</v>
      </c>
    </row>
    <row r="39" spans="1:7" s="258" customFormat="1" ht="13.5" customHeight="1">
      <c r="A39" s="948" t="s">
        <v>783</v>
      </c>
      <c r="B39" s="254" t="s">
        <v>104</v>
      </c>
      <c r="C39" s="276">
        <f>ROUND(C33*F20,0)</f>
        <v>43</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78</v>
      </c>
      <c r="D41" s="279">
        <f ca="1">C44</f>
        <v>1.1000000000000001E-3</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76</v>
      </c>
      <c r="D42" s="282"/>
      <c r="E42" s="282"/>
      <c r="F42" s="283"/>
      <c r="G42" s="3154" t="s">
        <v>121</v>
      </c>
    </row>
    <row r="43" spans="1:7" ht="13.5" customHeight="1">
      <c r="A43" s="951" t="s">
        <v>792</v>
      </c>
      <c r="B43" s="259" t="s">
        <v>1064</v>
      </c>
      <c r="C43" s="282">
        <f ca="1">ROUND(IF('数据-取费表'!B22&lt;=1,C39*F22*'数据-取费表'!B21/2,C39*(POWER((1+F22),'数据-取费表'!B21/2)-1)),0)</f>
        <v>2</v>
      </c>
      <c r="D43" s="282"/>
      <c r="E43" s="282"/>
      <c r="F43" s="283"/>
      <c r="G43" s="3155"/>
    </row>
    <row r="44" spans="1:7" ht="13.5" customHeight="1">
      <c r="A44" s="951" t="s">
        <v>793</v>
      </c>
      <c r="B44" s="259" t="s">
        <v>1066</v>
      </c>
      <c r="C44" s="282">
        <f ca="1">ROUND(IF('数据-取费表'!B22&lt;=1,C40*F22*'数据-取费表'!B21/2,C40*(POWER((1+F22),'数据-取费表'!B21/2)-1)),4)</f>
        <v>1.1000000000000001E-3</v>
      </c>
      <c r="D44" s="282"/>
      <c r="E44" s="282"/>
      <c r="F44" s="283"/>
      <c r="G44" s="3156"/>
    </row>
    <row r="45" spans="1:7" s="258" customFormat="1" ht="13.5" customHeight="1">
      <c r="A45" s="948" t="s">
        <v>786</v>
      </c>
      <c r="B45" s="288" t="s">
        <v>112</v>
      </c>
      <c r="C45" s="289">
        <f>C46</f>
        <v>438</v>
      </c>
      <c r="D45" s="279">
        <f>C47</f>
        <v>6.0000000000000001E-3</v>
      </c>
      <c r="E45" s="280" t="s">
        <v>129</v>
      </c>
      <c r="F45" s="290"/>
      <c r="G45" s="291" t="s">
        <v>1072</v>
      </c>
    </row>
    <row r="46" spans="1:7" s="258" customFormat="1" ht="13.5" customHeight="1">
      <c r="A46" s="951" t="s">
        <v>794</v>
      </c>
      <c r="B46" s="292" t="s">
        <v>1065</v>
      </c>
      <c r="C46" s="293">
        <f>ROUND((C33+C39)*F27,0)</f>
        <v>438</v>
      </c>
      <c r="D46" s="307"/>
      <c r="E46" s="280"/>
      <c r="F46" s="290"/>
      <c r="G46" s="291"/>
    </row>
    <row r="47" spans="1:7" s="258" customFormat="1" ht="13.5" customHeight="1">
      <c r="A47" s="951" t="s">
        <v>792</v>
      </c>
      <c r="B47" s="292" t="s">
        <v>1067</v>
      </c>
      <c r="C47" s="282">
        <f>ROUND(C40*F27,4)</f>
        <v>6.0000000000000001E-3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2973</v>
      </c>
      <c r="D49" s="276"/>
      <c r="E49" s="276"/>
      <c r="F49" s="308"/>
      <c r="G49" s="278" t="s">
        <v>1073</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2914</v>
      </c>
      <c r="D51" s="276"/>
      <c r="E51" s="276"/>
      <c r="F51" s="308"/>
      <c r="G51" s="278" t="s">
        <v>64</v>
      </c>
    </row>
    <row r="52" spans="1:7" s="252" customFormat="1" ht="16.5" thickBot="1">
      <c r="A52" s="309" t="s">
        <v>65</v>
      </c>
      <c r="B52" s="310"/>
      <c r="C52" s="311">
        <f ca="1">C31+C51</f>
        <v>32828</v>
      </c>
      <c r="D52" s="310"/>
      <c r="E52" s="310"/>
      <c r="F52" s="310"/>
      <c r="G52" s="312"/>
    </row>
    <row r="55" spans="1:7" ht="15">
      <c r="B55" s="314" t="s">
        <v>66</v>
      </c>
      <c r="C55" s="315"/>
    </row>
    <row r="56" spans="1:7">
      <c r="B56" s="317" t="s">
        <v>67</v>
      </c>
      <c r="C56" s="318">
        <f ca="1">ROUND(C51/C52,3)</f>
        <v>8.8999999999999996E-2</v>
      </c>
    </row>
    <row r="57" spans="1:7">
      <c r="B57" s="317" t="s">
        <v>68</v>
      </c>
      <c r="C57" s="319">
        <f ca="1">1-C56</f>
        <v>0.91100000000000003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293" t="s">
        <v>156</v>
      </c>
      <c r="B1" s="3293"/>
      <c r="C1" s="3293"/>
      <c r="D1" s="3293"/>
      <c r="E1" s="3293"/>
      <c r="F1" s="329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294" t="s">
        <v>169</v>
      </c>
      <c r="B2" s="3294"/>
      <c r="C2" s="3294"/>
      <c r="D2" s="3294"/>
      <c r="E2" s="3294"/>
      <c r="F2" s="329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29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29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293" t="s">
        <v>871</v>
      </c>
      <c r="B1" s="3293"/>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1300</v>
      </c>
      <c r="C1" s="1694">
        <f>项目基本情况!D3</f>
        <v>43262</v>
      </c>
      <c r="D1" s="1700" t="s">
        <v>1301</v>
      </c>
      <c r="E1" s="1695">
        <f>'数据-取费表'!B22</f>
        <v>1.5</v>
      </c>
      <c r="F1" s="1700" t="s">
        <v>1302</v>
      </c>
      <c r="G1" s="1696">
        <f ca="1">INDIRECT("d"&amp;$K$1)/100</f>
        <v>4.7500000000000001E-2</v>
      </c>
      <c r="H1" s="1700" t="s">
        <v>1332</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1303</v>
      </c>
      <c r="E2" s="1636"/>
      <c r="F2" s="1636" t="s">
        <v>1304</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1305</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1306</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1307</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1308</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1309</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1310</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1311</v>
      </c>
      <c r="C10" s="1664"/>
      <c r="D10" s="1664"/>
      <c r="E10" s="1664"/>
      <c r="F10" s="1664"/>
      <c r="G10" s="1664"/>
      <c r="H10" s="1664"/>
      <c r="I10" s="1638"/>
      <c r="J10" s="1638"/>
      <c r="K10" s="1664"/>
      <c r="L10" s="1665" t="s">
        <v>1312</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1313</v>
      </c>
      <c r="C11" s="1669" t="s">
        <v>1314</v>
      </c>
      <c r="D11" s="1670" t="s">
        <v>1315</v>
      </c>
      <c r="E11" s="1671"/>
      <c r="F11" s="1670" t="s">
        <v>1316</v>
      </c>
      <c r="G11" s="1672"/>
      <c r="H11" s="1671"/>
      <c r="I11" s="1670" t="s">
        <v>1317</v>
      </c>
      <c r="J11" s="1671"/>
      <c r="K11" s="1667"/>
      <c r="L11" s="1668" t="s">
        <v>1313</v>
      </c>
      <c r="M11" s="1669" t="s">
        <v>1314</v>
      </c>
      <c r="N11" s="1668" t="s">
        <v>1318</v>
      </c>
      <c r="O11" s="1670" t="s">
        <v>1319</v>
      </c>
      <c r="P11" s="1672"/>
      <c r="Q11" s="1672"/>
      <c r="R11" s="1672"/>
      <c r="S11" s="1672"/>
      <c r="T11" s="1671"/>
      <c r="U11" s="1670" t="s">
        <v>1320</v>
      </c>
      <c r="V11" s="1672"/>
      <c r="W11" s="1671"/>
      <c r="X11" s="1668" t="s">
        <v>1321</v>
      </c>
      <c r="Y11" s="1668" t="s">
        <v>1322</v>
      </c>
      <c r="Z11" s="1668" t="s">
        <v>1323</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1324</v>
      </c>
      <c r="E12" s="1677" t="s">
        <v>1325</v>
      </c>
      <c r="F12" s="1677" t="s">
        <v>1326</v>
      </c>
      <c r="G12" s="1677" t="s">
        <v>1327</v>
      </c>
      <c r="H12" s="1677" t="s">
        <v>1309</v>
      </c>
      <c r="I12" s="1678" t="s">
        <v>1328</v>
      </c>
      <c r="J12" s="1678" t="s">
        <v>1328</v>
      </c>
      <c r="K12" s="1674"/>
      <c r="L12" s="1675"/>
      <c r="M12" s="1676"/>
      <c r="N12" s="1675"/>
      <c r="O12" s="1678" t="s">
        <v>1329</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1330</v>
      </c>
      <c r="C13" s="1682">
        <v>42301</v>
      </c>
      <c r="D13" s="1683">
        <v>4.3499999999999996</v>
      </c>
      <c r="E13" s="1683">
        <v>4.3499999999999996</v>
      </c>
      <c r="F13" s="1683">
        <v>4.75</v>
      </c>
      <c r="G13" s="1683">
        <v>4.75</v>
      </c>
      <c r="H13" s="1683">
        <v>4.9000000000000004</v>
      </c>
      <c r="I13" s="1683">
        <v>2.75</v>
      </c>
      <c r="J13" s="1683">
        <v>3.25</v>
      </c>
      <c r="K13" s="1680"/>
      <c r="L13" s="1681" t="s">
        <v>1330</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1331</v>
      </c>
      <c r="Y42" s="1687" t="s">
        <v>1331</v>
      </c>
      <c r="Z42" s="1687" t="s">
        <v>1331</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1331</v>
      </c>
      <c r="Y43" s="1687" t="s">
        <v>1331</v>
      </c>
      <c r="Z43" s="1687" t="s">
        <v>1331</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1331</v>
      </c>
      <c r="Y44" s="1687" t="s">
        <v>1331</v>
      </c>
      <c r="Z44" s="1687" t="s">
        <v>1331</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1331</v>
      </c>
      <c r="Y45" s="1687" t="s">
        <v>1331</v>
      </c>
      <c r="Z45" s="1687" t="s">
        <v>1331</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1331</v>
      </c>
      <c r="Y46" s="1687" t="s">
        <v>1331</v>
      </c>
      <c r="Z46" s="1687" t="s">
        <v>1331</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1331</v>
      </c>
      <c r="Y47" s="1687" t="s">
        <v>1331</v>
      </c>
      <c r="Z47" s="1687" t="s">
        <v>1331</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1331</v>
      </c>
      <c r="Y48" s="1687" t="s">
        <v>1331</v>
      </c>
      <c r="Z48" s="1687" t="s">
        <v>1331</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1331</v>
      </c>
      <c r="Y49" s="1687" t="s">
        <v>1331</v>
      </c>
      <c r="Z49" s="1687" t="s">
        <v>1331</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1331</v>
      </c>
      <c r="Y50" s="1687" t="s">
        <v>1331</v>
      </c>
      <c r="Z50" s="1687" t="s">
        <v>1331</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1331</v>
      </c>
      <c r="V51" s="1687" t="s">
        <v>1331</v>
      </c>
      <c r="W51" s="1687" t="s">
        <v>1331</v>
      </c>
      <c r="X51" s="1687" t="s">
        <v>1331</v>
      </c>
      <c r="Y51" s="1687" t="s">
        <v>1331</v>
      </c>
      <c r="Z51" s="1687" t="s">
        <v>1331</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1331</v>
      </c>
      <c r="J55" s="1687" t="s">
        <v>1331</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workbookViewId="0">
      <pane ySplit="1" topLeftCell="A2" activePane="bottomLeft" state="frozen"/>
      <selection pane="bottomLeft" activeCell="C2" sqref="C2"/>
    </sheetView>
  </sheetViews>
  <sheetFormatPr defaultRowHeight="13.5"/>
  <sheetData>
    <row r="1" spans="1:9" ht="30">
      <c r="A1" s="2944" t="s">
        <v>3062</v>
      </c>
      <c r="B1" s="2944" t="s">
        <v>3252</v>
      </c>
      <c r="C1" s="2944" t="s">
        <v>3063</v>
      </c>
      <c r="D1" s="2944" t="s">
        <v>3064</v>
      </c>
      <c r="E1" s="2944" t="s">
        <v>3065</v>
      </c>
      <c r="F1" s="2944" t="s">
        <v>3066</v>
      </c>
      <c r="G1" s="2944" t="s">
        <v>3067</v>
      </c>
      <c r="H1" s="2944" t="s">
        <v>3068</v>
      </c>
      <c r="I1" s="2944" t="s">
        <v>3254</v>
      </c>
    </row>
    <row r="2" spans="1:9" ht="60">
      <c r="A2" s="2945" t="s">
        <v>3129</v>
      </c>
      <c r="B2" s="2945" t="s">
        <v>3137</v>
      </c>
      <c r="C2" s="2945" t="s">
        <v>3213</v>
      </c>
      <c r="D2" s="2945" t="s">
        <v>3069</v>
      </c>
      <c r="E2" s="2945" t="s">
        <v>3070</v>
      </c>
      <c r="F2" s="2945" t="s">
        <v>3071</v>
      </c>
      <c r="G2" s="2945" t="s">
        <v>3072</v>
      </c>
      <c r="H2" s="2946">
        <v>6.87</v>
      </c>
      <c r="I2" s="2946">
        <v>54.53</v>
      </c>
    </row>
    <row r="3" spans="1:9" ht="60">
      <c r="A3" s="2945" t="s">
        <v>3130</v>
      </c>
      <c r="B3" s="2945" t="s">
        <v>3073</v>
      </c>
      <c r="C3" s="2945" t="s">
        <v>3212</v>
      </c>
      <c r="D3" s="2945" t="s">
        <v>3074</v>
      </c>
      <c r="E3" s="2945" t="s">
        <v>3069</v>
      </c>
      <c r="F3" s="2945" t="s">
        <v>3071</v>
      </c>
      <c r="G3" s="2945" t="s">
        <v>3072</v>
      </c>
      <c r="H3" s="2946">
        <v>569.72</v>
      </c>
      <c r="I3" s="2946">
        <v>4521.53</v>
      </c>
    </row>
    <row r="4" spans="1:9" ht="60">
      <c r="A4" s="2945" t="s">
        <v>3076</v>
      </c>
      <c r="B4" s="2945" t="s">
        <v>3075</v>
      </c>
      <c r="C4" s="2945" t="s">
        <v>3214</v>
      </c>
      <c r="D4" s="2945" t="s">
        <v>3074</v>
      </c>
      <c r="E4" s="2945" t="s">
        <v>3076</v>
      </c>
      <c r="F4" s="2945" t="s">
        <v>3071</v>
      </c>
      <c r="G4" s="2945" t="s">
        <v>3072</v>
      </c>
      <c r="H4" s="2946">
        <v>25.26</v>
      </c>
      <c r="I4" s="2946">
        <v>200.46</v>
      </c>
    </row>
    <row r="5" spans="1:9" ht="60">
      <c r="A5" s="2945" t="s">
        <v>3078</v>
      </c>
      <c r="B5" s="2945" t="s">
        <v>3077</v>
      </c>
      <c r="C5" s="2945" t="s">
        <v>3215</v>
      </c>
      <c r="D5" s="2945" t="s">
        <v>3074</v>
      </c>
      <c r="E5" s="2945" t="s">
        <v>3078</v>
      </c>
      <c r="F5" s="2945" t="s">
        <v>3071</v>
      </c>
      <c r="G5" s="2945" t="s">
        <v>3072</v>
      </c>
      <c r="H5" s="2946">
        <v>19.559999999999999</v>
      </c>
      <c r="I5" s="2946">
        <v>155.19999999999999</v>
      </c>
    </row>
    <row r="6" spans="1:9" ht="60">
      <c r="A6" s="2945" t="s">
        <v>3097</v>
      </c>
      <c r="B6" s="2945" t="s">
        <v>3079</v>
      </c>
      <c r="C6" s="2945" t="s">
        <v>3216</v>
      </c>
      <c r="D6" s="2945" t="s">
        <v>3069</v>
      </c>
      <c r="E6" s="2945" t="s">
        <v>3076</v>
      </c>
      <c r="F6" s="2945" t="s">
        <v>3071</v>
      </c>
      <c r="G6" s="2945" t="s">
        <v>3072</v>
      </c>
      <c r="H6" s="2946">
        <v>6.97</v>
      </c>
      <c r="I6" s="2946">
        <v>63.4</v>
      </c>
    </row>
    <row r="7" spans="1:9" ht="60">
      <c r="A7" s="2945" t="s">
        <v>3091</v>
      </c>
      <c r="B7" s="2945" t="s">
        <v>3080</v>
      </c>
      <c r="C7" s="2945" t="s">
        <v>3217</v>
      </c>
      <c r="D7" s="2945" t="s">
        <v>3069</v>
      </c>
      <c r="E7" s="2945" t="s">
        <v>3081</v>
      </c>
      <c r="F7" s="2945" t="s">
        <v>3071</v>
      </c>
      <c r="G7" s="2945" t="s">
        <v>3072</v>
      </c>
      <c r="H7" s="2946">
        <v>6.5</v>
      </c>
      <c r="I7" s="2946">
        <v>59.08</v>
      </c>
    </row>
    <row r="8" spans="1:9" ht="60">
      <c r="A8" s="2945" t="s">
        <v>3093</v>
      </c>
      <c r="B8" s="2945" t="s">
        <v>3082</v>
      </c>
      <c r="C8" s="2945" t="s">
        <v>3218</v>
      </c>
      <c r="D8" s="2945" t="s">
        <v>3069</v>
      </c>
      <c r="E8" s="2945" t="s">
        <v>3083</v>
      </c>
      <c r="F8" s="2945" t="s">
        <v>3071</v>
      </c>
      <c r="G8" s="2945" t="s">
        <v>3072</v>
      </c>
      <c r="H8" s="2946">
        <v>6.5</v>
      </c>
      <c r="I8" s="2946">
        <v>59.08</v>
      </c>
    </row>
    <row r="9" spans="1:9" ht="60">
      <c r="A9" s="2945" t="s">
        <v>3099</v>
      </c>
      <c r="B9" s="2945" t="s">
        <v>3084</v>
      </c>
      <c r="C9" s="2945" t="s">
        <v>3219</v>
      </c>
      <c r="D9" s="2945" t="s">
        <v>3069</v>
      </c>
      <c r="E9" s="2945" t="s">
        <v>3085</v>
      </c>
      <c r="F9" s="2945" t="s">
        <v>3071</v>
      </c>
      <c r="G9" s="2945" t="s">
        <v>3072</v>
      </c>
      <c r="H9" s="2946">
        <v>4.51</v>
      </c>
      <c r="I9" s="2946">
        <v>40.98</v>
      </c>
    </row>
    <row r="10" spans="1:9" ht="60">
      <c r="A10" s="2945" t="s">
        <v>3081</v>
      </c>
      <c r="B10" s="2945" t="s">
        <v>3086</v>
      </c>
      <c r="C10" s="2945" t="s">
        <v>3220</v>
      </c>
      <c r="D10" s="2945" t="s">
        <v>3069</v>
      </c>
      <c r="E10" s="2945" t="s">
        <v>3087</v>
      </c>
      <c r="F10" s="2945" t="s">
        <v>3071</v>
      </c>
      <c r="G10" s="2945" t="s">
        <v>3072</v>
      </c>
      <c r="H10" s="2946">
        <v>5.34</v>
      </c>
      <c r="I10" s="2946">
        <v>48.51</v>
      </c>
    </row>
    <row r="11" spans="1:9" ht="60">
      <c r="A11" s="2945" t="s">
        <v>3101</v>
      </c>
      <c r="B11" s="2945" t="s">
        <v>3088</v>
      </c>
      <c r="C11" s="2945" t="s">
        <v>3221</v>
      </c>
      <c r="D11" s="2945" t="s">
        <v>3069</v>
      </c>
      <c r="E11" s="2945" t="s">
        <v>3089</v>
      </c>
      <c r="F11" s="2945" t="s">
        <v>3071</v>
      </c>
      <c r="G11" s="2945" t="s">
        <v>3072</v>
      </c>
      <c r="H11" s="2946">
        <v>5.09</v>
      </c>
      <c r="I11" s="2946">
        <v>46.24</v>
      </c>
    </row>
    <row r="12" spans="1:9" ht="60">
      <c r="A12" s="2945" t="s">
        <v>3083</v>
      </c>
      <c r="B12" s="2945" t="s">
        <v>3090</v>
      </c>
      <c r="C12" s="2945" t="s">
        <v>3222</v>
      </c>
      <c r="D12" s="2945" t="s">
        <v>3069</v>
      </c>
      <c r="E12" s="2945" t="s">
        <v>3091</v>
      </c>
      <c r="F12" s="2945" t="s">
        <v>3071</v>
      </c>
      <c r="G12" s="2945" t="s">
        <v>3072</v>
      </c>
      <c r="H12" s="2946">
        <v>6.4</v>
      </c>
      <c r="I12" s="2946">
        <v>58.15</v>
      </c>
    </row>
    <row r="13" spans="1:9" ht="60">
      <c r="A13" s="2945" t="s">
        <v>3104</v>
      </c>
      <c r="B13" s="2945" t="s">
        <v>3092</v>
      </c>
      <c r="C13" s="2945" t="s">
        <v>3223</v>
      </c>
      <c r="D13" s="2945" t="s">
        <v>3069</v>
      </c>
      <c r="E13" s="2945" t="s">
        <v>3093</v>
      </c>
      <c r="F13" s="2945" t="s">
        <v>3071</v>
      </c>
      <c r="G13" s="2945" t="s">
        <v>3072</v>
      </c>
      <c r="H13" s="2946">
        <v>6.4</v>
      </c>
      <c r="I13" s="2946">
        <v>58.15</v>
      </c>
    </row>
    <row r="14" spans="1:9" ht="60">
      <c r="A14" s="2945" t="s">
        <v>3122</v>
      </c>
      <c r="B14" s="2945" t="s">
        <v>3094</v>
      </c>
      <c r="C14" s="2945" t="s">
        <v>3224</v>
      </c>
      <c r="D14" s="2945" t="s">
        <v>3074</v>
      </c>
      <c r="E14" s="2945" t="s">
        <v>3069</v>
      </c>
      <c r="F14" s="2945" t="s">
        <v>3071</v>
      </c>
      <c r="G14" s="2945" t="s">
        <v>3072</v>
      </c>
      <c r="H14" s="2946">
        <v>26.53</v>
      </c>
      <c r="I14" s="2946">
        <v>241.15</v>
      </c>
    </row>
    <row r="15" spans="1:9" ht="60">
      <c r="A15" s="2945" t="s">
        <v>3124</v>
      </c>
      <c r="B15" s="2945" t="s">
        <v>3095</v>
      </c>
      <c r="C15" s="2945" t="s">
        <v>3225</v>
      </c>
      <c r="D15" s="2945" t="s">
        <v>3074</v>
      </c>
      <c r="E15" s="2945" t="s">
        <v>3078</v>
      </c>
      <c r="F15" s="2945" t="s">
        <v>3071</v>
      </c>
      <c r="G15" s="2945" t="s">
        <v>3072</v>
      </c>
      <c r="H15" s="2946">
        <v>25.38</v>
      </c>
      <c r="I15" s="2946">
        <v>230.71</v>
      </c>
    </row>
    <row r="16" spans="1:9" ht="60">
      <c r="A16" s="2945" t="s">
        <v>3126</v>
      </c>
      <c r="B16" s="2945" t="s">
        <v>3096</v>
      </c>
      <c r="C16" s="2945" t="s">
        <v>3226</v>
      </c>
      <c r="D16" s="2945" t="s">
        <v>3074</v>
      </c>
      <c r="E16" s="2945" t="s">
        <v>3097</v>
      </c>
      <c r="F16" s="2945" t="s">
        <v>3071</v>
      </c>
      <c r="G16" s="2945" t="s">
        <v>3072</v>
      </c>
      <c r="H16" s="2946">
        <v>24.51</v>
      </c>
      <c r="I16" s="2946">
        <v>222.83</v>
      </c>
    </row>
    <row r="17" spans="1:9" ht="60">
      <c r="A17" s="2945" t="s">
        <v>3128</v>
      </c>
      <c r="B17" s="2945" t="s">
        <v>3098</v>
      </c>
      <c r="C17" s="2945" t="s">
        <v>3227</v>
      </c>
      <c r="D17" s="2945" t="s">
        <v>3074</v>
      </c>
      <c r="E17" s="2945" t="s">
        <v>3099</v>
      </c>
      <c r="F17" s="2945" t="s">
        <v>3071</v>
      </c>
      <c r="G17" s="2945" t="s">
        <v>3072</v>
      </c>
      <c r="H17" s="2946">
        <v>23.41</v>
      </c>
      <c r="I17" s="2946">
        <v>212.79</v>
      </c>
    </row>
    <row r="18" spans="1:9" ht="60">
      <c r="A18" s="2945" t="s">
        <v>3106</v>
      </c>
      <c r="B18" s="2945" t="s">
        <v>3100</v>
      </c>
      <c r="C18" s="2945" t="s">
        <v>3228</v>
      </c>
      <c r="D18" s="2945" t="s">
        <v>3074</v>
      </c>
      <c r="E18" s="2945" t="s">
        <v>3101</v>
      </c>
      <c r="F18" s="2945" t="s">
        <v>3071</v>
      </c>
      <c r="G18" s="2945" t="s">
        <v>3072</v>
      </c>
      <c r="H18" s="2946">
        <v>20.65</v>
      </c>
      <c r="I18" s="2946">
        <v>187.75</v>
      </c>
    </row>
    <row r="19" spans="1:9" ht="60">
      <c r="A19" s="2945" t="s">
        <v>3108</v>
      </c>
      <c r="B19" s="2945" t="s">
        <v>3102</v>
      </c>
      <c r="C19" s="2945" t="s">
        <v>3229</v>
      </c>
      <c r="D19" s="2945" t="s">
        <v>3069</v>
      </c>
      <c r="E19" s="2945" t="s">
        <v>3070</v>
      </c>
      <c r="F19" s="2945" t="s">
        <v>3071</v>
      </c>
      <c r="G19" s="2945" t="s">
        <v>3072</v>
      </c>
      <c r="H19" s="2946">
        <v>6.97</v>
      </c>
      <c r="I19" s="2946">
        <v>63.4</v>
      </c>
    </row>
    <row r="20" spans="1:9" ht="60">
      <c r="A20" s="2945" t="s">
        <v>3110</v>
      </c>
      <c r="B20" s="2945" t="s">
        <v>3103</v>
      </c>
      <c r="C20" s="2945" t="s">
        <v>3230</v>
      </c>
      <c r="D20" s="2945" t="s">
        <v>3074</v>
      </c>
      <c r="E20" s="2945" t="s">
        <v>3104</v>
      </c>
      <c r="F20" s="2945" t="s">
        <v>3071</v>
      </c>
      <c r="G20" s="2945" t="s">
        <v>3072</v>
      </c>
      <c r="H20" s="2946">
        <v>23.53</v>
      </c>
      <c r="I20" s="2946">
        <v>213.89</v>
      </c>
    </row>
    <row r="21" spans="1:9" ht="60">
      <c r="A21" s="2945" t="s">
        <v>3112</v>
      </c>
      <c r="B21" s="2945" t="s">
        <v>3105</v>
      </c>
      <c r="C21" s="2945" t="s">
        <v>3231</v>
      </c>
      <c r="D21" s="2945" t="s">
        <v>3074</v>
      </c>
      <c r="E21" s="2945" t="s">
        <v>3106</v>
      </c>
      <c r="F21" s="2945" t="s">
        <v>3071</v>
      </c>
      <c r="G21" s="2945" t="s">
        <v>3072</v>
      </c>
      <c r="H21" s="2946">
        <v>12.77</v>
      </c>
      <c r="I21" s="2946">
        <v>116.04</v>
      </c>
    </row>
    <row r="22" spans="1:9" ht="60">
      <c r="A22" s="2945" t="s">
        <v>3114</v>
      </c>
      <c r="B22" s="2945" t="s">
        <v>3107</v>
      </c>
      <c r="C22" s="2945" t="s">
        <v>3232</v>
      </c>
      <c r="D22" s="2945" t="s">
        <v>3074</v>
      </c>
      <c r="E22" s="2945" t="s">
        <v>3108</v>
      </c>
      <c r="F22" s="2945" t="s">
        <v>3071</v>
      </c>
      <c r="G22" s="2945" t="s">
        <v>3072</v>
      </c>
      <c r="H22" s="2946">
        <v>20.58</v>
      </c>
      <c r="I22" s="2946">
        <v>187.07</v>
      </c>
    </row>
    <row r="23" spans="1:9" ht="60">
      <c r="A23" s="2945" t="s">
        <v>3085</v>
      </c>
      <c r="B23" s="2945" t="s">
        <v>3109</v>
      </c>
      <c r="C23" s="2945" t="s">
        <v>3233</v>
      </c>
      <c r="D23" s="2945" t="s">
        <v>3074</v>
      </c>
      <c r="E23" s="2945" t="s">
        <v>3110</v>
      </c>
      <c r="F23" s="2945" t="s">
        <v>3071</v>
      </c>
      <c r="G23" s="2945" t="s">
        <v>3072</v>
      </c>
      <c r="H23" s="2946">
        <v>15.49</v>
      </c>
      <c r="I23" s="2946">
        <v>140.80000000000001</v>
      </c>
    </row>
    <row r="24" spans="1:9" ht="60">
      <c r="A24" s="2945" t="s">
        <v>3087</v>
      </c>
      <c r="B24" s="2945" t="s">
        <v>3111</v>
      </c>
      <c r="C24" s="2945" t="s">
        <v>3234</v>
      </c>
      <c r="D24" s="2945" t="s">
        <v>3074</v>
      </c>
      <c r="E24" s="2945" t="s">
        <v>3112</v>
      </c>
      <c r="F24" s="2945" t="s">
        <v>3071</v>
      </c>
      <c r="G24" s="2945" t="s">
        <v>3072</v>
      </c>
      <c r="H24" s="2946">
        <v>15.14</v>
      </c>
      <c r="I24" s="2946">
        <v>137.61000000000001</v>
      </c>
    </row>
    <row r="25" spans="1:9" ht="60">
      <c r="A25" s="2945" t="s">
        <v>3116</v>
      </c>
      <c r="B25" s="2945" t="s">
        <v>3113</v>
      </c>
      <c r="C25" s="2945" t="s">
        <v>3235</v>
      </c>
      <c r="D25" s="2945" t="s">
        <v>3074</v>
      </c>
      <c r="E25" s="2945" t="s">
        <v>3114</v>
      </c>
      <c r="F25" s="2945" t="s">
        <v>3071</v>
      </c>
      <c r="G25" s="2945" t="s">
        <v>3072</v>
      </c>
      <c r="H25" s="2946">
        <v>14.7</v>
      </c>
      <c r="I25" s="2946">
        <v>133.63999999999999</v>
      </c>
    </row>
    <row r="26" spans="1:9" ht="60">
      <c r="A26" s="2945" t="s">
        <v>3089</v>
      </c>
      <c r="B26" s="2945" t="s">
        <v>3115</v>
      </c>
      <c r="C26" s="2945" t="s">
        <v>3236</v>
      </c>
      <c r="D26" s="2945" t="s">
        <v>3074</v>
      </c>
      <c r="E26" s="2945" t="s">
        <v>3116</v>
      </c>
      <c r="F26" s="2945" t="s">
        <v>3071</v>
      </c>
      <c r="G26" s="2945" t="s">
        <v>3072</v>
      </c>
      <c r="H26" s="2946">
        <v>16.010000000000002</v>
      </c>
      <c r="I26" s="2946">
        <v>145.52000000000001</v>
      </c>
    </row>
    <row r="27" spans="1:9" ht="60">
      <c r="A27" s="2945" t="s">
        <v>3118</v>
      </c>
      <c r="B27" s="2945" t="s">
        <v>3117</v>
      </c>
      <c r="C27" s="2945" t="s">
        <v>3237</v>
      </c>
      <c r="D27" s="2945" t="s">
        <v>3074</v>
      </c>
      <c r="E27" s="2945" t="s">
        <v>3118</v>
      </c>
      <c r="F27" s="2945" t="s">
        <v>3071</v>
      </c>
      <c r="G27" s="2945" t="s">
        <v>3072</v>
      </c>
      <c r="H27" s="2946">
        <v>14.28</v>
      </c>
      <c r="I27" s="2946">
        <v>129.85</v>
      </c>
    </row>
    <row r="28" spans="1:9" ht="60">
      <c r="A28" s="2945" t="s">
        <v>3120</v>
      </c>
      <c r="B28" s="2945" t="s">
        <v>3119</v>
      </c>
      <c r="C28" s="2945" t="s">
        <v>3238</v>
      </c>
      <c r="D28" s="2945" t="s">
        <v>3074</v>
      </c>
      <c r="E28" s="2945" t="s">
        <v>3120</v>
      </c>
      <c r="F28" s="2945" t="s">
        <v>3071</v>
      </c>
      <c r="G28" s="2945" t="s">
        <v>3072</v>
      </c>
      <c r="H28" s="2946">
        <v>12.86</v>
      </c>
      <c r="I28" s="2946">
        <v>116.92</v>
      </c>
    </row>
    <row r="29" spans="1:9" ht="60">
      <c r="A29" s="2945" t="s">
        <v>3131</v>
      </c>
      <c r="B29" s="2945" t="s">
        <v>3121</v>
      </c>
      <c r="C29" s="2945" t="s">
        <v>3239</v>
      </c>
      <c r="D29" s="2945" t="s">
        <v>3074</v>
      </c>
      <c r="E29" s="2945" t="s">
        <v>3122</v>
      </c>
      <c r="F29" s="2945" t="s">
        <v>3071</v>
      </c>
      <c r="G29" s="2945" t="s">
        <v>3072</v>
      </c>
      <c r="H29" s="2946">
        <v>23.72</v>
      </c>
      <c r="I29" s="2946">
        <v>215.62</v>
      </c>
    </row>
    <row r="30" spans="1:9" ht="60">
      <c r="A30" s="2945" t="s">
        <v>3132</v>
      </c>
      <c r="B30" s="2945" t="s">
        <v>3123</v>
      </c>
      <c r="C30" s="2945" t="s">
        <v>3240</v>
      </c>
      <c r="D30" s="2945" t="s">
        <v>3074</v>
      </c>
      <c r="E30" s="2945" t="s">
        <v>3124</v>
      </c>
      <c r="F30" s="2945" t="s">
        <v>3071</v>
      </c>
      <c r="G30" s="2945" t="s">
        <v>3072</v>
      </c>
      <c r="H30" s="2946">
        <v>22.76</v>
      </c>
      <c r="I30" s="2946">
        <v>206.85</v>
      </c>
    </row>
    <row r="31" spans="1:9" ht="60">
      <c r="A31" s="2945" t="s">
        <v>3133</v>
      </c>
      <c r="B31" s="2945" t="s">
        <v>3125</v>
      </c>
      <c r="C31" s="2945" t="s">
        <v>3241</v>
      </c>
      <c r="D31" s="2945" t="s">
        <v>3074</v>
      </c>
      <c r="E31" s="2945" t="s">
        <v>3126</v>
      </c>
      <c r="F31" s="2945" t="s">
        <v>3071</v>
      </c>
      <c r="G31" s="2945" t="s">
        <v>3072</v>
      </c>
      <c r="H31" s="2946">
        <v>21.87</v>
      </c>
      <c r="I31" s="2946">
        <v>198.83</v>
      </c>
    </row>
    <row r="32" spans="1:9" ht="60">
      <c r="A32" s="2945" t="s">
        <v>3134</v>
      </c>
      <c r="B32" s="2945" t="s">
        <v>3127</v>
      </c>
      <c r="C32" s="2945" t="s">
        <v>3242</v>
      </c>
      <c r="D32" s="2945" t="s">
        <v>3074</v>
      </c>
      <c r="E32" s="2945" t="s">
        <v>3128</v>
      </c>
      <c r="F32" s="2945" t="s">
        <v>3071</v>
      </c>
      <c r="G32" s="2945" t="s">
        <v>3072</v>
      </c>
      <c r="H32" s="2946">
        <v>12.77</v>
      </c>
      <c r="I32" s="2946">
        <v>116.04</v>
      </c>
    </row>
    <row r="33" spans="1:9" ht="15">
      <c r="A33" s="2945" t="s">
        <v>3253</v>
      </c>
      <c r="B33" s="2970"/>
      <c r="C33" s="2970"/>
      <c r="D33" s="2970"/>
      <c r="E33" s="2970"/>
      <c r="F33" s="2970"/>
      <c r="G33" s="2970"/>
      <c r="H33" s="2970">
        <f>SUM(H2:H32)</f>
        <v>1023.05</v>
      </c>
      <c r="I33" s="2970">
        <f t="shared" ref="I33" si="0">SUM(I2:I32)</f>
        <v>8582.619999999999</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86"/>
  <sheetViews>
    <sheetView topLeftCell="A68" workbookViewId="0">
      <selection activeCell="B60" sqref="B60:I86"/>
    </sheetView>
  </sheetViews>
  <sheetFormatPr defaultRowHeight="13.5"/>
  <cols>
    <col min="4" max="4" width="14.5" customWidth="1"/>
    <col min="5" max="5" width="12.75" customWidth="1"/>
    <col min="6" max="6" width="12.625" customWidth="1"/>
    <col min="7" max="7" width="14.25" customWidth="1"/>
  </cols>
  <sheetData>
    <row r="1" spans="2:7" ht="14.25" thickBot="1"/>
    <row r="2" spans="2:7" ht="14.25" thickBot="1">
      <c r="B2" s="3302" t="s">
        <v>3258</v>
      </c>
      <c r="C2" s="3303"/>
      <c r="D2" s="3297" t="s">
        <v>3259</v>
      </c>
      <c r="E2" s="3297" t="s">
        <v>3260</v>
      </c>
      <c r="F2" s="3297" t="s">
        <v>3261</v>
      </c>
      <c r="G2" s="3297" t="s">
        <v>3262</v>
      </c>
    </row>
    <row r="3" spans="2:7" ht="26.25" thickBot="1">
      <c r="B3" s="3304"/>
      <c r="C3" s="3305"/>
      <c r="D3" s="3298" t="s">
        <v>3263</v>
      </c>
      <c r="E3" s="3298" t="s">
        <v>3294</v>
      </c>
      <c r="F3" s="3298" t="s">
        <v>3297</v>
      </c>
      <c r="G3" s="3298" t="s">
        <v>3301</v>
      </c>
    </row>
    <row r="4" spans="2:7" ht="64.5" thickBot="1">
      <c r="B4" s="3306"/>
      <c r="C4" s="3307"/>
      <c r="D4" s="3298" t="s">
        <v>3264</v>
      </c>
      <c r="E4" s="3298" t="s">
        <v>3295</v>
      </c>
      <c r="F4" s="3298" t="s">
        <v>3299</v>
      </c>
      <c r="G4" s="3298" t="s">
        <v>3302</v>
      </c>
    </row>
    <row r="5" spans="2:7" ht="14.25" thickBot="1">
      <c r="B5" s="3308" t="s">
        <v>3265</v>
      </c>
      <c r="C5" s="3309"/>
      <c r="D5" s="3299">
        <v>43252</v>
      </c>
      <c r="E5" s="3299">
        <v>43252</v>
      </c>
      <c r="F5" s="3299">
        <v>43252</v>
      </c>
      <c r="G5" s="3299">
        <v>43252</v>
      </c>
    </row>
    <row r="6" spans="2:7" ht="14.25" thickBot="1">
      <c r="B6" s="3308" t="s">
        <v>3266</v>
      </c>
      <c r="C6" s="3309"/>
      <c r="D6" s="3298" t="s">
        <v>3151</v>
      </c>
      <c r="E6" s="3298" t="s">
        <v>3151</v>
      </c>
      <c r="F6" s="3298" t="s">
        <v>3151</v>
      </c>
      <c r="G6" s="3298" t="s">
        <v>3151</v>
      </c>
    </row>
    <row r="7" spans="2:7" ht="14.25" thickBot="1">
      <c r="B7" s="3311" t="s">
        <v>3267</v>
      </c>
      <c r="C7" s="3298" t="s">
        <v>1375</v>
      </c>
      <c r="D7" s="3298" t="s">
        <v>1377</v>
      </c>
      <c r="E7" s="3298" t="s">
        <v>1377</v>
      </c>
      <c r="F7" s="3298" t="s">
        <v>1377</v>
      </c>
      <c r="G7" s="3298" t="s">
        <v>1377</v>
      </c>
    </row>
    <row r="8" spans="2:7" ht="26.25" thickBot="1">
      <c r="B8" s="3310"/>
      <c r="C8" s="3298" t="s">
        <v>3268</v>
      </c>
      <c r="D8" s="3300" t="s">
        <v>3303</v>
      </c>
      <c r="E8" s="3300" t="s">
        <v>3269</v>
      </c>
      <c r="F8" s="3300" t="s">
        <v>3269</v>
      </c>
      <c r="G8" s="3300" t="s">
        <v>3269</v>
      </c>
    </row>
    <row r="9" spans="2:7" ht="14.25" thickBot="1">
      <c r="B9" s="3312"/>
      <c r="C9" s="3298" t="s">
        <v>3270</v>
      </c>
      <c r="D9" s="3300">
        <v>8.39</v>
      </c>
      <c r="E9" s="3300">
        <v>3.66</v>
      </c>
      <c r="F9" s="3300">
        <v>2.44</v>
      </c>
      <c r="G9" s="3300">
        <v>4.45</v>
      </c>
    </row>
    <row r="10" spans="2:7" ht="64.5" thickBot="1">
      <c r="B10" s="3311" t="s">
        <v>3271</v>
      </c>
      <c r="C10" s="3298" t="s">
        <v>3272</v>
      </c>
      <c r="D10" s="3298" t="s">
        <v>3304</v>
      </c>
      <c r="E10" s="3298" t="s">
        <v>3309</v>
      </c>
      <c r="F10" s="3298" t="s">
        <v>3314</v>
      </c>
      <c r="G10" s="3298" t="s">
        <v>3320</v>
      </c>
    </row>
    <row r="11" spans="2:7" ht="117" customHeight="1" thickBot="1">
      <c r="B11" s="3310"/>
      <c r="C11" s="3298" t="s">
        <v>3273</v>
      </c>
      <c r="D11" s="3298" t="s">
        <v>3305</v>
      </c>
      <c r="E11" s="3298" t="s">
        <v>3310</v>
      </c>
      <c r="F11" s="3298" t="s">
        <v>3315</v>
      </c>
      <c r="G11" s="3298" t="s">
        <v>3321</v>
      </c>
    </row>
    <row r="12" spans="2:7" ht="154.5" customHeight="1" thickBot="1">
      <c r="B12" s="3310"/>
      <c r="C12" s="3298" t="s">
        <v>3274</v>
      </c>
      <c r="D12" s="3298" t="s">
        <v>3306</v>
      </c>
      <c r="E12" s="3298" t="s">
        <v>3311</v>
      </c>
      <c r="F12" s="3298" t="s">
        <v>3316</v>
      </c>
      <c r="G12" s="3298" t="s">
        <v>3322</v>
      </c>
    </row>
    <row r="13" spans="2:7" ht="26.25" thickBot="1">
      <c r="B13" s="3310"/>
      <c r="C13" s="3298" t="s">
        <v>3275</v>
      </c>
      <c r="D13" s="3298" t="s">
        <v>3157</v>
      </c>
      <c r="E13" s="3298" t="s">
        <v>3157</v>
      </c>
      <c r="F13" s="3298" t="s">
        <v>3157</v>
      </c>
      <c r="G13" s="3298" t="s">
        <v>3157</v>
      </c>
    </row>
    <row r="14" spans="2:7" ht="192" thickBot="1">
      <c r="B14" s="3310"/>
      <c r="C14" s="3298" t="s">
        <v>3276</v>
      </c>
      <c r="D14" s="3298" t="s">
        <v>3307</v>
      </c>
      <c r="E14" s="3298" t="s">
        <v>3312</v>
      </c>
      <c r="F14" s="3298" t="s">
        <v>3317</v>
      </c>
      <c r="G14" s="3298" t="s">
        <v>3323</v>
      </c>
    </row>
    <row r="15" spans="2:7" ht="14.25" thickBot="1">
      <c r="B15" s="3310"/>
      <c r="C15" s="3298" t="s">
        <v>3277</v>
      </c>
      <c r="D15" s="3298" t="s">
        <v>3196</v>
      </c>
      <c r="E15" s="3298" t="s">
        <v>3196</v>
      </c>
      <c r="F15" s="3298" t="s">
        <v>3196</v>
      </c>
      <c r="G15" s="3298" t="s">
        <v>3196</v>
      </c>
    </row>
    <row r="16" spans="2:7" ht="14.25" thickBot="1">
      <c r="B16" s="3310"/>
      <c r="C16" s="3298" t="s">
        <v>3278</v>
      </c>
      <c r="D16" s="3298" t="s">
        <v>3155</v>
      </c>
      <c r="E16" s="3298" t="s">
        <v>3155</v>
      </c>
      <c r="F16" s="3298" t="s">
        <v>3155</v>
      </c>
      <c r="G16" s="3298" t="s">
        <v>3155</v>
      </c>
    </row>
    <row r="17" spans="2:7" ht="14.25" thickBot="1">
      <c r="B17" s="3310"/>
      <c r="C17" s="3298" t="s">
        <v>3279</v>
      </c>
      <c r="D17" s="3298" t="s">
        <v>3154</v>
      </c>
      <c r="E17" s="3298" t="s">
        <v>3154</v>
      </c>
      <c r="F17" s="3298" t="s">
        <v>3318</v>
      </c>
      <c r="G17" s="3298" t="s">
        <v>3154</v>
      </c>
    </row>
    <row r="18" spans="2:7" ht="14.25" thickBot="1">
      <c r="B18" s="3312"/>
      <c r="C18" s="3298" t="s">
        <v>3280</v>
      </c>
      <c r="D18" s="3300" t="s">
        <v>3281</v>
      </c>
      <c r="E18" s="3300" t="s">
        <v>3313</v>
      </c>
      <c r="F18" s="3300" t="s">
        <v>3281</v>
      </c>
      <c r="G18" s="3300" t="s">
        <v>3281</v>
      </c>
    </row>
    <row r="19" spans="2:7" ht="14.25" thickBot="1">
      <c r="B19" s="3311" t="s">
        <v>3282</v>
      </c>
      <c r="C19" s="3298" t="s">
        <v>3283</v>
      </c>
      <c r="D19" s="3298" t="s">
        <v>3173</v>
      </c>
      <c r="E19" s="3298" t="s">
        <v>3173</v>
      </c>
      <c r="F19" s="3298" t="s">
        <v>3173</v>
      </c>
      <c r="G19" s="3298" t="s">
        <v>3173</v>
      </c>
    </row>
    <row r="20" spans="2:7" ht="14.25" thickBot="1">
      <c r="B20" s="3310"/>
      <c r="C20" s="3298" t="s">
        <v>3284</v>
      </c>
      <c r="D20" s="3298" t="s">
        <v>3147</v>
      </c>
      <c r="E20" s="3298" t="s">
        <v>3147</v>
      </c>
      <c r="F20" s="3298" t="s">
        <v>3147</v>
      </c>
      <c r="G20" s="3298" t="s">
        <v>3147</v>
      </c>
    </row>
    <row r="21" spans="2:7" ht="26.25" thickBot="1">
      <c r="B21" s="3310"/>
      <c r="C21" s="3298" t="s">
        <v>3285</v>
      </c>
      <c r="D21" s="3298" t="s">
        <v>3178</v>
      </c>
      <c r="E21" s="3298" t="s">
        <v>3178</v>
      </c>
      <c r="F21" s="3298" t="s">
        <v>3178</v>
      </c>
      <c r="G21" s="3298" t="s">
        <v>3178</v>
      </c>
    </row>
    <row r="22" spans="2:7" ht="14.25" thickBot="1">
      <c r="B22" s="3310"/>
      <c r="C22" s="3298" t="s">
        <v>3286</v>
      </c>
      <c r="D22" s="3301">
        <v>0.98</v>
      </c>
      <c r="E22" s="3301">
        <v>0.95</v>
      </c>
      <c r="F22" s="3301">
        <v>0.95</v>
      </c>
      <c r="G22" s="3301">
        <v>0.9</v>
      </c>
    </row>
    <row r="23" spans="2:7" ht="26.25" thickBot="1">
      <c r="B23" s="3310"/>
      <c r="C23" s="3298" t="s">
        <v>3287</v>
      </c>
      <c r="D23" s="3298" t="s">
        <v>3157</v>
      </c>
      <c r="E23" s="3298" t="s">
        <v>3157</v>
      </c>
      <c r="F23" s="3298" t="s">
        <v>3157</v>
      </c>
      <c r="G23" s="3298" t="s">
        <v>3157</v>
      </c>
    </row>
    <row r="24" spans="2:7" ht="14.25" thickBot="1">
      <c r="B24" s="3310"/>
      <c r="C24" s="3298" t="s">
        <v>3288</v>
      </c>
      <c r="D24" s="3298" t="s">
        <v>3308</v>
      </c>
      <c r="E24" s="3298" t="s">
        <v>3308</v>
      </c>
      <c r="F24" s="3298" t="s">
        <v>3319</v>
      </c>
      <c r="G24" s="3298" t="s">
        <v>3319</v>
      </c>
    </row>
    <row r="25" spans="2:7" ht="14.25" thickBot="1">
      <c r="B25" s="3310"/>
      <c r="C25" s="3298" t="s">
        <v>3289</v>
      </c>
      <c r="D25" s="3298" t="s">
        <v>3191</v>
      </c>
      <c r="E25" s="3298" t="s">
        <v>3191</v>
      </c>
      <c r="F25" s="3298" t="s">
        <v>3191</v>
      </c>
      <c r="G25" s="3298" t="s">
        <v>3191</v>
      </c>
    </row>
    <row r="26" spans="2:7" ht="39" thickBot="1">
      <c r="B26" s="3310"/>
      <c r="C26" s="3298" t="s">
        <v>3290</v>
      </c>
      <c r="D26" s="3300">
        <v>54.53</v>
      </c>
      <c r="E26" s="3300">
        <v>49</v>
      </c>
      <c r="F26" s="3300">
        <v>52</v>
      </c>
      <c r="G26" s="3300">
        <v>50</v>
      </c>
    </row>
    <row r="27" spans="2:7" ht="14.25" thickBot="1">
      <c r="B27" s="3310"/>
      <c r="C27" s="3298" t="s">
        <v>3291</v>
      </c>
      <c r="D27" s="3298" t="s">
        <v>3155</v>
      </c>
      <c r="E27" s="3298" t="s">
        <v>3155</v>
      </c>
      <c r="F27" s="3298" t="s">
        <v>3155</v>
      </c>
      <c r="G27" s="3298" t="s">
        <v>3155</v>
      </c>
    </row>
    <row r="28" spans="2:7" ht="14.25" thickBot="1">
      <c r="B28" s="3310"/>
      <c r="C28" s="3298" t="s">
        <v>3292</v>
      </c>
      <c r="D28" s="3298" t="s">
        <v>3180</v>
      </c>
      <c r="E28" s="3298" t="s">
        <v>3180</v>
      </c>
      <c r="F28" s="3298" t="s">
        <v>3180</v>
      </c>
      <c r="G28" s="3298" t="s">
        <v>3180</v>
      </c>
    </row>
    <row r="29" spans="2:7" ht="26.25" thickBot="1">
      <c r="B29" s="3312"/>
      <c r="C29" s="3298" t="s">
        <v>3293</v>
      </c>
      <c r="D29" s="3298" t="s">
        <v>3155</v>
      </c>
      <c r="E29" s="3298" t="s">
        <v>3155</v>
      </c>
      <c r="F29" s="3298" t="s">
        <v>3155</v>
      </c>
      <c r="G29" s="3298" t="s">
        <v>3155</v>
      </c>
    </row>
    <row r="31" spans="2:7" ht="14.25" thickBot="1"/>
    <row r="32" spans="2:7" ht="14.25" thickBot="1">
      <c r="B32" s="3316" t="s">
        <v>3258</v>
      </c>
      <c r="C32" s="3317"/>
      <c r="D32" s="3313" t="s">
        <v>3259</v>
      </c>
      <c r="E32" s="3313" t="s">
        <v>3260</v>
      </c>
      <c r="F32" s="3313" t="s">
        <v>3261</v>
      </c>
      <c r="G32" s="3313" t="s">
        <v>3262</v>
      </c>
    </row>
    <row r="33" spans="2:7" ht="14.25" thickBot="1">
      <c r="B33" s="3316" t="s">
        <v>3324</v>
      </c>
      <c r="C33" s="3317"/>
      <c r="D33" s="3314">
        <v>100</v>
      </c>
      <c r="E33" s="3314">
        <v>100</v>
      </c>
      <c r="F33" s="3314">
        <v>100</v>
      </c>
      <c r="G33" s="3314">
        <v>100</v>
      </c>
    </row>
    <row r="34" spans="2:7" ht="14.25" thickBot="1">
      <c r="B34" s="3316" t="s">
        <v>3266</v>
      </c>
      <c r="C34" s="3317"/>
      <c r="D34" s="3314">
        <v>100</v>
      </c>
      <c r="E34" s="3314">
        <v>100</v>
      </c>
      <c r="F34" s="3314">
        <v>100</v>
      </c>
      <c r="G34" s="3314">
        <v>100</v>
      </c>
    </row>
    <row r="35" spans="2:7" ht="14.25" thickBot="1">
      <c r="B35" s="3319" t="s">
        <v>3267</v>
      </c>
      <c r="C35" s="3315" t="s">
        <v>1375</v>
      </c>
      <c r="D35" s="3314">
        <v>100</v>
      </c>
      <c r="E35" s="3314">
        <v>100</v>
      </c>
      <c r="F35" s="3314">
        <v>100</v>
      </c>
      <c r="G35" s="3314">
        <v>100</v>
      </c>
    </row>
    <row r="36" spans="2:7" ht="26.25" thickBot="1">
      <c r="B36" s="3318"/>
      <c r="C36" s="3315" t="s">
        <v>3325</v>
      </c>
      <c r="D36" s="3314">
        <v>100</v>
      </c>
      <c r="E36" s="3314">
        <v>103</v>
      </c>
      <c r="F36" s="3314">
        <v>103</v>
      </c>
      <c r="G36" s="3314">
        <v>103</v>
      </c>
    </row>
    <row r="37" spans="2:7" ht="14.25" thickBot="1">
      <c r="B37" s="3320"/>
      <c r="C37" s="3315" t="s">
        <v>3270</v>
      </c>
      <c r="D37" s="3314">
        <v>100</v>
      </c>
      <c r="E37" s="3314">
        <v>106</v>
      </c>
      <c r="F37" s="3314">
        <v>106</v>
      </c>
      <c r="G37" s="3314">
        <v>104</v>
      </c>
    </row>
    <row r="38" spans="2:7" ht="14.25" thickBot="1">
      <c r="B38" s="3319" t="s">
        <v>3271</v>
      </c>
      <c r="C38" s="3315" t="str">
        <f>C10</f>
        <v>商业繁华度</v>
      </c>
      <c r="D38" s="3314">
        <v>100</v>
      </c>
      <c r="E38" s="3314">
        <v>105</v>
      </c>
      <c r="F38" s="3314">
        <v>105</v>
      </c>
      <c r="G38" s="3314">
        <v>105</v>
      </c>
    </row>
    <row r="39" spans="2:7" ht="14.25" thickBot="1">
      <c r="B39" s="3318"/>
      <c r="C39" s="3315" t="str">
        <f t="shared" ref="C39:C46" si="0">C11</f>
        <v>交通便捷度</v>
      </c>
      <c r="D39" s="3314">
        <v>100</v>
      </c>
      <c r="E39" s="3314">
        <v>100</v>
      </c>
      <c r="F39" s="3314">
        <v>100</v>
      </c>
      <c r="G39" s="3314">
        <v>100</v>
      </c>
    </row>
    <row r="40" spans="2:7" ht="26.25" thickBot="1">
      <c r="B40" s="3318"/>
      <c r="C40" s="3315" t="str">
        <f t="shared" si="0"/>
        <v>公共配套设施</v>
      </c>
      <c r="D40" s="3314">
        <v>100</v>
      </c>
      <c r="E40" s="3314">
        <v>100</v>
      </c>
      <c r="F40" s="3314">
        <v>105</v>
      </c>
      <c r="G40" s="3314">
        <v>105</v>
      </c>
    </row>
    <row r="41" spans="2:7" ht="14.25" thickBot="1">
      <c r="B41" s="3318"/>
      <c r="C41" s="3315" t="str">
        <f t="shared" si="0"/>
        <v>区域基础设施水平</v>
      </c>
      <c r="D41" s="3314">
        <v>100</v>
      </c>
      <c r="E41" s="3314">
        <v>100</v>
      </c>
      <c r="F41" s="3314">
        <v>100</v>
      </c>
      <c r="G41" s="3314">
        <v>100</v>
      </c>
    </row>
    <row r="42" spans="2:7" ht="14.25" thickBot="1">
      <c r="B42" s="3318"/>
      <c r="C42" s="3315" t="str">
        <f t="shared" si="0"/>
        <v>自然及人文环境</v>
      </c>
      <c r="D42" s="3314">
        <v>100</v>
      </c>
      <c r="E42" s="3314">
        <v>100</v>
      </c>
      <c r="F42" s="3314">
        <v>100</v>
      </c>
      <c r="G42" s="3314">
        <v>100</v>
      </c>
    </row>
    <row r="43" spans="2:7" ht="14.25" thickBot="1">
      <c r="B43" s="3318"/>
      <c r="C43" s="3315" t="str">
        <f t="shared" si="0"/>
        <v>临街状况</v>
      </c>
      <c r="D43" s="3314">
        <v>100</v>
      </c>
      <c r="E43" s="3314">
        <v>100</v>
      </c>
      <c r="F43" s="3314">
        <v>100</v>
      </c>
      <c r="G43" s="3314">
        <v>100</v>
      </c>
    </row>
    <row r="44" spans="2:7" ht="14.25" thickBot="1">
      <c r="B44" s="3318"/>
      <c r="C44" s="3315" t="str">
        <f t="shared" si="0"/>
        <v>可视性</v>
      </c>
      <c r="D44" s="3314">
        <v>100</v>
      </c>
      <c r="E44" s="3314">
        <v>100</v>
      </c>
      <c r="F44" s="3314">
        <v>100</v>
      </c>
      <c r="G44" s="3314">
        <v>100</v>
      </c>
    </row>
    <row r="45" spans="2:7" ht="14.25" thickBot="1">
      <c r="B45" s="3318"/>
      <c r="C45" s="3315" t="str">
        <f t="shared" si="0"/>
        <v>人流量</v>
      </c>
      <c r="D45" s="3314">
        <v>100</v>
      </c>
      <c r="E45" s="3314">
        <v>100</v>
      </c>
      <c r="F45" s="3314">
        <v>105</v>
      </c>
      <c r="G45" s="3314">
        <v>100</v>
      </c>
    </row>
    <row r="46" spans="2:7" ht="14.25" thickBot="1">
      <c r="B46" s="3320"/>
      <c r="C46" s="3315" t="str">
        <f t="shared" si="0"/>
        <v>楼层</v>
      </c>
      <c r="D46" s="3314">
        <v>100</v>
      </c>
      <c r="E46" s="3314">
        <v>80</v>
      </c>
      <c r="F46" s="3314">
        <v>100</v>
      </c>
      <c r="G46" s="3314">
        <v>100</v>
      </c>
    </row>
    <row r="47" spans="2:7" ht="14.25" thickBot="1">
      <c r="B47" s="3319" t="s">
        <v>3282</v>
      </c>
      <c r="C47" s="3315" t="str">
        <f>C19</f>
        <v>商业类型</v>
      </c>
      <c r="D47" s="3314">
        <v>100</v>
      </c>
      <c r="E47" s="3314">
        <v>100</v>
      </c>
      <c r="F47" s="3314">
        <v>100</v>
      </c>
      <c r="G47" s="3314">
        <v>100</v>
      </c>
    </row>
    <row r="48" spans="2:7" ht="14.25" thickBot="1">
      <c r="B48" s="3318"/>
      <c r="C48" s="3315" t="str">
        <f t="shared" ref="C48:C57" si="1">C20</f>
        <v>建筑结构</v>
      </c>
      <c r="D48" s="3314">
        <v>100</v>
      </c>
      <c r="E48" s="3314">
        <v>100</v>
      </c>
      <c r="F48" s="3314">
        <v>100</v>
      </c>
      <c r="G48" s="3314">
        <v>100</v>
      </c>
    </row>
    <row r="49" spans="2:9" ht="14.25" thickBot="1">
      <c r="B49" s="3318"/>
      <c r="C49" s="3315" t="str">
        <f t="shared" si="1"/>
        <v>公共部分装修</v>
      </c>
      <c r="D49" s="3314">
        <v>100</v>
      </c>
      <c r="E49" s="3314">
        <v>100</v>
      </c>
      <c r="F49" s="3314">
        <v>100</v>
      </c>
      <c r="G49" s="3314">
        <v>100</v>
      </c>
    </row>
    <row r="50" spans="2:9" ht="14.25" thickBot="1">
      <c r="B50" s="3318"/>
      <c r="C50" s="3315" t="str">
        <f t="shared" si="1"/>
        <v>成新率</v>
      </c>
      <c r="D50" s="3314">
        <v>100</v>
      </c>
      <c r="E50" s="3314">
        <v>100</v>
      </c>
      <c r="F50" s="3314">
        <v>100</v>
      </c>
      <c r="G50" s="3314">
        <v>100</v>
      </c>
    </row>
    <row r="51" spans="2:9" ht="14.25" thickBot="1">
      <c r="B51" s="3318"/>
      <c r="C51" s="3315" t="str">
        <f t="shared" si="1"/>
        <v>市政基础设施</v>
      </c>
      <c r="D51" s="3314">
        <v>100</v>
      </c>
      <c r="E51" s="3314">
        <v>100</v>
      </c>
      <c r="F51" s="3314">
        <v>100</v>
      </c>
      <c r="G51" s="3314">
        <v>100</v>
      </c>
    </row>
    <row r="52" spans="2:9" ht="14.25" thickBot="1">
      <c r="B52" s="3318"/>
      <c r="C52" s="3315" t="str">
        <f t="shared" si="1"/>
        <v>业态</v>
      </c>
      <c r="D52" s="3314">
        <v>100</v>
      </c>
      <c r="E52" s="3314">
        <v>100</v>
      </c>
      <c r="F52" s="3314">
        <v>95</v>
      </c>
      <c r="G52" s="3314">
        <v>95</v>
      </c>
    </row>
    <row r="53" spans="2:9" ht="14.25" thickBot="1">
      <c r="B53" s="3318"/>
      <c r="C53" s="3315" t="str">
        <f t="shared" si="1"/>
        <v>层高</v>
      </c>
      <c r="D53" s="3314">
        <v>100</v>
      </c>
      <c r="E53" s="3314">
        <v>100</v>
      </c>
      <c r="F53" s="3314">
        <v>100</v>
      </c>
      <c r="G53" s="3314">
        <v>100</v>
      </c>
    </row>
    <row r="54" spans="2:9" ht="39" thickBot="1">
      <c r="B54" s="3318"/>
      <c r="C54" s="3315" t="str">
        <f t="shared" si="1"/>
        <v>单套建筑面积（平方米）</v>
      </c>
      <c r="D54" s="3314">
        <v>100</v>
      </c>
      <c r="E54" s="3314">
        <v>100</v>
      </c>
      <c r="F54" s="3314">
        <v>100</v>
      </c>
      <c r="G54" s="3314">
        <v>100</v>
      </c>
    </row>
    <row r="55" spans="2:9" ht="14.25" thickBot="1">
      <c r="B55" s="3318"/>
      <c r="C55" s="3315" t="str">
        <f t="shared" si="1"/>
        <v>进深比</v>
      </c>
      <c r="D55" s="3314">
        <v>100</v>
      </c>
      <c r="E55" s="3314">
        <v>100</v>
      </c>
      <c r="F55" s="3314">
        <v>100</v>
      </c>
      <c r="G55" s="3314">
        <v>100</v>
      </c>
    </row>
    <row r="56" spans="2:9" ht="14.25" thickBot="1">
      <c r="B56" s="3318"/>
      <c r="C56" s="3315" t="str">
        <f t="shared" si="1"/>
        <v>内部装修</v>
      </c>
      <c r="D56" s="3314">
        <v>100</v>
      </c>
      <c r="E56" s="3314">
        <v>100</v>
      </c>
      <c r="F56" s="3314">
        <v>100</v>
      </c>
      <c r="G56" s="3314">
        <v>100</v>
      </c>
    </row>
    <row r="57" spans="2:9" ht="14.25" thickBot="1">
      <c r="B57" s="3320"/>
      <c r="C57" s="3315" t="str">
        <f t="shared" si="1"/>
        <v>内部装修维护状况</v>
      </c>
      <c r="D57" s="3314">
        <v>100</v>
      </c>
      <c r="E57" s="3314">
        <v>100</v>
      </c>
      <c r="F57" s="3314">
        <v>100</v>
      </c>
      <c r="G57" s="3314">
        <v>100</v>
      </c>
    </row>
    <row r="59" spans="2:9" ht="14.25" thickBot="1"/>
    <row r="60" spans="2:9" ht="14.25" thickBot="1">
      <c r="B60" s="3316" t="s">
        <v>3258</v>
      </c>
      <c r="C60" s="3317"/>
      <c r="D60" s="3322" t="s">
        <v>3260</v>
      </c>
      <c r="E60" s="3323"/>
      <c r="F60" s="3322" t="s">
        <v>3261</v>
      </c>
      <c r="G60" s="3323"/>
      <c r="H60" s="3322" t="s">
        <v>3262</v>
      </c>
      <c r="I60" s="3323"/>
    </row>
    <row r="61" spans="2:9" ht="14.25" thickBot="1">
      <c r="B61" s="3316" t="s">
        <v>3324</v>
      </c>
      <c r="C61" s="3317"/>
      <c r="D61" s="3321" t="s">
        <v>3326</v>
      </c>
      <c r="E61" s="3314">
        <f>E33</f>
        <v>100</v>
      </c>
      <c r="F61" s="3321" t="s">
        <v>3326</v>
      </c>
      <c r="G61" s="3314">
        <f>F33</f>
        <v>100</v>
      </c>
      <c r="H61" s="3321" t="s">
        <v>3326</v>
      </c>
      <c r="I61" s="3314">
        <f>G33</f>
        <v>100</v>
      </c>
    </row>
    <row r="62" spans="2:9" ht="14.25" thickBot="1">
      <c r="B62" s="3316" t="s">
        <v>3266</v>
      </c>
      <c r="C62" s="3317"/>
      <c r="D62" s="3321" t="s">
        <v>3326</v>
      </c>
      <c r="E62" s="3314">
        <f t="shared" ref="E62:E84" si="2">E34</f>
        <v>100</v>
      </c>
      <c r="F62" s="3321" t="s">
        <v>3326</v>
      </c>
      <c r="G62" s="3314">
        <f t="shared" ref="G62:G84" si="3">F34</f>
        <v>100</v>
      </c>
      <c r="H62" s="3321" t="s">
        <v>3326</v>
      </c>
      <c r="I62" s="3314">
        <f t="shared" ref="I62:I84" si="4">G34</f>
        <v>100</v>
      </c>
    </row>
    <row r="63" spans="2:9" ht="14.25" thickBot="1">
      <c r="B63" s="3319" t="s">
        <v>3267</v>
      </c>
      <c r="C63" s="3315" t="s">
        <v>1375</v>
      </c>
      <c r="D63" s="3321" t="s">
        <v>3326</v>
      </c>
      <c r="E63" s="3314">
        <f t="shared" si="2"/>
        <v>100</v>
      </c>
      <c r="F63" s="3321" t="s">
        <v>3326</v>
      </c>
      <c r="G63" s="3314">
        <f t="shared" si="3"/>
        <v>100</v>
      </c>
      <c r="H63" s="3321" t="s">
        <v>3326</v>
      </c>
      <c r="I63" s="3314">
        <f t="shared" si="4"/>
        <v>100</v>
      </c>
    </row>
    <row r="64" spans="2:9" ht="26.25" thickBot="1">
      <c r="B64" s="3320"/>
      <c r="C64" s="3315" t="s">
        <v>3268</v>
      </c>
      <c r="D64" s="3321" t="s">
        <v>3326</v>
      </c>
      <c r="E64" s="3314">
        <f t="shared" si="2"/>
        <v>103</v>
      </c>
      <c r="F64" s="3321" t="s">
        <v>3326</v>
      </c>
      <c r="G64" s="3314">
        <f t="shared" si="3"/>
        <v>103</v>
      </c>
      <c r="H64" s="3321" t="s">
        <v>3326</v>
      </c>
      <c r="I64" s="3314">
        <f t="shared" si="4"/>
        <v>103</v>
      </c>
    </row>
    <row r="65" spans="2:9" ht="14.25" thickBot="1">
      <c r="B65" s="3319" t="s">
        <v>3271</v>
      </c>
      <c r="C65" s="3315" t="s">
        <v>3272</v>
      </c>
      <c r="D65" s="3321" t="s">
        <v>3326</v>
      </c>
      <c r="E65" s="3314">
        <f t="shared" si="2"/>
        <v>106</v>
      </c>
      <c r="F65" s="3321" t="s">
        <v>3326</v>
      </c>
      <c r="G65" s="3314">
        <f t="shared" si="3"/>
        <v>106</v>
      </c>
      <c r="H65" s="3321" t="s">
        <v>3326</v>
      </c>
      <c r="I65" s="3314">
        <f t="shared" si="4"/>
        <v>104</v>
      </c>
    </row>
    <row r="66" spans="2:9" ht="14.25" thickBot="1">
      <c r="B66" s="3318"/>
      <c r="C66" s="3315" t="s">
        <v>3273</v>
      </c>
      <c r="D66" s="3321" t="s">
        <v>3326</v>
      </c>
      <c r="E66" s="3314">
        <f t="shared" si="2"/>
        <v>105</v>
      </c>
      <c r="F66" s="3321" t="s">
        <v>3326</v>
      </c>
      <c r="G66" s="3314">
        <f t="shared" si="3"/>
        <v>105</v>
      </c>
      <c r="H66" s="3321" t="s">
        <v>3326</v>
      </c>
      <c r="I66" s="3314">
        <f t="shared" si="4"/>
        <v>105</v>
      </c>
    </row>
    <row r="67" spans="2:9" ht="26.25" thickBot="1">
      <c r="B67" s="3318"/>
      <c r="C67" s="3315" t="s">
        <v>3274</v>
      </c>
      <c r="D67" s="3321" t="s">
        <v>3326</v>
      </c>
      <c r="E67" s="3314">
        <f t="shared" si="2"/>
        <v>100</v>
      </c>
      <c r="F67" s="3321" t="s">
        <v>3326</v>
      </c>
      <c r="G67" s="3314">
        <f t="shared" si="3"/>
        <v>100</v>
      </c>
      <c r="H67" s="3321" t="s">
        <v>3326</v>
      </c>
      <c r="I67" s="3314">
        <f t="shared" si="4"/>
        <v>100</v>
      </c>
    </row>
    <row r="68" spans="2:9" ht="26.25" thickBot="1">
      <c r="B68" s="3318"/>
      <c r="C68" s="3315" t="s">
        <v>3275</v>
      </c>
      <c r="D68" s="3321" t="s">
        <v>3326</v>
      </c>
      <c r="E68" s="3314">
        <f t="shared" si="2"/>
        <v>100</v>
      </c>
      <c r="F68" s="3321" t="s">
        <v>3326</v>
      </c>
      <c r="G68" s="3314">
        <f t="shared" si="3"/>
        <v>105</v>
      </c>
      <c r="H68" s="3321" t="s">
        <v>3326</v>
      </c>
      <c r="I68" s="3314">
        <f t="shared" si="4"/>
        <v>105</v>
      </c>
    </row>
    <row r="69" spans="2:9" ht="26.25" thickBot="1">
      <c r="B69" s="3318"/>
      <c r="C69" s="3315" t="s">
        <v>3276</v>
      </c>
      <c r="D69" s="3321" t="s">
        <v>3326</v>
      </c>
      <c r="E69" s="3314">
        <f t="shared" si="2"/>
        <v>100</v>
      </c>
      <c r="F69" s="3321" t="s">
        <v>3326</v>
      </c>
      <c r="G69" s="3314">
        <f t="shared" si="3"/>
        <v>100</v>
      </c>
      <c r="H69" s="3321" t="s">
        <v>3326</v>
      </c>
      <c r="I69" s="3314">
        <f t="shared" si="4"/>
        <v>100</v>
      </c>
    </row>
    <row r="70" spans="2:9" ht="14.25" thickBot="1">
      <c r="B70" s="3318"/>
      <c r="C70" s="3315" t="s">
        <v>3277</v>
      </c>
      <c r="D70" s="3321" t="s">
        <v>3326</v>
      </c>
      <c r="E70" s="3314">
        <f t="shared" si="2"/>
        <v>100</v>
      </c>
      <c r="F70" s="3321" t="s">
        <v>3326</v>
      </c>
      <c r="G70" s="3314">
        <f t="shared" si="3"/>
        <v>100</v>
      </c>
      <c r="H70" s="3321" t="s">
        <v>3326</v>
      </c>
      <c r="I70" s="3314">
        <f t="shared" si="4"/>
        <v>100</v>
      </c>
    </row>
    <row r="71" spans="2:9" ht="14.25" thickBot="1">
      <c r="B71" s="3318"/>
      <c r="C71" s="3315" t="s">
        <v>3278</v>
      </c>
      <c r="D71" s="3321" t="s">
        <v>3326</v>
      </c>
      <c r="E71" s="3314">
        <f t="shared" si="2"/>
        <v>100</v>
      </c>
      <c r="F71" s="3321" t="s">
        <v>3326</v>
      </c>
      <c r="G71" s="3314">
        <f t="shared" si="3"/>
        <v>100</v>
      </c>
      <c r="H71" s="3321" t="s">
        <v>3326</v>
      </c>
      <c r="I71" s="3314">
        <f t="shared" si="4"/>
        <v>100</v>
      </c>
    </row>
    <row r="72" spans="2:9" ht="14.25" thickBot="1">
      <c r="B72" s="3318"/>
      <c r="C72" s="3315" t="s">
        <v>3279</v>
      </c>
      <c r="D72" s="3321" t="s">
        <v>3326</v>
      </c>
      <c r="E72" s="3314">
        <f t="shared" si="2"/>
        <v>100</v>
      </c>
      <c r="F72" s="3321" t="s">
        <v>3326</v>
      </c>
      <c r="G72" s="3314">
        <f t="shared" si="3"/>
        <v>100</v>
      </c>
      <c r="H72" s="3321" t="s">
        <v>3326</v>
      </c>
      <c r="I72" s="3314">
        <f t="shared" si="4"/>
        <v>100</v>
      </c>
    </row>
    <row r="73" spans="2:9" ht="14.25" thickBot="1">
      <c r="B73" s="3320"/>
      <c r="C73" s="3315" t="s">
        <v>3280</v>
      </c>
      <c r="D73" s="3321" t="s">
        <v>3326</v>
      </c>
      <c r="E73" s="3314">
        <f t="shared" si="2"/>
        <v>100</v>
      </c>
      <c r="F73" s="3321" t="s">
        <v>3326</v>
      </c>
      <c r="G73" s="3314">
        <f t="shared" si="3"/>
        <v>105</v>
      </c>
      <c r="H73" s="3321" t="s">
        <v>3326</v>
      </c>
      <c r="I73" s="3314">
        <f t="shared" si="4"/>
        <v>100</v>
      </c>
    </row>
    <row r="74" spans="2:9" ht="14.25" thickBot="1">
      <c r="B74" s="3319" t="s">
        <v>3282</v>
      </c>
      <c r="C74" s="3315" t="s">
        <v>3283</v>
      </c>
      <c r="D74" s="3321" t="s">
        <v>3326</v>
      </c>
      <c r="E74" s="3314">
        <f t="shared" si="2"/>
        <v>80</v>
      </c>
      <c r="F74" s="3321" t="s">
        <v>3326</v>
      </c>
      <c r="G74" s="3314">
        <f t="shared" si="3"/>
        <v>100</v>
      </c>
      <c r="H74" s="3321" t="s">
        <v>3326</v>
      </c>
      <c r="I74" s="3314">
        <f t="shared" si="4"/>
        <v>100</v>
      </c>
    </row>
    <row r="75" spans="2:9" ht="14.25" thickBot="1">
      <c r="B75" s="3318"/>
      <c r="C75" s="3315" t="s">
        <v>3284</v>
      </c>
      <c r="D75" s="3321" t="s">
        <v>3326</v>
      </c>
      <c r="E75" s="3314">
        <f t="shared" si="2"/>
        <v>100</v>
      </c>
      <c r="F75" s="3321" t="s">
        <v>3326</v>
      </c>
      <c r="G75" s="3314">
        <f t="shared" si="3"/>
        <v>100</v>
      </c>
      <c r="H75" s="3321" t="s">
        <v>3326</v>
      </c>
      <c r="I75" s="3314">
        <f t="shared" si="4"/>
        <v>100</v>
      </c>
    </row>
    <row r="76" spans="2:9" ht="26.25" thickBot="1">
      <c r="B76" s="3318"/>
      <c r="C76" s="3315" t="s">
        <v>3285</v>
      </c>
      <c r="D76" s="3321" t="s">
        <v>3326</v>
      </c>
      <c r="E76" s="3314">
        <f t="shared" si="2"/>
        <v>100</v>
      </c>
      <c r="F76" s="3321" t="s">
        <v>3326</v>
      </c>
      <c r="G76" s="3314">
        <f t="shared" si="3"/>
        <v>100</v>
      </c>
      <c r="H76" s="3321" t="s">
        <v>3326</v>
      </c>
      <c r="I76" s="3314">
        <f t="shared" si="4"/>
        <v>100</v>
      </c>
    </row>
    <row r="77" spans="2:9" ht="14.25" thickBot="1">
      <c r="B77" s="3318"/>
      <c r="C77" s="3315" t="s">
        <v>3286</v>
      </c>
      <c r="D77" s="3321" t="s">
        <v>3326</v>
      </c>
      <c r="E77" s="3314">
        <f t="shared" si="2"/>
        <v>100</v>
      </c>
      <c r="F77" s="3321" t="s">
        <v>3326</v>
      </c>
      <c r="G77" s="3314">
        <f t="shared" si="3"/>
        <v>100</v>
      </c>
      <c r="H77" s="3321" t="s">
        <v>3326</v>
      </c>
      <c r="I77" s="3314">
        <f t="shared" si="4"/>
        <v>100</v>
      </c>
    </row>
    <row r="78" spans="2:9" ht="26.25" thickBot="1">
      <c r="B78" s="3318"/>
      <c r="C78" s="3315" t="s">
        <v>3287</v>
      </c>
      <c r="D78" s="3321" t="s">
        <v>3326</v>
      </c>
      <c r="E78" s="3314">
        <f t="shared" si="2"/>
        <v>100</v>
      </c>
      <c r="F78" s="3321" t="s">
        <v>3326</v>
      </c>
      <c r="G78" s="3314">
        <f t="shared" si="3"/>
        <v>100</v>
      </c>
      <c r="H78" s="3321" t="s">
        <v>3326</v>
      </c>
      <c r="I78" s="3314">
        <f t="shared" si="4"/>
        <v>100</v>
      </c>
    </row>
    <row r="79" spans="2:9" ht="14.25" thickBot="1">
      <c r="B79" s="3318"/>
      <c r="C79" s="3315" t="s">
        <v>3288</v>
      </c>
      <c r="D79" s="3321" t="s">
        <v>3326</v>
      </c>
      <c r="E79" s="3314">
        <f t="shared" si="2"/>
        <v>100</v>
      </c>
      <c r="F79" s="3321" t="s">
        <v>3326</v>
      </c>
      <c r="G79" s="3314">
        <f t="shared" si="3"/>
        <v>100</v>
      </c>
      <c r="H79" s="3321" t="s">
        <v>3326</v>
      </c>
      <c r="I79" s="3314">
        <f t="shared" si="4"/>
        <v>100</v>
      </c>
    </row>
    <row r="80" spans="2:9" ht="14.25" thickBot="1">
      <c r="B80" s="3318"/>
      <c r="C80" s="3315" t="s">
        <v>3289</v>
      </c>
      <c r="D80" s="3321" t="s">
        <v>3326</v>
      </c>
      <c r="E80" s="3314">
        <f t="shared" si="2"/>
        <v>100</v>
      </c>
      <c r="F80" s="3321" t="s">
        <v>3326</v>
      </c>
      <c r="G80" s="3314">
        <f t="shared" si="3"/>
        <v>95</v>
      </c>
      <c r="H80" s="3321" t="s">
        <v>3326</v>
      </c>
      <c r="I80" s="3314">
        <f t="shared" si="4"/>
        <v>95</v>
      </c>
    </row>
    <row r="81" spans="2:9" ht="39" thickBot="1">
      <c r="B81" s="3318"/>
      <c r="C81" s="3315" t="s">
        <v>3290</v>
      </c>
      <c r="D81" s="3321" t="s">
        <v>3326</v>
      </c>
      <c r="E81" s="3314">
        <f t="shared" si="2"/>
        <v>100</v>
      </c>
      <c r="F81" s="3321" t="s">
        <v>3326</v>
      </c>
      <c r="G81" s="3314">
        <f t="shared" si="3"/>
        <v>100</v>
      </c>
      <c r="H81" s="3321" t="s">
        <v>3326</v>
      </c>
      <c r="I81" s="3314">
        <f t="shared" si="4"/>
        <v>100</v>
      </c>
    </row>
    <row r="82" spans="2:9" ht="14.25" thickBot="1">
      <c r="B82" s="3318"/>
      <c r="C82" s="3315" t="s">
        <v>3291</v>
      </c>
      <c r="D82" s="3321" t="s">
        <v>3326</v>
      </c>
      <c r="E82" s="3314">
        <f t="shared" si="2"/>
        <v>100</v>
      </c>
      <c r="F82" s="3321" t="s">
        <v>3326</v>
      </c>
      <c r="G82" s="3314">
        <f t="shared" si="3"/>
        <v>100</v>
      </c>
      <c r="H82" s="3321" t="s">
        <v>3326</v>
      </c>
      <c r="I82" s="3314">
        <f t="shared" si="4"/>
        <v>100</v>
      </c>
    </row>
    <row r="83" spans="2:9" ht="14.25" thickBot="1">
      <c r="B83" s="3318"/>
      <c r="C83" s="3315" t="s">
        <v>3292</v>
      </c>
      <c r="D83" s="3321" t="s">
        <v>3326</v>
      </c>
      <c r="E83" s="3314">
        <f t="shared" si="2"/>
        <v>100</v>
      </c>
      <c r="F83" s="3321" t="s">
        <v>3326</v>
      </c>
      <c r="G83" s="3314">
        <f t="shared" si="3"/>
        <v>100</v>
      </c>
      <c r="H83" s="3321" t="s">
        <v>3326</v>
      </c>
      <c r="I83" s="3314">
        <f t="shared" si="4"/>
        <v>100</v>
      </c>
    </row>
    <row r="84" spans="2:9" ht="26.25" thickBot="1">
      <c r="B84" s="3320"/>
      <c r="C84" s="3315" t="s">
        <v>3293</v>
      </c>
      <c r="D84" s="3321" t="s">
        <v>3326</v>
      </c>
      <c r="E84" s="3314">
        <f t="shared" si="2"/>
        <v>100</v>
      </c>
      <c r="F84" s="3321" t="s">
        <v>3326</v>
      </c>
      <c r="G84" s="3314">
        <f t="shared" si="3"/>
        <v>100</v>
      </c>
      <c r="H84" s="3321" t="s">
        <v>3326</v>
      </c>
      <c r="I84" s="3314">
        <f t="shared" si="4"/>
        <v>100</v>
      </c>
    </row>
    <row r="85" spans="2:9" ht="14.25" thickBot="1">
      <c r="B85" s="3322" t="s">
        <v>3327</v>
      </c>
      <c r="C85" s="3323"/>
      <c r="D85" s="3324">
        <v>27075</v>
      </c>
      <c r="E85" s="3325"/>
      <c r="F85" s="3324">
        <v>32538</v>
      </c>
      <c r="G85" s="3325"/>
      <c r="H85" s="3324">
        <v>30875</v>
      </c>
      <c r="I85" s="3325"/>
    </row>
    <row r="86" spans="2:9" ht="14.25" thickBot="1">
      <c r="B86" s="3322" t="s">
        <v>3328</v>
      </c>
      <c r="C86" s="3323"/>
      <c r="D86" s="3324">
        <v>29522</v>
      </c>
      <c r="E86" s="3325"/>
      <c r="F86" s="3324">
        <v>27099</v>
      </c>
      <c r="G86" s="3325"/>
      <c r="H86" s="3324">
        <v>27519</v>
      </c>
      <c r="I86" s="3325"/>
    </row>
  </sheetData>
  <mergeCells count="29">
    <mergeCell ref="H85:I85"/>
    <mergeCell ref="B86:C86"/>
    <mergeCell ref="D86:E86"/>
    <mergeCell ref="F86:G86"/>
    <mergeCell ref="H86:I86"/>
    <mergeCell ref="B63:B64"/>
    <mergeCell ref="B65:B73"/>
    <mergeCell ref="B74:B84"/>
    <mergeCell ref="B85:C85"/>
    <mergeCell ref="D85:E85"/>
    <mergeCell ref="F85:G85"/>
    <mergeCell ref="B60:C60"/>
    <mergeCell ref="D60:E60"/>
    <mergeCell ref="F60:G60"/>
    <mergeCell ref="H60:I60"/>
    <mergeCell ref="B61:C61"/>
    <mergeCell ref="B62:C62"/>
    <mergeCell ref="B32:C32"/>
    <mergeCell ref="B33:C33"/>
    <mergeCell ref="B34:C34"/>
    <mergeCell ref="B35:B37"/>
    <mergeCell ref="B38:B46"/>
    <mergeCell ref="B47:B57"/>
    <mergeCell ref="B2:C4"/>
    <mergeCell ref="B5:C5"/>
    <mergeCell ref="B6:C6"/>
    <mergeCell ref="B7:B9"/>
    <mergeCell ref="B10:B18"/>
    <mergeCell ref="B19:B29"/>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4" t="s">
        <v>1638</v>
      </c>
      <c r="E3" s="1044" t="s">
        <v>1644</v>
      </c>
      <c r="F3" s="1044" t="s">
        <v>1638</v>
      </c>
      <c r="G3" s="1044" t="s">
        <v>1639</v>
      </c>
      <c r="H3" s="1044" t="s">
        <v>1638</v>
      </c>
      <c r="I3" s="1044" t="s">
        <v>1639</v>
      </c>
    </row>
    <row r="4" spans="1:9" ht="60">
      <c r="A4" s="1973" t="str">
        <f>项目基本情况!S2</f>
        <v>湖北省武汉市江夏区江夏经济开发区街文化大道36号鹏湖湾二期2-4栋/单元1-2层1号等31套商业用房房地产</v>
      </c>
      <c r="B4" s="1044">
        <f>项目基本情况!C17</f>
        <v>8582.619999999999</v>
      </c>
      <c r="C4" s="1044">
        <f>项目基本情况!C18</f>
        <v>1023.05</v>
      </c>
      <c r="D4" s="1044" t="e">
        <f ca="1">结果表!D118</f>
        <v>#REF!</v>
      </c>
      <c r="E4" s="1044" t="e">
        <f ca="1">结果表!E118</f>
        <v>#REF!</v>
      </c>
      <c r="F4" s="1044" t="e">
        <f ca="1">结果表!F118</f>
        <v>#REF!</v>
      </c>
      <c r="G4" s="1044" t="e">
        <f ca="1">结果表!G118</f>
        <v>#REF!</v>
      </c>
      <c r="H4" s="1044">
        <f ca="1">结果表!H118</f>
        <v>133</v>
      </c>
      <c r="I4" s="1044">
        <f ca="1">结果表!I118</f>
        <v>24390</v>
      </c>
    </row>
    <row r="5" spans="1:9" ht="30" customHeight="1">
      <c r="A5" s="2984" t="s">
        <v>1640</v>
      </c>
      <c r="B5" s="2984"/>
      <c r="C5" s="2984"/>
      <c r="D5" s="2985" t="e">
        <f ca="1">结果表!D119</f>
        <v>#REF!</v>
      </c>
      <c r="E5" s="2985"/>
      <c r="F5" s="2985" t="e">
        <f ca="1">结果表!F119</f>
        <v>#REF!</v>
      </c>
      <c r="G5" s="2985"/>
      <c r="H5" s="2985" t="str">
        <f ca="1">结果表!H119</f>
        <v>壹佰叁拾叁万元整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1640</v>
      </c>
      <c r="B7" s="2984"/>
      <c r="C7" s="2984"/>
      <c r="D7" s="2987" t="str">
        <f>结果表!D121</f>
        <v>零元整</v>
      </c>
      <c r="E7" s="2988"/>
      <c r="F7" s="2988"/>
      <c r="G7" s="2988"/>
      <c r="H7" s="2988"/>
      <c r="I7" s="2989"/>
    </row>
    <row r="8" spans="1:9" ht="15.75">
      <c r="A8" s="2986" t="str">
        <f>结果表!A122</f>
        <v>房地产抵押价值</v>
      </c>
      <c r="B8" s="2986"/>
      <c r="C8" s="2986"/>
      <c r="D8" s="2986">
        <f ca="1">结果表!D122</f>
        <v>133</v>
      </c>
      <c r="E8" s="2986"/>
      <c r="F8" s="2986"/>
      <c r="G8" s="2986"/>
      <c r="H8" s="2986"/>
      <c r="I8" s="2986"/>
    </row>
    <row r="9" spans="1:9" ht="15">
      <c r="A9" s="2984" t="s">
        <v>1640</v>
      </c>
      <c r="B9" s="2984"/>
      <c r="C9" s="2984"/>
      <c r="D9" s="2985" t="str">
        <f ca="1">结果表!D123</f>
        <v>壹佰叁拾叁万元整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1640</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1640</v>
      </c>
      <c r="B13" s="2990"/>
      <c r="C13" s="2990"/>
      <c r="D13" s="2991" t="e">
        <f>结果表!D127</f>
        <v>#VALUE!</v>
      </c>
      <c r="E13" s="2991"/>
      <c r="F13" s="2991"/>
      <c r="G13" s="2991"/>
      <c r="H13" s="2991"/>
      <c r="I13" s="2991"/>
    </row>
    <row r="14" spans="1:9" ht="15" thickTop="1">
      <c r="A14" s="2992" t="s">
        <v>1645</v>
      </c>
      <c r="B14" s="2992"/>
      <c r="C14" s="2992"/>
      <c r="D14" s="2992"/>
      <c r="E14" s="2992"/>
      <c r="F14" s="2992"/>
      <c r="G14" s="2992"/>
      <c r="H14" s="2992"/>
      <c r="I14" s="2992"/>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2993" t="s">
        <v>1662</v>
      </c>
      <c r="B1" s="2993"/>
      <c r="C1" s="2993"/>
      <c r="D1" s="2993"/>
    </row>
    <row r="2" spans="1:4" ht="18">
      <c r="A2" s="2994" t="s">
        <v>1646</v>
      </c>
      <c r="B2" s="2994"/>
      <c r="C2" s="2994"/>
      <c r="D2" s="2994"/>
    </row>
    <row r="3" spans="1:4" ht="18.75">
      <c r="A3" s="1977" t="s">
        <v>1647</v>
      </c>
      <c r="B3" s="1977" t="s">
        <v>1648</v>
      </c>
      <c r="C3" s="1977" t="s">
        <v>1649</v>
      </c>
      <c r="D3" s="1977" t="s">
        <v>1650</v>
      </c>
    </row>
    <row r="4" spans="1:4" ht="56.25" customHeight="1">
      <c r="A4" s="1978" t="str">
        <f>项目基本情况!B4</f>
        <v>郑燚</v>
      </c>
      <c r="B4" s="1979">
        <f ca="1">项目基本情况!C4</f>
        <v>1120070131</v>
      </c>
      <c r="C4" s="1980"/>
      <c r="D4" s="1981" t="s">
        <v>1651</v>
      </c>
    </row>
    <row r="5" spans="1:4" ht="56.25" customHeight="1">
      <c r="A5" s="1978" t="str">
        <f>项目基本情况!D4</f>
        <v>王萌</v>
      </c>
      <c r="B5" s="1979">
        <f ca="1">项目基本情况!E4</f>
        <v>1120130048</v>
      </c>
      <c r="C5" s="1982"/>
      <c r="D5" s="1981" t="s">
        <v>1651</v>
      </c>
    </row>
    <row r="6" spans="1:4" ht="18">
      <c r="A6" s="2994" t="s">
        <v>1652</v>
      </c>
      <c r="B6" s="2994"/>
      <c r="C6" s="2994"/>
      <c r="D6" s="2994"/>
    </row>
    <row r="7" spans="1:4" ht="18.75">
      <c r="A7" s="1977" t="s">
        <v>1647</v>
      </c>
      <c r="B7" s="1979" t="s">
        <v>1653</v>
      </c>
      <c r="C7" s="1977" t="s">
        <v>1649</v>
      </c>
      <c r="D7" s="1977" t="s">
        <v>1650</v>
      </c>
    </row>
    <row r="8" spans="1:4" ht="56.25" customHeight="1">
      <c r="A8" s="1983" t="s">
        <v>869</v>
      </c>
      <c r="B8" s="1983" t="s">
        <v>1</v>
      </c>
      <c r="C8" s="1980"/>
      <c r="D8" s="1981" t="s">
        <v>1651</v>
      </c>
    </row>
    <row r="9" spans="1:4">
      <c r="A9" s="725"/>
      <c r="B9" s="725"/>
      <c r="C9" s="725"/>
      <c r="D9" s="725"/>
    </row>
    <row r="10" spans="1:4" ht="18.75">
      <c r="A10" s="1984" t="s">
        <v>1654</v>
      </c>
      <c r="B10" s="725"/>
      <c r="C10" s="725"/>
      <c r="D10" s="725"/>
    </row>
    <row r="11" spans="1:4" ht="30" customHeight="1">
      <c r="A11" s="2995" t="s">
        <v>1655</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（1）根据估价对象《国有土地使用证》原件，截至价值时点，估价对象抵押权未见登记。</v>
      </c>
      <c r="B15" s="2996"/>
      <c r="C15" s="2996"/>
      <c r="D15" s="2996"/>
    </row>
    <row r="16" spans="1:4" ht="30" customHeight="1">
      <c r="A16" s="2999" t="s">
        <v>1656</v>
      </c>
      <c r="B16" s="2999"/>
      <c r="C16" s="2999"/>
      <c r="D16" s="2999"/>
    </row>
    <row r="17" spans="1:4" ht="144" customHeight="1">
      <c r="A17" s="2999" t="s">
        <v>1657</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1658</v>
      </c>
      <c r="B22" s="3001"/>
      <c r="C22" s="3001"/>
      <c r="D22" s="3001"/>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07" t="s">
        <v>1669</v>
      </c>
      <c r="B15" s="3002" t="s">
        <v>136</v>
      </c>
      <c r="C15" s="3003"/>
    </row>
    <row r="16" spans="1:7" ht="13.5">
      <c r="A16" s="3008"/>
      <c r="B16" s="3002" t="s">
        <v>69</v>
      </c>
      <c r="C16" s="3003"/>
    </row>
    <row r="17" spans="1:3" ht="13.5">
      <c r="A17" s="3008"/>
      <c r="B17" s="3005" t="s">
        <v>1670</v>
      </c>
      <c r="C17" s="2000" t="s">
        <v>1669</v>
      </c>
    </row>
    <row r="18" spans="1:3" ht="13.5">
      <c r="A18" s="3008"/>
      <c r="B18" s="3005"/>
      <c r="C18" s="2000" t="s">
        <v>1671</v>
      </c>
    </row>
    <row r="19" spans="1:3" ht="13.5">
      <c r="A19" s="3008"/>
      <c r="B19" s="3005"/>
      <c r="C19" s="2000" t="s">
        <v>1672</v>
      </c>
    </row>
    <row r="20" spans="1:3" ht="13.5">
      <c r="A20" s="3009"/>
      <c r="B20" s="3004" t="s">
        <v>1673</v>
      </c>
      <c r="C20" s="3003"/>
    </row>
    <row r="21" spans="1:3" ht="13.5">
      <c r="A21" s="2001" t="s">
        <v>1674</v>
      </c>
      <c r="B21" s="2002"/>
      <c r="C21" s="2003"/>
    </row>
    <row r="22" spans="1:3" ht="13.5">
      <c r="A22" s="3006" t="s">
        <v>1675</v>
      </c>
      <c r="B22" s="3004" t="s">
        <v>1676</v>
      </c>
      <c r="C22" s="3003"/>
    </row>
    <row r="23" spans="1:3" ht="13.5">
      <c r="A23" s="3006"/>
      <c r="B23" s="3004" t="s">
        <v>1677</v>
      </c>
      <c r="C23" s="3003"/>
    </row>
    <row r="24" spans="1:3" ht="13.5">
      <c r="A24" s="3006"/>
      <c r="B24" s="3004" t="s">
        <v>1678</v>
      </c>
      <c r="C24" s="3003"/>
    </row>
    <row r="25" spans="1:3" ht="13.5">
      <c r="A25" s="3006"/>
      <c r="B25" s="3005" t="s">
        <v>1679</v>
      </c>
      <c r="C25" s="2000" t="s">
        <v>1680</v>
      </c>
    </row>
    <row r="26" spans="1:3" ht="13.5">
      <c r="A26" s="3006"/>
      <c r="B26" s="3005"/>
      <c r="C26" s="2000" t="s">
        <v>1681</v>
      </c>
    </row>
    <row r="27" spans="1:3" ht="13.5">
      <c r="A27" s="3006"/>
      <c r="B27" s="3005"/>
      <c r="C27" s="2000" t="s">
        <v>1682</v>
      </c>
    </row>
    <row r="28" spans="1:3" ht="13.5">
      <c r="A28" s="3006"/>
      <c r="B28" s="3005"/>
      <c r="C28" s="2000" t="s">
        <v>1683</v>
      </c>
    </row>
    <row r="29" spans="1:3" ht="13.5">
      <c r="A29" s="3006"/>
      <c r="B29" s="3005"/>
      <c r="C29" s="2000" t="s">
        <v>1684</v>
      </c>
    </row>
    <row r="30" spans="1:3" ht="13.5">
      <c r="A30" s="3006"/>
      <c r="B30" s="3005"/>
      <c r="C30" s="2000" t="s">
        <v>1685</v>
      </c>
    </row>
    <row r="31" spans="1:3" ht="13.5">
      <c r="A31" s="3006"/>
      <c r="B31" s="3005"/>
      <c r="C31" s="2000" t="s">
        <v>1686</v>
      </c>
    </row>
    <row r="32" spans="1:3" ht="13.5">
      <c r="A32" s="3006"/>
      <c r="B32" s="3005"/>
      <c r="C32" s="2000" t="s">
        <v>1687</v>
      </c>
    </row>
    <row r="33" spans="1:3" ht="13.5">
      <c r="A33" s="3006"/>
      <c r="B33" s="3005"/>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43276</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43359</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43483</v>
      </c>
      <c r="D10" s="2347" t="s">
        <v>838</v>
      </c>
      <c r="E10" s="1022">
        <f ca="1">IF(F10&lt;B2,"已过期",2004110096)</f>
        <v>2004110096</v>
      </c>
      <c r="F10" s="1030">
        <v>47118</v>
      </c>
    </row>
    <row r="11" spans="1:6" ht="24" customHeight="1">
      <c r="A11" s="1702" t="s">
        <v>839</v>
      </c>
      <c r="B11" s="1022">
        <f ca="1">IF(C11&lt;B2,"已过期",1120100036)</f>
        <v>1120100036</v>
      </c>
      <c r="C11" s="2344">
        <v>43622</v>
      </c>
      <c r="D11" s="2347" t="s">
        <v>839</v>
      </c>
      <c r="E11" s="1022">
        <f ca="1">IF(F11&lt;B2,"已过期",2010110070)</f>
        <v>2010110070</v>
      </c>
      <c r="F11" s="1030">
        <v>47907</v>
      </c>
    </row>
    <row r="12" spans="1:6" ht="24" customHeight="1">
      <c r="A12" s="1702" t="s">
        <v>3041</v>
      </c>
      <c r="B12" s="1022">
        <v>1120110054</v>
      </c>
      <c r="C12" s="2940">
        <v>43937</v>
      </c>
      <c r="D12" s="1702" t="s">
        <v>3041</v>
      </c>
      <c r="E12" s="1022">
        <v>2008110060</v>
      </c>
      <c r="F12" s="1030">
        <v>47177</v>
      </c>
    </row>
    <row r="13" spans="1:6" ht="24" customHeight="1">
      <c r="A13" s="1702" t="s">
        <v>840</v>
      </c>
      <c r="B13" s="1022">
        <f ca="1">IF(C13&lt;B2,"已过期",1120070131)</f>
        <v>1120070131</v>
      </c>
      <c r="C13" s="2344">
        <v>43814</v>
      </c>
      <c r="D13" s="2347" t="s">
        <v>840</v>
      </c>
      <c r="E13" s="1022">
        <v>2014110011</v>
      </c>
      <c r="F13" s="1030">
        <v>49302</v>
      </c>
    </row>
    <row r="14" spans="1:6" ht="24" customHeight="1">
      <c r="A14" s="1702" t="s">
        <v>841</v>
      </c>
      <c r="B14" s="1022">
        <f ca="1">IF(C14&lt;B2,"已过期",1120130020)</f>
        <v>1120130020</v>
      </c>
      <c r="C14" s="2344">
        <v>43622</v>
      </c>
      <c r="D14" s="2347"/>
      <c r="E14" s="1022"/>
      <c r="F14" s="1022"/>
    </row>
    <row r="15" spans="1:6" ht="24" customHeight="1">
      <c r="A15" s="1703" t="s">
        <v>1149</v>
      </c>
      <c r="B15" s="1022">
        <v>1120070085</v>
      </c>
      <c r="C15" s="2344">
        <v>43814</v>
      </c>
      <c r="D15" s="2348" t="s">
        <v>1149</v>
      </c>
      <c r="E15" s="1022">
        <v>2004110128</v>
      </c>
      <c r="F15" s="1023">
        <v>47118</v>
      </c>
    </row>
    <row r="16" spans="1:6" ht="24" customHeight="1">
      <c r="A16" s="1702" t="s">
        <v>842</v>
      </c>
      <c r="B16" s="1022">
        <f ca="1">IF(C16&lt;B2,"已过期",1120140022)</f>
        <v>1120140022</v>
      </c>
      <c r="C16" s="2344">
        <v>44029</v>
      </c>
      <c r="D16" s="2347" t="s">
        <v>842</v>
      </c>
      <c r="E16" s="1022">
        <f ca="1">IF(F16&lt;B2,"已过期",2008110059)</f>
        <v>2008110059</v>
      </c>
      <c r="F16" s="1030">
        <v>47177</v>
      </c>
    </row>
    <row r="17" spans="1:7" ht="24" customHeight="1">
      <c r="A17" s="1702"/>
      <c r="B17" s="1022"/>
      <c r="C17" s="2344"/>
      <c r="D17" s="2347"/>
      <c r="E17" s="1022"/>
      <c r="F17" s="1030"/>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843</v>
      </c>
      <c r="E21" s="1022">
        <f ca="1">IF(F21&lt;B2,"已过期",2011110090)</f>
        <v>2011110090</v>
      </c>
      <c r="F21" s="1030">
        <v>48302</v>
      </c>
    </row>
    <row r="22" spans="1:7" ht="24" customHeight="1">
      <c r="A22" s="1702" t="s">
        <v>844</v>
      </c>
      <c r="B22" s="1022">
        <f ca="1">IF(C22&lt;B2,"已过期",1120020033)</f>
        <v>1120020033</v>
      </c>
      <c r="C22" s="2344">
        <v>43304</v>
      </c>
      <c r="D22" s="2347" t="s">
        <v>844</v>
      </c>
      <c r="E22" s="1022">
        <f ca="1">IF(F22&lt;B2,"已过期",2000110137)</f>
        <v>2000110137</v>
      </c>
      <c r="F22" s="1030">
        <v>46387</v>
      </c>
    </row>
    <row r="23" spans="1:7" ht="24" customHeight="1">
      <c r="A23" s="1702" t="s">
        <v>845</v>
      </c>
      <c r="B23" s="1022">
        <f ca="1">IF(C23&lt;B2,"已过期",1120130048)</f>
        <v>1120130048</v>
      </c>
      <c r="C23" s="2344">
        <v>43686</v>
      </c>
      <c r="D23" s="2347"/>
      <c r="E23" s="1022"/>
      <c r="F23" s="1022"/>
    </row>
    <row r="24" spans="1:7" s="1024" customFormat="1" ht="24" customHeight="1">
      <c r="A24" s="1703" t="s">
        <v>1333</v>
      </c>
      <c r="B24" s="1703" t="s">
        <v>1333</v>
      </c>
      <c r="C24" s="2345" t="s">
        <v>1333</v>
      </c>
      <c r="D24" s="2348" t="s">
        <v>1333</v>
      </c>
      <c r="E24" s="1703" t="s">
        <v>1333</v>
      </c>
      <c r="F24" s="1703" t="s">
        <v>1333</v>
      </c>
    </row>
    <row r="25" spans="1:7" ht="24" customHeight="1">
      <c r="A25" s="3010" t="s">
        <v>846</v>
      </c>
      <c r="B25" s="3010"/>
      <c r="C25" s="3010"/>
      <c r="D25" s="3010"/>
      <c r="E25" s="3010"/>
      <c r="F25" s="3010"/>
      <c r="G25" s="3010"/>
    </row>
    <row r="26" spans="1:7" s="1025" customFormat="1" ht="24" customHeight="1">
      <c r="A26" s="3011" t="s">
        <v>847</v>
      </c>
      <c r="B26" s="3011"/>
      <c r="C26" s="3012"/>
      <c r="D26" s="3013" t="s">
        <v>848</v>
      </c>
      <c r="E26" s="3011"/>
      <c r="F26" s="3011"/>
    </row>
    <row r="27" spans="1:7" s="1027" customFormat="1" ht="24" customHeight="1">
      <c r="A27" s="1026" t="s">
        <v>849</v>
      </c>
      <c r="B27" s="1021" t="s">
        <v>850</v>
      </c>
      <c r="C27" s="2343" t="s">
        <v>851</v>
      </c>
      <c r="D27" s="2351" t="s">
        <v>849</v>
      </c>
      <c r="E27" s="1021" t="s">
        <v>850</v>
      </c>
      <c r="F27" s="1021" t="s">
        <v>851</v>
      </c>
    </row>
    <row r="28" spans="1:7" s="1027" customFormat="1" ht="24" customHeight="1">
      <c r="A28" s="1028" t="s">
        <v>852</v>
      </c>
      <c r="B28" s="1029" t="s">
        <v>853</v>
      </c>
      <c r="C28" s="2349">
        <v>43725</v>
      </c>
      <c r="D28" s="2352" t="s">
        <v>854</v>
      </c>
      <c r="E28" s="1028" t="s">
        <v>855</v>
      </c>
      <c r="F28" s="1058">
        <v>44377</v>
      </c>
    </row>
    <row r="29" spans="1:7" s="1027" customFormat="1" ht="24" customHeight="1">
      <c r="A29" s="1028"/>
      <c r="B29" s="1028"/>
      <c r="C29" s="2350"/>
      <c r="D29" s="2352" t="s">
        <v>856</v>
      </c>
      <c r="E29" s="1202" t="s">
        <v>1384</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2018-06-25T03:33:44Z</dcterms:modified>
</cp:coreProperties>
</file>