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Sheet1" sheetId="82" r:id="rId18"/>
    <sheet name="结果表" sheetId="9" r:id="rId19"/>
    <sheet name="成本法" sheetId="68" r:id="rId20"/>
    <sheet name="成本法 (元)" sheetId="69" state="hidden" r:id="rId21"/>
    <sheet name="假设开发法" sheetId="12" state="hidden" r:id="rId22"/>
    <sheet name="Sheet0" sheetId="81" r:id="rId23"/>
    <sheet name="土地比较法-住宅、综合" sheetId="39" r:id="rId24"/>
    <sheet name="土地比较法-工业" sheetId="40" state="hidden" r:id="rId25"/>
    <sheet name="收益法" sheetId="15" r:id="rId26"/>
    <sheet name="2幢" sheetId="78" state="hidden" r:id="rId27"/>
    <sheet name="3幢" sheetId="79" state="hidden"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4"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26">'2幢'!$A$1:$AK$69</definedName>
    <definedName name="_xlnm.Print_Area" localSheetId="27">'3幢'!$A$1:$AK$69</definedName>
    <definedName name="_xlnm.Print_Area" localSheetId="8">估价师及机构信息!$A$1:$F$29</definedName>
    <definedName name="_xlnm.Print_Area" localSheetId="18">结果表!$A$1:$I$142</definedName>
    <definedName name="_xlnm.Print_Area" localSheetId="25">收益法!$A$1:$AK$69</definedName>
    <definedName name="_xlnm.Print_Area" localSheetId="28">'收益法 (元)'!$A$1:$AK$69</definedName>
    <definedName name="_xlnm.Print_Area" localSheetId="13">'数据-汇总表'!$A$1:$I$32</definedName>
    <definedName name="_xlnm.Print_Area" localSheetId="11">'数据-基础表'!$A$1:$J$13</definedName>
    <definedName name="_xlnm.Print_Area" localSheetId="23">'土地比较法-住宅、综合'!$A$1:$K$53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4" i="82" l="1"/>
  <c r="H5" i="82"/>
  <c r="H6" i="82"/>
  <c r="H7" i="82"/>
  <c r="H3" i="82"/>
  <c r="H8" i="82" s="1"/>
  <c r="B8" i="82"/>
  <c r="C4" i="82" s="1"/>
  <c r="C7" i="82" l="1"/>
  <c r="C5" i="82"/>
  <c r="C3" i="82"/>
  <c r="C6" i="82"/>
  <c r="B30" i="9"/>
  <c r="B27" i="9"/>
  <c r="I46" i="39" l="1"/>
  <c r="G46" i="39"/>
  <c r="E46" i="39"/>
  <c r="I13" i="3"/>
  <c r="F9" i="39"/>
  <c r="AA9" i="39"/>
  <c r="G6" i="1"/>
  <c r="H9" i="39"/>
  <c r="AB9" i="39"/>
  <c r="J9" i="39"/>
  <c r="AC9" i="39"/>
  <c r="F19" i="6"/>
  <c r="E19" i="6"/>
  <c r="K6" i="1"/>
  <c r="B29" i="1"/>
  <c r="I38" i="39"/>
  <c r="G38" i="39"/>
  <c r="E38" i="39"/>
  <c r="I7" i="39"/>
  <c r="G7" i="39"/>
  <c r="E7" i="39"/>
  <c r="I5" i="39"/>
  <c r="G5" i="39"/>
  <c r="E5" i="39"/>
  <c r="C19" i="6"/>
  <c r="F17" i="39"/>
  <c r="AA17" i="39" s="1"/>
  <c r="F21" i="39"/>
  <c r="AA21" i="39"/>
  <c r="H17" i="39"/>
  <c r="AB17" i="39" s="1"/>
  <c r="H21" i="39"/>
  <c r="AB21" i="39"/>
  <c r="J17" i="39"/>
  <c r="AC17" i="39" s="1"/>
  <c r="J21" i="39"/>
  <c r="AC21"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F15" i="79"/>
  <c r="F17" i="79"/>
  <c r="F18" i="79"/>
  <c r="F20" i="79"/>
  <c r="B22" i="1"/>
  <c r="E1" i="73"/>
  <c r="K1" i="73"/>
  <c r="F23" i="79"/>
  <c r="F21" i="79"/>
  <c r="F28" i="79"/>
  <c r="C28" i="79"/>
  <c r="F32" i="79"/>
  <c r="F33" i="79"/>
  <c r="F34" i="79"/>
  <c r="L19" i="6"/>
  <c r="BA5" i="3"/>
  <c r="E27" i="6"/>
  <c r="K19" i="6"/>
  <c r="M19" i="6"/>
  <c r="I19" i="6"/>
  <c r="H19" i="6"/>
  <c r="R19" i="6"/>
  <c r="L20" i="6"/>
  <c r="K20" i="6"/>
  <c r="M20" i="6"/>
  <c r="I20" i="6"/>
  <c r="H20" i="6"/>
  <c r="R20" i="6"/>
  <c r="L21" i="6"/>
  <c r="K21" i="6"/>
  <c r="M21" i="6"/>
  <c r="I21" i="6"/>
  <c r="H21" i="6"/>
  <c r="R21" i="6"/>
  <c r="R6" i="1"/>
  <c r="R7" i="1"/>
  <c r="R8" i="1"/>
  <c r="D15" i="4"/>
  <c r="F15" i="4"/>
  <c r="F6" i="1"/>
  <c r="G1" i="15"/>
  <c r="M47" i="15"/>
  <c r="F7" i="1"/>
  <c r="G1" i="78"/>
  <c r="AE7" i="1"/>
  <c r="M47" i="79"/>
  <c r="F8" i="1"/>
  <c r="AE8" i="1"/>
  <c r="J50" i="79"/>
  <c r="J51" i="79"/>
  <c r="K59" i="79"/>
  <c r="P74" i="79"/>
  <c r="Q72" i="79"/>
  <c r="F60" i="79"/>
  <c r="F61" i="79"/>
  <c r="F62" i="79"/>
  <c r="P61" i="79"/>
  <c r="Q59" i="79"/>
  <c r="B24" i="1"/>
  <c r="F59" i="79"/>
  <c r="Q58" i="79"/>
  <c r="Q51" i="79"/>
  <c r="D46" i="79"/>
  <c r="F31" i="79"/>
  <c r="M18" i="79"/>
  <c r="M19" i="79"/>
  <c r="M20" i="79"/>
  <c r="D24" i="79"/>
  <c r="D23" i="79"/>
  <c r="D22" i="79"/>
  <c r="M17" i="79"/>
  <c r="K7" i="1"/>
  <c r="M7" i="1"/>
  <c r="F15" i="78"/>
  <c r="F17" i="78"/>
  <c r="F18" i="78"/>
  <c r="F20" i="78"/>
  <c r="F23" i="78"/>
  <c r="F21"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27" i="39" s="1"/>
  <c r="D99" i="39"/>
  <c r="F2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F23" i="39" s="1"/>
  <c r="D95" i="39"/>
  <c r="E95" i="39"/>
  <c r="F95" i="39"/>
  <c r="D93" i="39"/>
  <c r="E93" i="39"/>
  <c r="F93" i="39"/>
  <c r="G93" i="39"/>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J50" i="40"/>
  <c r="B54" i="72"/>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31" i="39"/>
  <c r="G95"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U13" i="39"/>
  <c r="AB13" i="39"/>
  <c r="AA13" i="39"/>
  <c r="S13" i="39"/>
  <c r="S14" i="39"/>
  <c r="AA14" i="39"/>
  <c r="U43" i="39"/>
  <c r="AB43" i="39"/>
  <c r="AB11" i="39"/>
  <c r="U11"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E63" i="39"/>
  <c r="D19" i="12"/>
  <c r="C19" i="12" s="1"/>
  <c r="AQ9" i="1"/>
  <c r="T9" i="1"/>
  <c r="E528" i="3"/>
  <c r="E563" i="3"/>
  <c r="E565" i="3"/>
  <c r="E395" i="3"/>
  <c r="E183" i="3"/>
  <c r="E172" i="3"/>
  <c r="E213" i="3"/>
  <c r="E260" i="3"/>
  <c r="E361" i="3"/>
  <c r="E445" i="3"/>
  <c r="E17" i="3"/>
  <c r="E550" i="3"/>
  <c r="E503" i="3"/>
  <c r="E535" i="3"/>
  <c r="E302" i="3"/>
  <c r="D9" i="68"/>
  <c r="C9" i="68" s="1"/>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F11" i="12"/>
  <c r="C23" i="12" s="1"/>
  <c r="F34" i="68"/>
  <c r="C36" i="68" s="1"/>
  <c r="F63" i="40"/>
  <c r="E65" i="40"/>
  <c r="G63" i="40"/>
  <c r="F65" i="40"/>
  <c r="H63" i="40"/>
  <c r="G65" i="40"/>
  <c r="I63" i="40"/>
  <c r="H65" i="40"/>
  <c r="J63" i="40"/>
  <c r="I65" i="40"/>
  <c r="K63" i="40"/>
  <c r="L63" i="40"/>
  <c r="J65" i="40"/>
  <c r="K65" i="40"/>
  <c r="C34" i="69"/>
  <c r="C38" i="69" s="1"/>
  <c r="AG6" i="1"/>
  <c r="H109" i="9"/>
  <c r="H110" i="9" s="1"/>
  <c r="D18" i="53" s="1"/>
  <c r="B35" i="72" s="1"/>
  <c r="E6" i="6"/>
  <c r="D10" i="68"/>
  <c r="C10" i="68" s="1"/>
  <c r="C19" i="68"/>
  <c r="Q16" i="1"/>
  <c r="F27" i="68"/>
  <c r="C29" i="68" s="1"/>
  <c r="D27" i="68" s="1"/>
  <c r="M16" i="1"/>
  <c r="C34" i="68"/>
  <c r="C35" i="68" s="1"/>
  <c r="N16" i="1"/>
  <c r="F50" i="68"/>
  <c r="S6" i="1"/>
  <c r="T6" i="1"/>
  <c r="D124" i="9"/>
  <c r="D10" i="52" s="1"/>
  <c r="H14" i="74"/>
  <c r="B7" i="74" s="1"/>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s="1"/>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AB3" i="71"/>
  <c r="X3" i="71"/>
  <c r="C7" i="71"/>
  <c r="E7" i="71"/>
  <c r="E6" i="71"/>
  <c r="E5" i="71"/>
  <c r="E10" i="49"/>
  <c r="AF3" i="71"/>
  <c r="P24" i="43"/>
  <c r="B66" i="40"/>
  <c r="P21" i="43"/>
  <c r="P22" i="43"/>
  <c r="B9" i="49"/>
  <c r="T7" i="1"/>
  <c r="M17" i="67"/>
  <c r="F31" i="67"/>
  <c r="M17" i="15"/>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C29" i="69" s="1"/>
  <c r="D27" i="69" s="1"/>
  <c r="F28" i="12"/>
  <c r="C29" i="12" s="1"/>
  <c r="D28" i="12" s="1"/>
  <c r="F27" i="11"/>
  <c r="D3" i="21"/>
  <c r="D19" i="11"/>
  <c r="C19" i="11"/>
  <c r="C20" i="11"/>
  <c r="C17" i="4"/>
  <c r="L18" i="9"/>
  <c r="D3" i="37"/>
  <c r="D3" i="34"/>
  <c r="D37" i="11"/>
  <c r="C37" i="11"/>
  <c r="M18" i="9"/>
  <c r="B118" i="9"/>
  <c r="B14" i="74"/>
  <c r="B1" i="74"/>
  <c r="D8" i="6"/>
  <c r="D14" i="6"/>
  <c r="D5" i="6"/>
  <c r="D12" i="6"/>
  <c r="D11" i="6"/>
  <c r="D13" i="6"/>
  <c r="D3" i="33"/>
  <c r="D14" i="12"/>
  <c r="D17" i="12" s="1"/>
  <c r="C17" i="12" s="1"/>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P16" i="1"/>
  <c r="C11" i="12"/>
  <c r="C15" i="12" s="1"/>
  <c r="C13" i="12"/>
  <c r="C18" i="4"/>
  <c r="C4" i="52"/>
  <c r="B45" i="72"/>
  <c r="M19" i="9"/>
  <c r="C118" i="9"/>
  <c r="C14" i="74"/>
  <c r="B2" i="74"/>
  <c r="L19" i="9"/>
  <c r="C34" i="40"/>
  <c r="C28" i="11"/>
  <c r="C27" i="11"/>
  <c r="O16" i="1"/>
  <c r="C29" i="11"/>
  <c r="D27" i="11"/>
  <c r="C47" i="11"/>
  <c r="D45" i="11"/>
  <c r="C47" i="69"/>
  <c r="D45" i="69" s="1"/>
  <c r="D16" i="6"/>
  <c r="C8" i="74"/>
  <c r="D10" i="11"/>
  <c r="C10" i="11"/>
  <c r="D20" i="12"/>
  <c r="C20" i="12" s="1"/>
  <c r="D6" i="6"/>
  <c r="D10" i="69"/>
  <c r="C10" i="69" s="1"/>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s="1"/>
  <c r="K24" i="6"/>
  <c r="M24" i="6"/>
  <c r="I24" i="6"/>
  <c r="K22" i="6"/>
  <c r="M22" i="6"/>
  <c r="I22" i="6"/>
  <c r="K25" i="6"/>
  <c r="M25" i="6"/>
  <c r="I25" i="6"/>
  <c r="K26" i="6"/>
  <c r="M26" i="6"/>
  <c r="I26" i="6"/>
  <c r="K23" i="6"/>
  <c r="M23" i="6"/>
  <c r="I23" i="6"/>
  <c r="E31" i="6"/>
  <c r="H34" i="40"/>
  <c r="F34" i="40"/>
  <c r="J34" i="40"/>
  <c r="D8" i="74"/>
  <c r="R12" i="1"/>
  <c r="R10" i="1"/>
  <c r="R13" i="1"/>
  <c r="R11" i="1"/>
  <c r="R9" i="1"/>
  <c r="C33" i="11"/>
  <c r="I5" i="6"/>
  <c r="C11" i="40"/>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S20" i="6"/>
  <c r="AC34" i="40"/>
  <c r="W34" i="40"/>
  <c r="AB34" i="40"/>
  <c r="U34" i="40"/>
  <c r="S23" i="6"/>
  <c r="H23" i="6"/>
  <c r="R23" i="6"/>
  <c r="S26" i="6"/>
  <c r="H26" i="6"/>
  <c r="R26" i="6"/>
  <c r="S25" i="6"/>
  <c r="H25" i="6"/>
  <c r="R25" i="6"/>
  <c r="S21" i="6"/>
  <c r="AA34" i="40"/>
  <c r="S34" i="40"/>
  <c r="K27" i="6"/>
  <c r="S22" i="6"/>
  <c r="H22" i="6"/>
  <c r="R22" i="6"/>
  <c r="S24" i="6"/>
  <c r="H24" i="6"/>
  <c r="R24" i="6"/>
  <c r="H11" i="40"/>
  <c r="F11" i="40"/>
  <c r="J11"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AQ8" i="1"/>
  <c r="T8" i="1"/>
  <c r="AR8" i="1"/>
  <c r="AQ7" i="1"/>
  <c r="AR7" i="1"/>
  <c r="M27" i="6"/>
  <c r="E6" i="70"/>
  <c r="E2" i="70"/>
  <c r="S16" i="1"/>
  <c r="T16" i="1"/>
  <c r="AR6" i="1"/>
  <c r="AQ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S19" i="6"/>
  <c r="S27"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B3" i="40"/>
  <c r="E43" i="35"/>
  <c r="F43" i="35"/>
  <c r="E42" i="35"/>
  <c r="F42" i="35"/>
  <c r="N68" i="39"/>
  <c r="M70" i="39"/>
  <c r="C38" i="35"/>
  <c r="C39"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AB10" i="39"/>
  <c r="AC10" i="39"/>
  <c r="H106" i="9"/>
  <c r="H103" i="9" s="1"/>
  <c r="E15" i="49" l="1"/>
  <c r="S27" i="39"/>
  <c r="AA27" i="39"/>
  <c r="H27" i="39"/>
  <c r="J27" i="39"/>
  <c r="S25" i="39"/>
  <c r="AA25" i="39"/>
  <c r="E99" i="39"/>
  <c r="F99" i="39" s="1"/>
  <c r="G99" i="39" s="1"/>
  <c r="H25" i="39"/>
  <c r="J25" i="39"/>
  <c r="S23" i="39"/>
  <c r="AA23" i="39"/>
  <c r="H23" i="39"/>
  <c r="J23" i="39"/>
  <c r="B8" i="49"/>
  <c r="J15" i="39"/>
  <c r="H15" i="39"/>
  <c r="F15" i="39"/>
  <c r="B11" i="49"/>
  <c r="B10" i="49"/>
  <c r="R16" i="1"/>
  <c r="C18" i="12"/>
  <c r="B22" i="49"/>
  <c r="B16" i="49"/>
  <c r="E21" i="49"/>
  <c r="E8" i="49"/>
  <c r="E16" i="49"/>
  <c r="E14" i="49"/>
  <c r="E7" i="49"/>
  <c r="D19" i="69"/>
  <c r="D37" i="69" s="1"/>
  <c r="C37" i="69" s="1"/>
  <c r="C35" i="69"/>
  <c r="E9" i="49"/>
  <c r="E13" i="49"/>
  <c r="B14" i="49"/>
  <c r="E4" i="49"/>
  <c r="B5" i="49"/>
  <c r="E5" i="49"/>
  <c r="E6" i="49"/>
  <c r="E11" i="49"/>
  <c r="E22" i="49"/>
  <c r="B4" i="49"/>
  <c r="B6" i="49"/>
  <c r="B15" i="49"/>
  <c r="B7" i="49"/>
  <c r="C4" i="4" s="1"/>
  <c r="B13" i="49"/>
  <c r="E4" i="4" s="1"/>
  <c r="B5" i="62" s="1"/>
  <c r="B73" i="72" s="1"/>
  <c r="D8" i="53"/>
  <c r="D120" i="9"/>
  <c r="C7" i="74"/>
  <c r="D7" i="74"/>
  <c r="D12" i="53"/>
  <c r="B28" i="72" s="1"/>
  <c r="C14" i="12"/>
  <c r="D125" i="9"/>
  <c r="D11" i="52" s="1"/>
  <c r="D16" i="53"/>
  <c r="C12" i="12"/>
  <c r="C8" i="69"/>
  <c r="C47" i="68"/>
  <c r="D45" i="68" s="1"/>
  <c r="C38" i="68"/>
  <c r="D19" i="68"/>
  <c r="D37" i="68" s="1"/>
  <c r="C37" i="68" s="1"/>
  <c r="AC27" i="39" l="1"/>
  <c r="W27" i="39"/>
  <c r="AB27" i="39"/>
  <c r="U27" i="39"/>
  <c r="AB25" i="39"/>
  <c r="U25" i="39"/>
  <c r="AC25" i="39"/>
  <c r="W25" i="39"/>
  <c r="W23" i="39"/>
  <c r="AC23" i="39"/>
  <c r="AB23" i="39"/>
  <c r="U23" i="39"/>
  <c r="AB15" i="39"/>
  <c r="T47" i="39" s="1"/>
  <c r="G47" i="39" s="1"/>
  <c r="U15" i="39"/>
  <c r="AA15" i="39"/>
  <c r="R47" i="39" s="1"/>
  <c r="S15" i="39"/>
  <c r="AC15" i="39"/>
  <c r="V47" i="39" s="1"/>
  <c r="I47" i="39" s="1"/>
  <c r="W15" i="39"/>
  <c r="C33" i="69"/>
  <c r="C39" i="69" s="1"/>
  <c r="C46" i="69" s="1"/>
  <c r="C45" i="69" s="1"/>
  <c r="K4" i="4"/>
  <c r="B46" i="48" s="1"/>
  <c r="B4" i="72" s="1"/>
  <c r="B4" i="62"/>
  <c r="B71" i="72" s="1"/>
  <c r="C16" i="12"/>
  <c r="C21" i="12" s="1"/>
  <c r="C22" i="12" s="1"/>
  <c r="B34" i="72"/>
  <c r="D17" i="53"/>
  <c r="B36" i="72" s="1"/>
  <c r="K120" i="9"/>
  <c r="A18" i="62" s="1"/>
  <c r="B64" i="72" s="1"/>
  <c r="D121" i="9"/>
  <c r="D7" i="52" s="1"/>
  <c r="D6" i="52"/>
  <c r="D9" i="53"/>
  <c r="B25" i="72" s="1"/>
  <c r="B24" i="72"/>
  <c r="C33" i="68"/>
  <c r="C39" i="68" s="1"/>
  <c r="C46" i="68" s="1"/>
  <c r="C45" i="68" s="1"/>
  <c r="M26" i="78"/>
  <c r="F38" i="79"/>
  <c r="D7" i="73"/>
  <c r="E2" i="68"/>
  <c r="F6" i="78"/>
  <c r="E10" i="76"/>
  <c r="F7" i="78"/>
  <c r="F37" i="15"/>
  <c r="E9" i="76"/>
  <c r="F26" i="79"/>
  <c r="F7" i="15"/>
  <c r="E12" i="76"/>
  <c r="E6" i="76"/>
  <c r="M8" i="15"/>
  <c r="F8" i="15"/>
  <c r="D2" i="37"/>
  <c r="J15" i="79"/>
  <c r="F40" i="79"/>
  <c r="M23" i="67"/>
  <c r="F43" i="67"/>
  <c r="M27" i="79"/>
  <c r="M9" i="79"/>
  <c r="M27" i="78"/>
  <c r="M22" i="78"/>
  <c r="D4" i="73"/>
  <c r="F40" i="67"/>
  <c r="F7" i="67"/>
  <c r="M22" i="67"/>
  <c r="M27" i="67"/>
  <c r="E13" i="76"/>
  <c r="F43" i="79"/>
  <c r="M9" i="78"/>
  <c r="F40" i="15"/>
  <c r="M9" i="67"/>
  <c r="F7" i="79"/>
  <c r="J15" i="78"/>
  <c r="J15" i="67"/>
  <c r="B9" i="76"/>
  <c r="AO10" i="1"/>
  <c r="M21" i="67"/>
  <c r="L48" i="78"/>
  <c r="F36" i="79"/>
  <c r="L47" i="78"/>
  <c r="M23" i="78"/>
  <c r="L47" i="67"/>
  <c r="F43" i="15"/>
  <c r="D6" i="73"/>
  <c r="F13" i="79"/>
  <c r="F35" i="15"/>
  <c r="M29" i="15"/>
  <c r="M28" i="78"/>
  <c r="M28" i="15"/>
  <c r="M21" i="15"/>
  <c r="AO12" i="1"/>
  <c r="F8" i="67"/>
  <c r="E2" i="69"/>
  <c r="F16" i="78"/>
  <c r="D2" i="33"/>
  <c r="M29" i="67"/>
  <c r="F16" i="79"/>
  <c r="C14" i="79"/>
  <c r="M8" i="78"/>
  <c r="L48" i="67"/>
  <c r="E8" i="76"/>
  <c r="M26" i="15"/>
  <c r="M27" i="15"/>
  <c r="B10" i="76"/>
  <c r="F37" i="79"/>
  <c r="D2" i="34"/>
  <c r="F43" i="78"/>
  <c r="B12" i="76"/>
  <c r="E11" i="76"/>
  <c r="M6" i="79"/>
  <c r="M21" i="79"/>
  <c r="D2" i="21"/>
  <c r="M23" i="15"/>
  <c r="C76" i="67"/>
  <c r="F6" i="15"/>
  <c r="F13" i="67"/>
  <c r="F40" i="78"/>
  <c r="F37" i="78"/>
  <c r="AO11" i="1"/>
  <c r="C14" i="78"/>
  <c r="M9" i="15"/>
  <c r="L48" i="15"/>
  <c r="F41" i="78"/>
  <c r="F42" i="79"/>
  <c r="D5" i="73"/>
  <c r="G1" i="73" s="1"/>
  <c r="F37" i="67"/>
  <c r="F42" i="67"/>
  <c r="F6" i="73"/>
  <c r="M8" i="79"/>
  <c r="M6" i="78"/>
  <c r="M6" i="15"/>
  <c r="C76" i="79"/>
  <c r="M24" i="78"/>
  <c r="F5" i="73"/>
  <c r="M8" i="67"/>
  <c r="F36" i="15"/>
  <c r="F9" i="79"/>
  <c r="F38" i="78"/>
  <c r="M6" i="67"/>
  <c r="AO13" i="1"/>
  <c r="M28" i="79"/>
  <c r="F36" i="67"/>
  <c r="AO7" i="1"/>
  <c r="L48" i="79"/>
  <c r="M21" i="78"/>
  <c r="M22" i="79"/>
  <c r="F35" i="67"/>
  <c r="F35" i="79"/>
  <c r="F6" i="79"/>
  <c r="F36" i="78"/>
  <c r="F35" i="78"/>
  <c r="F26" i="15"/>
  <c r="F16" i="67"/>
  <c r="E7" i="76"/>
  <c r="F13" i="15"/>
  <c r="F38" i="67"/>
  <c r="F7" i="73"/>
  <c r="F8" i="79"/>
  <c r="L47" i="79"/>
  <c r="C76" i="78"/>
  <c r="M26" i="67"/>
  <c r="F4" i="73"/>
  <c r="M29" i="78"/>
  <c r="F3" i="73"/>
  <c r="F9" i="15"/>
  <c r="J15" i="15"/>
  <c r="AO8" i="1"/>
  <c r="B8" i="76"/>
  <c r="F8" i="78"/>
  <c r="F26" i="78"/>
  <c r="F13" i="78"/>
  <c r="M24" i="15"/>
  <c r="M28" i="67"/>
  <c r="D2" i="35"/>
  <c r="F41" i="67"/>
  <c r="F42" i="78"/>
  <c r="F6" i="67"/>
  <c r="F9" i="78"/>
  <c r="D2" i="36"/>
  <c r="F20" i="31"/>
  <c r="F42" i="15"/>
  <c r="F26" i="67"/>
  <c r="F38" i="15"/>
  <c r="D3" i="73"/>
  <c r="M26" i="79"/>
  <c r="M22" i="15"/>
  <c r="F16" i="15"/>
  <c r="F41" i="79"/>
  <c r="M24" i="79"/>
  <c r="M23" i="79"/>
  <c r="L47" i="15"/>
  <c r="B11" i="76"/>
  <c r="C14" i="15"/>
  <c r="AO9" i="1"/>
  <c r="B6" i="76"/>
  <c r="M29" i="79"/>
  <c r="M24" i="67"/>
  <c r="B7" i="76"/>
  <c r="B13" i="76"/>
  <c r="F9" i="67"/>
  <c r="C76" i="15"/>
  <c r="I51" i="39" l="1"/>
  <c r="J51" i="39" s="1"/>
  <c r="R48" i="39"/>
  <c r="E47" i="39"/>
  <c r="G51" i="39"/>
  <c r="H51" i="39" s="1"/>
  <c r="G52" i="39"/>
  <c r="H52" i="39" s="1"/>
  <c r="B11" i="70"/>
  <c r="Q71" i="15"/>
  <c r="F65" i="78"/>
  <c r="F70" i="67"/>
  <c r="F68" i="78"/>
  <c r="F65" i="67"/>
  <c r="C6" i="15"/>
  <c r="Q71" i="67"/>
  <c r="B2" i="21"/>
  <c r="B3" i="21" s="1"/>
  <c r="F69" i="78"/>
  <c r="J20" i="79"/>
  <c r="I54" i="15"/>
  <c r="J57" i="15"/>
  <c r="J55" i="15" s="1"/>
  <c r="J58" i="15" s="1"/>
  <c r="Q50" i="15" s="1"/>
  <c r="L56" i="15"/>
  <c r="J53" i="15"/>
  <c r="Q52" i="15" s="1"/>
  <c r="L60" i="15"/>
  <c r="L57" i="15"/>
  <c r="F71" i="78"/>
  <c r="B2" i="34"/>
  <c r="B3" i="34" s="1"/>
  <c r="C15" i="78"/>
  <c r="C18" i="78"/>
  <c r="C19" i="78"/>
  <c r="C20" i="78" s="1"/>
  <c r="C26" i="78" s="1"/>
  <c r="F65" i="79"/>
  <c r="B2" i="76"/>
  <c r="B9" i="70"/>
  <c r="C15" i="15"/>
  <c r="C18" i="15"/>
  <c r="L59" i="15"/>
  <c r="Q74" i="15" s="1"/>
  <c r="M59" i="15"/>
  <c r="L58" i="15"/>
  <c r="Q73" i="15" s="1"/>
  <c r="N59" i="15"/>
  <c r="J60" i="67"/>
  <c r="Q48" i="67" s="1"/>
  <c r="J59" i="67"/>
  <c r="L56" i="67"/>
  <c r="I54" i="67"/>
  <c r="J57" i="67"/>
  <c r="J55" i="67" s="1"/>
  <c r="J58" i="67" s="1"/>
  <c r="Q50" i="67" s="1"/>
  <c r="L46" i="67"/>
  <c r="J53" i="67"/>
  <c r="Q52" i="67" s="1"/>
  <c r="L57" i="67"/>
  <c r="L60" i="67"/>
  <c r="Q57" i="67" s="1"/>
  <c r="C19" i="79"/>
  <c r="C20" i="79" s="1"/>
  <c r="C26" i="79" s="1"/>
  <c r="C18" i="79"/>
  <c r="C15" i="79"/>
  <c r="F69" i="79"/>
  <c r="B2" i="33"/>
  <c r="B3" i="33" s="1"/>
  <c r="F66" i="15"/>
  <c r="F51" i="67"/>
  <c r="C27" i="67"/>
  <c r="B12" i="70"/>
  <c r="J20" i="15"/>
  <c r="B20" i="31"/>
  <c r="B2" i="36"/>
  <c r="B3" i="36" s="1"/>
  <c r="C6" i="67"/>
  <c r="C34" i="15"/>
  <c r="F63" i="15"/>
  <c r="C62" i="15" s="1"/>
  <c r="F69" i="67"/>
  <c r="B2" i="35"/>
  <c r="B3" i="35" s="1"/>
  <c r="F71" i="15"/>
  <c r="L59" i="67"/>
  <c r="Q61" i="67" s="1"/>
  <c r="N59" i="67"/>
  <c r="M59" i="67"/>
  <c r="L58" i="67"/>
  <c r="L58" i="78"/>
  <c r="Q60" i="78" s="1"/>
  <c r="M59" i="78"/>
  <c r="L59" i="78"/>
  <c r="Q74" i="78" s="1"/>
  <c r="N59" i="78"/>
  <c r="C27" i="78"/>
  <c r="F64" i="79"/>
  <c r="F51" i="78"/>
  <c r="J60" i="78"/>
  <c r="Q48" i="78" s="1"/>
  <c r="L60" i="78"/>
  <c r="Q66" i="78" s="1"/>
  <c r="J53" i="78"/>
  <c r="F1" i="78" s="1"/>
  <c r="L57" i="78"/>
  <c r="L46" i="78"/>
  <c r="L56" i="78"/>
  <c r="I54" i="78"/>
  <c r="J59" i="78"/>
  <c r="J57" i="78"/>
  <c r="J55" i="78" s="1"/>
  <c r="J58" i="78" s="1"/>
  <c r="Q50" i="78" s="1"/>
  <c r="J20" i="67"/>
  <c r="B8" i="70"/>
  <c r="B10" i="70"/>
  <c r="M7" i="79"/>
  <c r="J6" i="79" s="1"/>
  <c r="F50" i="79"/>
  <c r="I1" i="73"/>
  <c r="B39" i="1" s="1"/>
  <c r="F11" i="78" s="1"/>
  <c r="C53" i="78" s="1"/>
  <c r="F68" i="15"/>
  <c r="Q71" i="78"/>
  <c r="N59" i="79"/>
  <c r="M59" i="79"/>
  <c r="L58" i="79"/>
  <c r="Q60" i="79" s="1"/>
  <c r="L59" i="79"/>
  <c r="Q61" i="79" s="1"/>
  <c r="F71" i="79"/>
  <c r="F51" i="79"/>
  <c r="F66" i="67"/>
  <c r="F50" i="67"/>
  <c r="M7" i="67"/>
  <c r="J6" i="67" s="1"/>
  <c r="F68" i="67"/>
  <c r="E20" i="43"/>
  <c r="M28" i="43" s="1"/>
  <c r="C27" i="15"/>
  <c r="C34" i="78"/>
  <c r="F63" i="78"/>
  <c r="C62" i="78" s="1"/>
  <c r="F64" i="78"/>
  <c r="C6" i="79"/>
  <c r="C34" i="79"/>
  <c r="F63" i="79"/>
  <c r="C62" i="79" s="1"/>
  <c r="F71" i="67"/>
  <c r="C34" i="67"/>
  <c r="F63" i="67"/>
  <c r="C62" i="67" s="1"/>
  <c r="F68" i="79"/>
  <c r="J20" i="78"/>
  <c r="J59" i="79"/>
  <c r="L46" i="79"/>
  <c r="L60" i="79"/>
  <c r="J60" i="79"/>
  <c r="Q48" i="79" s="1"/>
  <c r="L57" i="79"/>
  <c r="J53" i="79"/>
  <c r="Q52" i="79" s="1"/>
  <c r="I54" i="79"/>
  <c r="L56" i="79"/>
  <c r="J57" i="79"/>
  <c r="J55" i="79" s="1"/>
  <c r="J58" i="79" s="1"/>
  <c r="Q50" i="79" s="1"/>
  <c r="B2" i="37"/>
  <c r="B3" i="37" s="1"/>
  <c r="B7" i="70"/>
  <c r="F51" i="15"/>
  <c r="F64" i="67"/>
  <c r="E2" i="76"/>
  <c r="B13" i="70"/>
  <c r="M7" i="15"/>
  <c r="J6" i="15" s="1"/>
  <c r="F50" i="15"/>
  <c r="F66" i="78"/>
  <c r="C27" i="79"/>
  <c r="F64" i="15"/>
  <c r="F65" i="15"/>
  <c r="F50" i="78"/>
  <c r="C49" i="78" s="1"/>
  <c r="M7" i="78"/>
  <c r="J6" i="78" s="1"/>
  <c r="C6" i="78"/>
  <c r="Q71" i="79"/>
  <c r="F66" i="79"/>
  <c r="C30" i="12"/>
  <c r="C28" i="12" s="1"/>
  <c r="B40" i="1"/>
  <c r="C17" i="78"/>
  <c r="C16" i="78"/>
  <c r="C17" i="79"/>
  <c r="C14" i="67"/>
  <c r="C17" i="67"/>
  <c r="C17" i="15"/>
  <c r="C16" i="79"/>
  <c r="C16" i="15"/>
  <c r="C16" i="67"/>
  <c r="Q57" i="78" l="1"/>
  <c r="F1" i="15"/>
  <c r="Q61" i="15"/>
  <c r="M11" i="67"/>
  <c r="J10" i="67" s="1"/>
  <c r="J5" i="67" s="1"/>
  <c r="M11" i="15"/>
  <c r="J10" i="15" s="1"/>
  <c r="J5" i="15" s="1"/>
  <c r="J18" i="15" s="1"/>
  <c r="Q74" i="79"/>
  <c r="Q74" i="67"/>
  <c r="P28" i="43"/>
  <c r="Q61" i="78"/>
  <c r="F1" i="67"/>
  <c r="Q60" i="15"/>
  <c r="Q66" i="67"/>
  <c r="Q73" i="78"/>
  <c r="N28" i="43"/>
  <c r="Q73" i="79"/>
  <c r="C49" i="79"/>
  <c r="Q52" i="78"/>
  <c r="M11" i="79"/>
  <c r="J10" i="79" s="1"/>
  <c r="J5" i="79" s="1"/>
  <c r="J24" i="79" s="1"/>
  <c r="F11" i="15"/>
  <c r="C53" i="15" s="1"/>
  <c r="F11" i="79"/>
  <c r="C53" i="79" s="1"/>
  <c r="M11" i="78"/>
  <c r="F11" i="67"/>
  <c r="C53" i="67" s="1"/>
  <c r="C10" i="78"/>
  <c r="C5" i="78" s="1"/>
  <c r="C33" i="78" s="1"/>
  <c r="C48" i="78"/>
  <c r="C66" i="78" s="1"/>
  <c r="J10" i="78"/>
  <c r="J5" i="78" s="1"/>
  <c r="J26" i="78" s="1"/>
  <c r="J29" i="78" s="1"/>
  <c r="C49" i="15"/>
  <c r="O28" i="43"/>
  <c r="E52" i="39"/>
  <c r="F52" i="39" s="1"/>
  <c r="E51" i="39"/>
  <c r="F51" i="39" s="1"/>
  <c r="I52" i="39"/>
  <c r="J52" i="39" s="1"/>
  <c r="C48" i="39"/>
  <c r="C47" i="39"/>
  <c r="C27" i="9" s="1"/>
  <c r="D27" i="9" s="1"/>
  <c r="D30" i="9" s="1"/>
  <c r="C24" i="9" s="1"/>
  <c r="C15" i="67"/>
  <c r="C19" i="67"/>
  <c r="C20" i="67" s="1"/>
  <c r="C26" i="67" s="1"/>
  <c r="C18" i="67"/>
  <c r="C19" i="15"/>
  <c r="C20" i="15" s="1"/>
  <c r="Q66" i="15"/>
  <c r="Q57" i="15"/>
  <c r="F1" i="79"/>
  <c r="Q57" i="79"/>
  <c r="Q66" i="79"/>
  <c r="Q60" i="67"/>
  <c r="Q73" i="67"/>
  <c r="C49" i="67"/>
  <c r="B3" i="76"/>
  <c r="C48" i="79"/>
  <c r="C60" i="79" s="1"/>
  <c r="F24" i="78"/>
  <c r="F24" i="15"/>
  <c r="C24" i="15" s="1"/>
  <c r="F24" i="67"/>
  <c r="C24" i="67" s="1"/>
  <c r="F25" i="12"/>
  <c r="F24" i="79"/>
  <c r="F22" i="68"/>
  <c r="F22" i="69"/>
  <c r="F22" i="11"/>
  <c r="AE6" i="1"/>
  <c r="F41" i="15"/>
  <c r="J26" i="67" l="1"/>
  <c r="J29" i="67" s="1"/>
  <c r="J18" i="67"/>
  <c r="J19" i="79"/>
  <c r="F69" i="15"/>
  <c r="J26" i="79"/>
  <c r="J29" i="79" s="1"/>
  <c r="C10" i="79"/>
  <c r="C5" i="79" s="1"/>
  <c r="C38" i="79" s="1"/>
  <c r="C48" i="67"/>
  <c r="C66" i="67" s="1"/>
  <c r="J24" i="67"/>
  <c r="C48" i="15"/>
  <c r="C66" i="15" s="1"/>
  <c r="C60" i="78"/>
  <c r="J18" i="79"/>
  <c r="J17" i="79" s="1"/>
  <c r="C10" i="67"/>
  <c r="C5" i="67" s="1"/>
  <c r="C33" i="67" s="1"/>
  <c r="C10" i="15"/>
  <c r="C5" i="15" s="1"/>
  <c r="C38" i="15" s="1"/>
  <c r="C38" i="78"/>
  <c r="C32" i="78"/>
  <c r="C31" i="78" s="1"/>
  <c r="J24" i="78"/>
  <c r="J19" i="78"/>
  <c r="J18" i="78"/>
  <c r="J26" i="15"/>
  <c r="J29" i="15" s="1"/>
  <c r="J19" i="15"/>
  <c r="J17" i="15" s="1"/>
  <c r="C26" i="15"/>
  <c r="J24" i="15"/>
  <c r="B57" i="39"/>
  <c r="F57" i="39" s="1"/>
  <c r="B58" i="39"/>
  <c r="F58" i="39" s="1"/>
  <c r="B59" i="39"/>
  <c r="F59" i="39" s="1"/>
  <c r="B60" i="39"/>
  <c r="F60" i="39" s="1"/>
  <c r="B61" i="39"/>
  <c r="F61" i="39" s="1"/>
  <c r="B62" i="39"/>
  <c r="F62" i="39" s="1"/>
  <c r="B63" i="39"/>
  <c r="F63" i="39" s="1"/>
  <c r="B64" i="39"/>
  <c r="F64" i="39" s="1"/>
  <c r="B65" i="39"/>
  <c r="F65" i="39" s="1"/>
  <c r="B56" i="39"/>
  <c r="F56" i="39" s="1"/>
  <c r="C60" i="67"/>
  <c r="C66" i="79"/>
  <c r="C23" i="67"/>
  <c r="C29" i="67" s="1"/>
  <c r="J14" i="67" s="1"/>
  <c r="C23" i="15"/>
  <c r="C43" i="69"/>
  <c r="C26" i="69"/>
  <c r="D22" i="69" s="1"/>
  <c r="C44" i="69"/>
  <c r="D41" i="69" s="1"/>
  <c r="C42" i="69"/>
  <c r="C24" i="69"/>
  <c r="C24" i="79"/>
  <c r="C23" i="79"/>
  <c r="C24" i="78"/>
  <c r="C23" i="78"/>
  <c r="C43" i="11"/>
  <c r="C44" i="11"/>
  <c r="D41" i="11" s="1"/>
  <c r="C25" i="11"/>
  <c r="C26" i="11"/>
  <c r="D22" i="11" s="1"/>
  <c r="C24" i="11"/>
  <c r="C23" i="11"/>
  <c r="C42" i="11"/>
  <c r="C41" i="11" s="1"/>
  <c r="C26" i="68"/>
  <c r="D22" i="68" s="1"/>
  <c r="C43" i="68"/>
  <c r="C44" i="68"/>
  <c r="D41" i="68" s="1"/>
  <c r="C42" i="68"/>
  <c r="C24" i="68"/>
  <c r="C26" i="12"/>
  <c r="D25" i="12" s="1"/>
  <c r="C27" i="12"/>
  <c r="C25" i="12" s="1"/>
  <c r="C32" i="79" l="1"/>
  <c r="C33" i="79"/>
  <c r="C33" i="15"/>
  <c r="C60" i="15"/>
  <c r="C32" i="15"/>
  <c r="C31" i="15" s="1"/>
  <c r="C38" i="67"/>
  <c r="C29" i="15"/>
  <c r="C13" i="15" s="1"/>
  <c r="C37" i="15" s="1"/>
  <c r="C32" i="67"/>
  <c r="C31" i="67" s="1"/>
  <c r="J17" i="78"/>
  <c r="F66" i="39"/>
  <c r="B2" i="39" s="1"/>
  <c r="B3" i="39" s="1"/>
  <c r="C6" i="68"/>
  <c r="C6" i="69"/>
  <c r="C41" i="69"/>
  <c r="C49" i="69" s="1"/>
  <c r="C51" i="69" s="1"/>
  <c r="J19" i="67"/>
  <c r="J17" i="67" s="1"/>
  <c r="Q49" i="67"/>
  <c r="C13" i="67"/>
  <c r="Q70" i="67" s="1"/>
  <c r="C57" i="67"/>
  <c r="C64" i="67" s="1"/>
  <c r="C36" i="67"/>
  <c r="C49" i="11"/>
  <c r="C51" i="11" s="1"/>
  <c r="C29" i="78"/>
  <c r="J14" i="78" s="1"/>
  <c r="C29" i="79"/>
  <c r="C13" i="79" s="1"/>
  <c r="C32" i="12"/>
  <c r="B2" i="12" s="1"/>
  <c r="B3" i="12" s="1"/>
  <c r="C41" i="68"/>
  <c r="C49" i="68" s="1"/>
  <c r="C51" i="68" s="1"/>
  <c r="C22" i="11"/>
  <c r="C31" i="11" s="1"/>
  <c r="J22" i="67"/>
  <c r="J13" i="67"/>
  <c r="J23" i="67" s="1"/>
  <c r="H35" i="9" l="1"/>
  <c r="C31" i="79"/>
  <c r="C36" i="15"/>
  <c r="C57" i="15"/>
  <c r="C61" i="15" s="1"/>
  <c r="C59" i="15" s="1"/>
  <c r="C56" i="15"/>
  <c r="C65" i="15" s="1"/>
  <c r="Q70" i="15"/>
  <c r="Q49" i="15"/>
  <c r="C75" i="15"/>
  <c r="J59" i="15"/>
  <c r="J60" i="15" s="1"/>
  <c r="Q48" i="15" s="1"/>
  <c r="J14" i="15"/>
  <c r="J22" i="15" s="1"/>
  <c r="C7" i="68"/>
  <c r="C5" i="68" s="1"/>
  <c r="C7" i="69"/>
  <c r="C5" i="69" s="1"/>
  <c r="C13" i="78"/>
  <c r="Q70" i="78" s="1"/>
  <c r="C61" i="67"/>
  <c r="C59" i="67" s="1"/>
  <c r="C52" i="11"/>
  <c r="B2" i="11" s="1"/>
  <c r="B3" i="11" s="1"/>
  <c r="C56" i="67"/>
  <c r="C65" i="67" s="1"/>
  <c r="C37" i="67"/>
  <c r="C30" i="67" s="1"/>
  <c r="C39" i="67" s="1"/>
  <c r="Q69" i="67" s="1"/>
  <c r="Q68" i="67" s="1"/>
  <c r="C75" i="67"/>
  <c r="C57" i="78"/>
  <c r="C61" i="78" s="1"/>
  <c r="C59" i="78" s="1"/>
  <c r="Q49" i="79"/>
  <c r="L46" i="15"/>
  <c r="C57" i="79"/>
  <c r="C61" i="79" s="1"/>
  <c r="C59" i="79" s="1"/>
  <c r="C30" i="15"/>
  <c r="C39" i="15" s="1"/>
  <c r="C36" i="78"/>
  <c r="Q49" i="78"/>
  <c r="C64" i="15"/>
  <c r="C36" i="79"/>
  <c r="J14" i="79"/>
  <c r="J13" i="79" s="1"/>
  <c r="J23" i="79" s="1"/>
  <c r="J22" i="78"/>
  <c r="J13" i="78"/>
  <c r="J23" i="78" s="1"/>
  <c r="C56" i="79"/>
  <c r="C65" i="79" s="1"/>
  <c r="C37" i="79"/>
  <c r="C75" i="79"/>
  <c r="Q70" i="79"/>
  <c r="J16" i="67"/>
  <c r="J25" i="67" s="1"/>
  <c r="L51" i="67"/>
  <c r="L51" i="15"/>
  <c r="C80" i="15" l="1"/>
  <c r="C79" i="15" s="1"/>
  <c r="C56" i="11"/>
  <c r="C57" i="11" s="1"/>
  <c r="J13" i="15"/>
  <c r="J23" i="15" s="1"/>
  <c r="J16" i="15" s="1"/>
  <c r="J25" i="15" s="1"/>
  <c r="C80" i="67"/>
  <c r="C79" i="67" s="1"/>
  <c r="C20" i="69"/>
  <c r="C25" i="69" s="1"/>
  <c r="C23" i="69"/>
  <c r="C20" i="68"/>
  <c r="C25" i="68" s="1"/>
  <c r="C23" i="68"/>
  <c r="C56" i="78"/>
  <c r="C65" i="78" s="1"/>
  <c r="C37" i="78"/>
  <c r="C30" i="78" s="1"/>
  <c r="C39" i="78" s="1"/>
  <c r="Q69" i="78" s="1"/>
  <c r="Q68" i="78" s="1"/>
  <c r="C75" i="78"/>
  <c r="C58" i="67"/>
  <c r="C67" i="67" s="1"/>
  <c r="C68" i="67" s="1"/>
  <c r="C71" i="67" s="1"/>
  <c r="C64" i="78"/>
  <c r="C40" i="15"/>
  <c r="Q65" i="15" s="1"/>
  <c r="Q75" i="15" s="1"/>
  <c r="C40" i="67"/>
  <c r="J22" i="79"/>
  <c r="J16" i="79" s="1"/>
  <c r="J25" i="79" s="1"/>
  <c r="C64" i="79"/>
  <c r="C58" i="79" s="1"/>
  <c r="C67" i="79" s="1"/>
  <c r="C68" i="79" s="1"/>
  <c r="C71" i="79" s="1"/>
  <c r="C30" i="79"/>
  <c r="C39" i="79" s="1"/>
  <c r="C40" i="79" s="1"/>
  <c r="Q67" i="15"/>
  <c r="Q69" i="15"/>
  <c r="Q68" i="15" s="1"/>
  <c r="C58" i="15"/>
  <c r="C67" i="15" s="1"/>
  <c r="C68" i="15" s="1"/>
  <c r="J16" i="78"/>
  <c r="J25" i="78" s="1"/>
  <c r="Q67" i="67"/>
  <c r="L51" i="79"/>
  <c r="C43" i="15" l="1"/>
  <c r="C22" i="68"/>
  <c r="C45" i="67"/>
  <c r="C46" i="67" s="1"/>
  <c r="C28" i="68"/>
  <c r="C27" i="68" s="1"/>
  <c r="C22" i="69"/>
  <c r="C31" i="68"/>
  <c r="C28" i="69"/>
  <c r="C27" i="69" s="1"/>
  <c r="C58" i="78"/>
  <c r="C67" i="78" s="1"/>
  <c r="C68" i="78" s="1"/>
  <c r="C71" i="78" s="1"/>
  <c r="C80" i="78"/>
  <c r="C79" i="78" s="1"/>
  <c r="Q69" i="79"/>
  <c r="Q68" i="79" s="1"/>
  <c r="Q56" i="15"/>
  <c r="Q62" i="15" s="1"/>
  <c r="C83" i="15"/>
  <c r="C82" i="15" s="1"/>
  <c r="Q47" i="15"/>
  <c r="Q53" i="15" s="1"/>
  <c r="B2" i="15"/>
  <c r="Q47" i="67"/>
  <c r="Q53" i="67" s="1"/>
  <c r="D2" i="67"/>
  <c r="B3" i="67" s="1"/>
  <c r="Q56" i="67"/>
  <c r="Q62" i="67" s="1"/>
  <c r="C83" i="67"/>
  <c r="C82" i="67" s="1"/>
  <c r="Q65" i="67"/>
  <c r="Q75" i="67" s="1"/>
  <c r="C43" i="67"/>
  <c r="C40" i="78"/>
  <c r="Q56" i="78" s="1"/>
  <c r="Q62" i="78" s="1"/>
  <c r="C80" i="79"/>
  <c r="C79" i="79" s="1"/>
  <c r="C71" i="15"/>
  <c r="C46" i="15"/>
  <c r="Q67" i="79"/>
  <c r="C46" i="79"/>
  <c r="Q65" i="79"/>
  <c r="Q75" i="79" s="1"/>
  <c r="C43" i="79"/>
  <c r="Q56" i="79"/>
  <c r="Q62" i="79" s="1"/>
  <c r="Q47" i="79"/>
  <c r="Q53" i="79" s="1"/>
  <c r="B2" i="79"/>
  <c r="B3" i="79" s="1"/>
  <c r="C83" i="79"/>
  <c r="C82" i="79" s="1"/>
  <c r="D19" i="9"/>
  <c r="L51" i="78"/>
  <c r="AO6" i="1"/>
  <c r="Q67" i="78" l="1"/>
  <c r="C31" i="69"/>
  <c r="C52" i="69" s="1"/>
  <c r="C57" i="69" s="1"/>
  <c r="C56" i="69" s="1"/>
  <c r="C52" i="68"/>
  <c r="C83" i="78"/>
  <c r="C82" i="78" s="1"/>
  <c r="D102" i="9"/>
  <c r="D21" i="9"/>
  <c r="B6" i="70"/>
  <c r="B2" i="70" s="1"/>
  <c r="B3" i="70" s="1"/>
  <c r="B3" i="15"/>
  <c r="B2" i="67"/>
  <c r="Q47" i="78"/>
  <c r="Q53" i="78" s="1"/>
  <c r="C43" i="78"/>
  <c r="C46" i="78"/>
  <c r="Q65" i="78"/>
  <c r="Q75" i="78" s="1"/>
  <c r="B2" i="78"/>
  <c r="B3" i="78" s="1"/>
  <c r="D20" i="9"/>
  <c r="B2" i="69" l="1"/>
  <c r="B3" i="69" s="1"/>
  <c r="B2" i="68"/>
  <c r="C57" i="68"/>
  <c r="C56" i="68" s="1"/>
  <c r="D103" i="9"/>
  <c r="C19" i="9"/>
  <c r="H36" i="9" l="1"/>
  <c r="H34" i="9"/>
  <c r="G34" i="9" s="1"/>
  <c r="C21" i="9"/>
  <c r="C102" i="9"/>
  <c r="G19" i="9"/>
  <c r="D22" i="9"/>
  <c r="B3" i="68"/>
  <c r="C20" i="9"/>
  <c r="G35" i="9" l="1"/>
  <c r="C103" i="9"/>
  <c r="G20" i="9"/>
  <c r="C32" i="9"/>
  <c r="G21" i="9"/>
  <c r="H118" i="9" l="1"/>
  <c r="L8" i="82" s="1"/>
  <c r="I118" i="9" l="1"/>
  <c r="I4" i="52" s="1"/>
  <c r="H101" i="9"/>
  <c r="C104" i="9"/>
  <c r="H119" i="9"/>
  <c r="H5" i="52" s="1"/>
  <c r="D14" i="74"/>
  <c r="E14" i="74" s="1"/>
  <c r="H4" i="52"/>
  <c r="D5" i="53"/>
  <c r="D6" i="53" s="1"/>
  <c r="B22" i="72" s="1"/>
  <c r="L3" i="82"/>
  <c r="L5" i="82"/>
  <c r="L7" i="82"/>
  <c r="L4" i="82"/>
  <c r="L6" i="82"/>
  <c r="H102" i="9"/>
  <c r="D7" i="53" s="1"/>
  <c r="B21" i="72" s="1"/>
  <c r="M48" i="9"/>
  <c r="D45" i="9"/>
  <c r="D53" i="9" s="1"/>
  <c r="C105" i="9"/>
  <c r="F14" i="74"/>
  <c r="B5" i="74"/>
  <c r="D5" i="74" s="1"/>
  <c r="B20" i="72"/>
  <c r="F34" i="9" l="1"/>
  <c r="F35" i="9"/>
  <c r="H107" i="9"/>
  <c r="C35" i="9"/>
  <c r="C5" i="74"/>
  <c r="D52" i="9"/>
  <c r="C78" i="9"/>
  <c r="C73" i="9" s="1"/>
  <c r="C72" i="9"/>
  <c r="C85" i="9"/>
  <c r="D55" i="9"/>
  <c r="M53" i="9" s="1"/>
  <c r="C93" i="9"/>
  <c r="C86" i="9" s="1"/>
  <c r="C95" i="9" s="1"/>
  <c r="C96" i="9" s="1"/>
  <c r="E96" i="9" s="1"/>
  <c r="E97" i="9" s="1"/>
  <c r="C64" i="9"/>
  <c r="C63" i="9" s="1"/>
  <c r="C67" i="9" s="1"/>
  <c r="C68" i="9" s="1"/>
  <c r="D54" i="9" s="1"/>
  <c r="D35" i="9"/>
  <c r="F6" i="82" l="1"/>
  <c r="F4" i="82"/>
  <c r="F7" i="82"/>
  <c r="F5" i="82"/>
  <c r="F3" i="82"/>
  <c r="F118" i="9"/>
  <c r="H108" i="9"/>
  <c r="D15" i="53" s="1"/>
  <c r="B31" i="72" s="1"/>
  <c r="D122" i="9"/>
  <c r="D13" i="53"/>
  <c r="M49" i="9"/>
  <c r="C79" i="9"/>
  <c r="C80" i="9" s="1"/>
  <c r="E80" i="9" s="1"/>
  <c r="E81" i="9" s="1"/>
  <c r="C97" i="9"/>
  <c r="D58" i="9" s="1"/>
  <c r="D56" i="9" s="1"/>
  <c r="M54" i="9" s="1"/>
  <c r="N57" i="9" s="1"/>
  <c r="N58" i="9" s="1"/>
  <c r="G7" i="82" l="1"/>
  <c r="E7" i="82" s="1"/>
  <c r="D7" i="82"/>
  <c r="L64" i="9"/>
  <c r="M64" i="9" s="1"/>
  <c r="L68" i="9"/>
  <c r="M68" i="9" s="1"/>
  <c r="L65" i="9"/>
  <c r="M65" i="9" s="1"/>
  <c r="L66" i="9"/>
  <c r="M66" i="9" s="1"/>
  <c r="L63" i="9"/>
  <c r="M63" i="9" s="1"/>
  <c r="M69" i="9" s="1"/>
  <c r="N69" i="9" s="1"/>
  <c r="L67" i="9"/>
  <c r="M67" i="9" s="1"/>
  <c r="D123" i="9"/>
  <c r="D9" i="52" s="1"/>
  <c r="G14" i="74"/>
  <c r="B6" i="74" s="1"/>
  <c r="D8" i="52"/>
  <c r="K8" i="82"/>
  <c r="G118" i="9"/>
  <c r="G4" i="52" s="1"/>
  <c r="B52" i="72" s="1"/>
  <c r="F119" i="9"/>
  <c r="F5" i="52" s="1"/>
  <c r="B53" i="72" s="1"/>
  <c r="F4" i="52"/>
  <c r="B51" i="72" s="1"/>
  <c r="G5" i="82"/>
  <c r="E5" i="82" s="1"/>
  <c r="D5" i="82"/>
  <c r="D4" i="82"/>
  <c r="G4" i="82"/>
  <c r="E4" i="82" s="1"/>
  <c r="B30" i="72"/>
  <c r="D14" i="53"/>
  <c r="B32" i="72" s="1"/>
  <c r="D3" i="82"/>
  <c r="F8" i="82"/>
  <c r="G3" i="82"/>
  <c r="E3" i="82" s="1"/>
  <c r="D6" i="82"/>
  <c r="G6" i="82"/>
  <c r="E6" i="82" s="1"/>
  <c r="N59" i="9"/>
  <c r="N60" i="9" s="1"/>
  <c r="P57" i="9"/>
  <c r="C81" i="9"/>
  <c r="D8" i="82" l="1"/>
  <c r="C6" i="74"/>
  <c r="D6" i="74"/>
  <c r="N61" i="9"/>
  <c r="C34" i="9"/>
  <c r="D118" i="9" s="1"/>
  <c r="D34" i="9"/>
  <c r="J8" i="82" l="1"/>
  <c r="D119" i="9"/>
  <c r="D5" i="52" s="1"/>
  <c r="B49" i="72" s="1"/>
  <c r="D4" i="52"/>
  <c r="B47" i="72" s="1"/>
  <c r="E118" i="9"/>
  <c r="E4" i="52" s="1"/>
  <c r="B48" i="72" s="1"/>
  <c r="J6" i="82" l="1"/>
  <c r="K6" i="82" s="1"/>
  <c r="J4" i="82"/>
  <c r="K4" i="82" s="1"/>
  <c r="J3" i="82"/>
  <c r="K3" i="82" s="1"/>
  <c r="J7" i="82"/>
  <c r="K7" i="82" s="1"/>
  <c r="J5" i="82"/>
  <c r="K5"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<sst xmlns="http://schemas.openxmlformats.org/spreadsheetml/2006/main" count="8323" uniqueCount="3170">
  <si>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</si>
  <si>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</si>
  <si>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</si>
  <si>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</si>
  <si>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</si>
  <si>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</si>
  <si>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</si>
  <si>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</si>
  <si>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</si>
  <si>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</si>
  <si>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</si>
  <si>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</si>
  <si>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</si>
  <si>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</si>
  <si>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</si>
  <si>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</si>
  <si>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</si>
  <si>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</si>
  <si>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</si>
  <si>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</si>
  <si>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</si>
  <si>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</si>
  <si>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</si>
  <si>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</si>
  <si>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</si>
  <si>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</si>
  <si>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</si>
  <si>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</si>
  <si>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</si>
  <si>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</si>
  <si>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</si>
  <si>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</si>
  <si>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</si>
  <si>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</si>
  <si>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</si>
  <si>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</si>
  <si>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</si>
  <si>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</si>
  <si>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</si>
  <si>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</si>
  <si>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</si>
  <si>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</si>
  <si>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</si>
  <si>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</si>
  <si>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</si>
  <si>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</si>
  <si>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</si>
  <si>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</si>
  <si>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</si>
  <si>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</si>
  <si>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</si>
  <si>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</si>
  <si>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</si>
  <si>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</si>
  <si>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</si>
  <si>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</si>
  <si>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</si>
  <si>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</si>
  <si>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</si>
  <si>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</si>
  <si>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</si>
  <si>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</si>
  <si>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</si>
  <si>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</si>
  <si>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</si>
  <si>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</si>
  <si>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</si>
  <si>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</si>
  <si>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</si>
  <si>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</si>
  <si>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</si>
  <si>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</si>
  <si>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</si>
  <si>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</si>
  <si>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</si>
  <si>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</si>
  <si>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</si>
  <si>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</si>
  <si>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</si>
  <si>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</si>
  <si>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</si>
  <si>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</si>
  <si>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</si>
  <si>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</si>
  <si>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</si>
  <si>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</si>
  <si>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</si>
  <si>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</si>
  <si>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</si>
  <si>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</si>
  <si>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</si>
  <si>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</si>
  <si>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</si>
  <si>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</si>
  <si>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</si>
  <si>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</si>
  <si>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</si>
  <si>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</si>
  <si>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</si>
  <si>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</si>
  <si>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</si>
  <si>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</si>
  <si>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</si>
  <si>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</si>
  <si>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</si>
  <si>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</si>
  <si>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</si>
  <si>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</si>
  <si>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</si>
  <si>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</si>
  <si>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</si>
  <si>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</si>
  <si>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</si>
  <si>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</si>
  <si>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</si>
  <si>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</si>
  <si>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</si>
  <si>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</si>
  <si>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</si>
  <si>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</si>
  <si>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</si>
  <si>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</si>
  <si>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</si>
  <si>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</si>
  <si>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</si>
  <si>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</si>
  <si>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</si>
  <si>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</si>
  <si>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</si>
  <si>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</si>
  <si>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</si>
  <si>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</si>
  <si>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</si>
  <si>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</si>
  <si>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</si>
  <si>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</si>
  <si>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</si>
  <si>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</si>
  <si>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</si>
  <si>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</si>
  <si>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</si>
  <si>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</si>
  <si>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</si>
  <si>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</si>
  <si>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</si>
  <si>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</si>
  <si>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</si>
  <si>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</si>
  <si>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</si>
  <si>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</si>
  <si>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</si>
  <si>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</si>
  <si>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</si>
  <si>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</si>
  <si>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</si>
  <si>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</si>
  <si>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</si>
  <si>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</si>
  <si>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</si>
  <si>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</si>
  <si>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</si>
  <si>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</si>
  <si>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</si>
  <si>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</si>
  <si>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</si>
  <si>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</si>
  <si>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</si>
  <si>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</si>
  <si>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</si>
  <si>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</si>
  <si>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</si>
  <si>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</si>
  <si>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</si>
  <si>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</si>
  <si>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</si>
  <si>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</si>
  <si>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</si>
  <si>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</si>
  <si>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</si>
  <si>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</si>
  <si>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</si>
  <si>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</si>
  <si>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</si>
  <si>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</si>
  <si>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</si>
  <si>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</si>
  <si>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</si>
  <si>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</si>
  <si>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</si>
  <si>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</si>
  <si>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</si>
  <si>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</si>
  <si>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</si>
  <si>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</si>
  <si>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</si>
  <si>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</si>
  <si>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</si>
  <si>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</si>
  <si>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</si>
  <si>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</si>
  <si>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</si>
  <si>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</si>
  <si>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</si>
  <si>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</si>
  <si>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</si>
  <si>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</si>
  <si>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</si>
  <si>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</si>
  <si>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</si>
  <si>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</si>
  <si>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</si>
  <si>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</si>
  <si>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</si>
  <si>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</si>
  <si>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</si>
  <si>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</si>
  <si>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</si>
  <si>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</si>
  <si>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</si>
  <si>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</si>
  <si>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</si>
  <si>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</si>
  <si>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</si>
  <si>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</si>
  <si>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</si>
  <si>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</si>
  <si>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</si>
  <si>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</si>
  <si>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</si>
  <si>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</si>
  <si>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</si>
  <si>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</si>
  <si>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</si>
  <si>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</si>
  <si>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</si>
  <si>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</si>
  <si>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</si>
  <si>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</si>
  <si>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</si>
  <si>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</si>
  <si>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</si>
  <si>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</si>
  <si>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</si>
  <si>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</si>
  <si>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</si>
  <si>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</si>
  <si>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</si>
  <si>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</si>
  <si>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</si>
  <si>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</si>
  <si>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</si>
  <si>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</si>
  <si>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</si>
  <si>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</si>
  <si>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</si>
  <si>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</si>
  <si>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</si>
  <si>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</si>
  <si>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</si>
  <si>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</si>
  <si>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</si>
  <si>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</si>
  <si>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</si>
  <si>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</si>
  <si>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</si>
  <si>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</si>
  <si>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</si>
  <si>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</si>
  <si>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</si>
  <si>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</si>
  <si>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</si>
  <si>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</si>
  <si>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</si>
  <si>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</si>
  <si>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</si>
  <si>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</si>
  <si>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</si>
  <si>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</si>
  <si>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</si>
  <si>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</si>
  <si>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</si>
  <si>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</si>
  <si>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</si>
  <si>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</si>
  <si>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</si>
  <si>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</si>
  <si>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</si>
  <si>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</si>
  <si>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</si>
  <si>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</si>
  <si>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</si>
  <si>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</si>
  <si>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</si>
  <si>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</si>
  <si>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</si>
  <si>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</si>
  <si>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</si>
  <si>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</si>
  <si>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</si>
  <si>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</si>
  <si>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</si>
  <si>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</si>
  <si>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</si>
  <si>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</si>
  <si>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</si>
  <si>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</si>
  <si>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</si>
  <si>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</si>
  <si>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</si>
  <si>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</si>
  <si>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</si>
  <si>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</si>
  <si>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</si>
  <si>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</si>
  <si>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</si>
  <si>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</si>
  <si>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</si>
  <si>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</si>
  <si>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</si>
  <si>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</si>
  <si>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</si>
  <si>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</si>
  <si>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</si>
  <si>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</si>
  <si>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</si>
  <si>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</si>
  <si>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</si>
  <si>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</si>
  <si>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</si>
  <si>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</si>
  <si>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</si>
  <si>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</si>
  <si>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</si>
  <si>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</si>
  <si>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</si>
  <si>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</si>
  <si>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</si>
  <si>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</si>
  <si>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</si>
  <si>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</si>
  <si>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</si>
  <si>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</si>
  <si>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</si>
  <si>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</si>
  <si>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</si>
  <si>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</si>
  <si>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</si>
  <si>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</si>
  <si>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</si>
  <si>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</si>
  <si>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</si>
  <si>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</si>
  <si>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</si>
  <si>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</si>
  <si>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</si>
  <si>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</si>
  <si>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</si>
  <si>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</si>
  <si>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</si>
  <si>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</si>
  <si>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</si>
  <si>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</si>
  <si>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</si>
  <si>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</si>
  <si>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</si>
  <si>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</si>
  <si>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</si>
  <si>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</si>
  <si>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</si>
  <si>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</si>
  <si>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</si>
  <si>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</si>
  <si>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</si>
  <si>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</si>
  <si>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</si>
  <si>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</si>
  <si>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</si>
  <si>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</si>
  <si>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</si>
  <si>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</si>
  <si>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</si>
  <si>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</si>
  <si>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</si>
  <si>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</si>
  <si>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</si>
  <si>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</si>
  <si>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</si>
  <si>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</si>
  <si>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</si>
  <si>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</si>
  <si>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</si>
  <si>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</si>
  <si>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</si>
  <si>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</si>
  <si>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</si>
  <si>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</si>
  <si>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</si>
  <si>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</si>
  <si>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</si>
  <si>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</si>
  <si>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</si>
  <si>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</si>
  <si>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</si>
  <si>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</si>
  <si>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</si>
  <si>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</si>
  <si>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</si>
  <si>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</si>
  <si>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</si>
  <si>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</si>
  <si>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</si>
  <si>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</si>
  <si>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</si>
  <si>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</si>
  <si>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</si>
  <si>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</si>
  <si>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</si>
  <si>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</si>
  <si>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</si>
  <si>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</si>
  <si>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</si>
  <si>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</si>
  <si>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</si>
  <si>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</si>
  <si>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</si>
  <si>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</si>
  <si>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</si>
  <si>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</si>
  <si>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</si>
  <si>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</si>
  <si>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</si>
  <si>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</si>
  <si>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</si>
  <si>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</si>
  <si>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</si>
  <si>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</si>
  <si>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</si>
  <si>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</si>
  <si>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</si>
  <si>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</si>
  <si>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</si>
  <si>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</si>
  <si>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</si>
  <si>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</si>
  <si>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</si>
  <si>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</si>
  <si>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</si>
  <si>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</si>
  <si>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</si>
  <si>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</si>
  <si>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</si>
  <si>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</si>
  <si>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</si>
  <si>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</si>
  <si>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</si>
  <si>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</si>
  <si>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</si>
  <si>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</si>
  <si>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</si>
  <si>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</si>
  <si>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</si>
  <si>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</si>
  <si>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</si>
  <si>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</si>
  <si>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</si>
  <si>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</si>
  <si>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</si>
  <si>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</si>
  <si>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</si>
  <si>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</si>
  <si>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</si>
  <si>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</si>
  <si>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</si>
  <si>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</si>
  <si>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</si>
  <si>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</si>
  <si>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</si>
  <si>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</si>
  <si>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</si>
  <si>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</si>
  <si>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</si>
  <si>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</si>
  <si>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</si>
  <si>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</si>
  <si>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</si>
  <si>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</si>
  <si>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</si>
  <si>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</si>
  <si>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</si>
  <si>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</si>
  <si>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</si>
  <si>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</si>
  <si>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</si>
  <si>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</si>
  <si>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</si>
  <si>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</si>
  <si>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</si>
  <si>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</si>
  <si>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</si>
  <si>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</si>
  <si>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</si>
  <si>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</si>
  <si>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</si>
  <si>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</si>
  <si>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</si>
  <si>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</si>
  <si>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</si>
  <si>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</si>
  <si>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</si>
  <si>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</si>
  <si>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</si>
  <si>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</si>
  <si>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</si>
  <si>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</si>
  <si>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</si>
  <si>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</si>
  <si>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</si>
  <si>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</si>
  <si>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</si>
  <si>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</si>
  <si>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</si>
  <si>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</si>
  <si>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</si>
  <si>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</si>
  <si>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</si>
  <si>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</si>
  <si>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</si>
  <si>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</si>
  <si>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</si>
  <si>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</si>
  <si>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</si>
  <si>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</si>
  <si>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</si>
  <si>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</si>
  <si>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</si>
  <si>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</si>
  <si>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</si>
  <si>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</si>
  <si>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</si>
  <si>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</si>
  <si>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</si>
  <si>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</si>
  <si>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</si>
  <si>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</si>
  <si>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</si>
  <si>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</si>
  <si>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</si>
  <si>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</si>
  <si>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</si>
  <si>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</si>
  <si>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</si>
  <si>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</si>
  <si>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</si>
  <si>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</si>
  <si>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</si>
  <si>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</si>
  <si>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</si>
  <si>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</si>
  <si>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</si>
  <si>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</si>
  <si>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</si>
  <si>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</si>
  <si>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</si>
  <si>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</si>
  <si>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</si>
  <si>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</si>
  <si>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</si>
  <si>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</si>
  <si>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</si>
  <si>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</si>
  <si>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</si>
  <si>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</si>
  <si>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</si>
  <si>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</si>
  <si>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</si>
  <si>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</si>
  <si>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</si>
  <si>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</si>
  <si>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</si>
  <si>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</si>
  <si>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</si>
  <si>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</si>
  <si>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</si>
  <si>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</si>
  <si>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</si>
  <si>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</si>
  <si>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</si>
  <si>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</si>
  <si>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</si>
  <si>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</si>
  <si>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</si>
  <si>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</si>
  <si>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</si>
  <si>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</si>
  <si>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</si>
  <si>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</si>
  <si>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</si>
  <si>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</si>
  <si>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</si>
  <si>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</si>
  <si>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</si>
  <si>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</si>
  <si>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</si>
  <si>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</si>
  <si>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</si>
  <si>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</si>
  <si>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</si>
  <si>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</si>
  <si>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</si>
  <si>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</si>
  <si>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</si>
  <si>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</si>
  <si>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</si>
  <si>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</si>
  <si>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</si>
  <si>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</si>
  <si>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</si>
  <si>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</si>
  <si>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</si>
  <si>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</si>
  <si>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</si>
  <si>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</si>
  <si>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</si>
  <si>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</si>
  <si>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</si>
  <si>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</si>
  <si>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</si>
  <si>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</si>
  <si>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</si>
  <si>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</si>
  <si>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</si>
  <si>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</si>
  <si>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</si>
  <si>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</si>
  <si>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</si>
  <si>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</si>
  <si>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</si>
  <si>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</si>
  <si>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</si>
  <si>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</si>
  <si>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</si>
  <si>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</si>
  <si>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</si>
  <si>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</si>
  <si>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</si>
  <si>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</si>
  <si>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</si>
  <si>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</si>
  <si>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</si>
  <si>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</si>
  <si>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</si>
  <si>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</si>
  <si>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</si>
  <si>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</si>
  <si>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</si>
  <si>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</si>
  <si>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</si>
  <si>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</si>
  <si>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</si>
  <si>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</si>
  <si>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</si>
  <si>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</si>
  <si>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</si>
  <si>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</si>
  <si>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</si>
  <si>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</si>
  <si>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</si>
  <si>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</si>
  <si>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</si>
  <si>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</si>
  <si>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</si>
  <si>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</si>
  <si>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</si>
  <si>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</si>
  <si>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</si>
  <si>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</si>
  <si>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</si>
  <si>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</si>
  <si>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</si>
  <si>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</si>
  <si>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</si>
  <si>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</si>
  <si>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</si>
  <si>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</si>
  <si>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</si>
  <si>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</si>
  <si>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</si>
  <si>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</si>
  <si>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</si>
  <si>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</si>
  <si>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</si>
  <si>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</si>
  <si>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</si>
  <si>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</si>
  <si>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</si>
  <si>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</si>
  <si>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</si>
  <si>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</si>
  <si>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</si>
  <si>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</si>
  <si>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</si>
  <si>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</si>
  <si>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</si>
  <si>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</si>
  <si>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</si>
  <si>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</si>
  <si>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</si>
  <si>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</si>
  <si>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</si>
  <si>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</si>
  <si>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</si>
  <si>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</si>
  <si>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</si>
  <si>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</si>
  <si>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</si>
  <si>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</si>
  <si>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</si>
  <si>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</si>
  <si>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</si>
  <si>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</si>
  <si>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</si>
  <si>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</si>
  <si>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</si>
  <si>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</si>
  <si>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</si>
  <si>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</si>
  <si>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</si>
  <si>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</si>
  <si>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</si>
  <si>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</si>
  <si>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</si>
  <si>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</si>
  <si>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</si>
  <si>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</si>
  <si>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</si>
  <si>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</si>
  <si>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</si>
  <si>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</si>
  <si>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</si>
  <si>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</si>
  <si>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</si>
  <si>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</si>
  <si>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</si>
  <si>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</si>
  <si>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</si>
  <si>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</si>
  <si>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</si>
  <si>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</si>
  <si>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</si>
  <si>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</si>
  <si>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</si>
  <si>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</si>
  <si>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</si>
  <si>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</si>
  <si>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</si>
  <si>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</si>
  <si>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</si>
  <si>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</si>
  <si>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</si>
  <si>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</si>
  <si>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</si>
  <si>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</si>
  <si>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</si>
  <si>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</si>
  <si>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</si>
  <si>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</si>
  <si>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</si>
  <si>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</si>
  <si>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</si>
  <si>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</si>
  <si>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</si>
  <si>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</si>
  <si>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</si>
  <si>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</si>
  <si>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</si>
  <si>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</si>
  <si>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</si>
  <si>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</si>
  <si>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</si>
  <si>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</si>
  <si>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</si>
  <si>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</si>
  <si>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</si>
  <si>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</si>
  <si>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</si>
  <si>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</si>
  <si>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</si>
  <si>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</si>
  <si>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</si>
  <si>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</si>
  <si>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</si>
  <si>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</si>
  <si>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</si>
  <si>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</si>
  <si>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</si>
  <si>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</si>
  <si>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</si>
  <si>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</si>
  <si>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</si>
  <si>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</si>
  <si>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</si>
  <si>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</si>
  <si>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</si>
  <si>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</si>
  <si>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</si>
  <si>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</si>
  <si>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</si>
  <si>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</si>
  <si>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</si>
  <si>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</si>
  <si>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</si>
  <si>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</si>
  <si>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</si>
  <si>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</si>
  <si>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</si>
  <si>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</si>
  <si>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</si>
  <si>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</si>
  <si>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</si>
  <si>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</si>
  <si>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</si>
  <si>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</si>
  <si>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</si>
  <si>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</si>
  <si>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</si>
  <si>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</si>
  <si>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</si>
  <si>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</si>
  <si>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</si>
  <si>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</si>
  <si>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</si>
  <si>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</si>
  <si>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</si>
  <si>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</si>
  <si>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</si>
  <si>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</si>
  <si>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</si>
  <si>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</si>
  <si>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</si>
  <si>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</si>
  <si>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</si>
  <si>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</si>
  <si>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</si>
  <si>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</si>
  <si>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</si>
  <si>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</si>
  <si>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</si>
  <si>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</si>
  <si>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</si>
  <si>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</si>
  <si>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</si>
  <si>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</si>
  <si>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</si>
  <si>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</si>
  <si>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</si>
  <si>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</si>
  <si>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</si>
  <si>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</si>
  <si>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</si>
  <si>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</si>
  <si>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</si>
  <si>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</si>
  <si>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</si>
  <si>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</si>
  <si>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</si>
  <si>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</si>
  <si>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</si>
  <si>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</si>
  <si>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</si>
  <si>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</si>
  <si>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</si>
  <si>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</si>
  <si>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</si>
  <si>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</si>
  <si>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</si>
  <si>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</si>
  <si>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</si>
  <si>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</si>
  <si>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</si>
  <si>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</si>
  <si>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</si>
  <si>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</si>
  <si>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</si>
  <si>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</si>
  <si>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</si>
  <si>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</si>
  <si>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</si>
  <si>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</si>
  <si>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</si>
  <si>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</si>
  <si>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</si>
  <si>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</si>
  <si>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</si>
  <si>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</si>
  <si>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</si>
  <si>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</si>
  <si>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</si>
  <si>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</si>
  <si>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</si>
  <si>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</si>
  <si>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</si>
  <si>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</si>
  <si>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</si>
  <si>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</si>
  <si>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</si>
  <si>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</si>
  <si>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</si>
  <si>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</si>
  <si>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</si>
  <si>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</si>
  <si>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</si>
  <si>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</si>
  <si>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</si>
  <si>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</si>
  <si>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</si>
  <si>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</si>
  <si>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</si>
  <si>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</si>
  <si>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</si>
  <si>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</si>
  <si>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</si>
  <si>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</si>
  <si>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</si>
  <si>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</si>
  <si>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</si>
  <si>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</si>
  <si>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</si>
  <si>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</si>
  <si>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</si>
  <si>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</si>
  <si>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</si>
  <si>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</si>
  <si>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</si>
  <si>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</si>
  <si>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</si>
  <si>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</si>
  <si>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</si>
  <si>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</si>
  <si>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</si>
  <si>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</si>
  <si>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</si>
  <si>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</si>
  <si>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</si>
  <si>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</si>
  <si>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</si>
  <si>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</si>
  <si>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</si>
  <si>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</si>
  <si>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</si>
  <si>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</si>
  <si>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</si>
  <si>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</si>
  <si>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</si>
  <si>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</si>
  <si>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</si>
  <si>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</si>
  <si>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</si>
  <si>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</si>
  <si>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</si>
  <si>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</si>
  <si>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</si>
  <si>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</si>
  <si>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</si>
  <si>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</si>
  <si>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</si>
  <si>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</si>
  <si>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</si>
  <si>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</si>
  <si>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</si>
  <si>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</si>
  <si>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</si>
  <si>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</si>
  <si>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</si>
  <si>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</si>
  <si>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</si>
  <si>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</si>
  <si>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</si>
  <si>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</si>
  <si>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</si>
  <si>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</si>
  <si>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</si>
  <si>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</si>
  <si>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</si>
  <si>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</si>
  <si>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</si>
  <si>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</si>
  <si>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</si>
  <si>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</si>
  <si>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</si>
  <si>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</si>
  <si>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</si>
  <si>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</si>
  <si>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</si>
  <si>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</si>
  <si>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</si>
  <si>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</si>
  <si>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</si>
  <si>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</si>
  <si>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</si>
  <si>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</si>
  <si>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</si>
  <si>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</si>
  <si>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</si>
  <si>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</si>
  <si>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</si>
  <si>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</si>
  <si>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</si>
  <si>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</si>
  <si>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</si>
  <si>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</si>
  <si>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</si>
  <si>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</si>
  <si>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</si>
  <si>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</si>
  <si>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</si>
  <si>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</si>
  <si>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</si>
  <si>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</si>
  <si>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</si>
  <si>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</si>
  <si>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</si>
  <si>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</si>
  <si>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</si>
  <si>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</si>
  <si>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</si>
  <si>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</si>
  <si>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</si>
  <si>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</si>
  <si>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</si>
  <si>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</si>
  <si>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</si>
  <si>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</si>
  <si>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</si>
  <si>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</si>
  <si>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</si>
  <si>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</si>
  <si>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</si>
  <si>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</si>
  <si>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</si>
  <si>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</si>
  <si>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</si>
  <si>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</si>
  <si>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</si>
  <si>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</si>
  <si>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</si>
  <si>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</si>
  <si>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</si>
  <si>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</si>
  <si>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</si>
  <si>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</si>
  <si>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</si>
  <si>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</si>
  <si>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</si>
  <si>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</si>
  <si>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</si>
  <si>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</si>
  <si>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</si>
  <si>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</si>
  <si>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</si>
  <si>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</si>
  <si>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</si>
  <si>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</si>
  <si>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</si>
  <si>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</si>
  <si>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</si>
  <si>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</si>
  <si>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</si>
  <si>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</si>
  <si>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</si>
  <si>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</si>
  <si>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</si>
  <si>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</si>
  <si>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</si>
  <si>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</si>
  <si>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</si>
  <si>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</si>
  <si>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</si>
  <si>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</si>
  <si>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</si>
  <si>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</si>
  <si>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</si>
  <si>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</si>
  <si>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</si>
  <si>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</si>
  <si>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</si>
  <si>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</si>
  <si>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</si>
  <si>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</si>
  <si>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</si>
  <si>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</si>
  <si>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</si>
  <si>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</si>
  <si>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</si>
  <si>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</si>
  <si>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</si>
  <si>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</si>
  <si>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</si>
  <si>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</si>
  <si>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</si>
  <si>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</si>
  <si>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</si>
  <si>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</si>
  <si>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</si>
  <si>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</si>
  <si>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</si>
  <si>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</si>
  <si>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</si>
  <si>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</si>
  <si>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</si>
  <si>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</si>
  <si>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</si>
  <si>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</si>
  <si>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</si>
  <si>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</si>
  <si>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</si>
  <si>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</si>
  <si>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</si>
  <si>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</si>
  <si>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</si>
  <si>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</si>
  <si>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</si>
  <si>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</si>
  <si>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</si>
  <si>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</si>
  <si>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</si>
  <si>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</si>
  <si>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</si>
  <si>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</si>
  <si>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</si>
  <si>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</si>
  <si>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</si>
  <si>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</si>
  <si>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</si>
  <si>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</si>
  <si>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</si>
  <si>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</si>
  <si>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</si>
  <si>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</si>
  <si>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</si>
  <si>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</si>
  <si>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</si>
  <si>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</si>
  <si>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</si>
  <si>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</si>
  <si>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</si>
  <si>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</si>
  <si>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</si>
  <si>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</si>
  <si>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</si>
  <si>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</si>
  <si>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</si>
  <si>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</si>
  <si>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</si>
  <si>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</si>
  <si>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</si>
  <si>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</si>
  <si>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</si>
  <si>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</si>
  <si>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</si>
  <si>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</si>
  <si>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</si>
  <si>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</si>
  <si>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</si>
  <si>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</si>
  <si>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</si>
  <si>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</si>
  <si>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</si>
  <si>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</si>
  <si>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</si>
  <si>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</si>
  <si>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</si>
  <si>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</si>
  <si>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</si>
  <si>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</si>
  <si>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</si>
  <si>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</si>
  <si>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</si>
  <si>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</si>
  <si>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</si>
  <si>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</si>
  <si>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</si>
  <si>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</si>
  <si>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</si>
  <si>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</si>
  <si>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</si>
  <si>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</si>
  <si>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</si>
  <si>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</si>
  <si>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</si>
  <si>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</si>
  <si>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</si>
  <si>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</si>
  <si>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</si>
  <si>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</si>
  <si>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</si>
  <si>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</si>
  <si>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</si>
  <si>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</si>
  <si>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</si>
  <si>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</si>
  <si>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</si>
  <si>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</si>
  <si>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</si>
  <si>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</si>
  <si>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</si>
  <si>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</si>
  <si>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</si>
  <si>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</si>
  <si>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</si>
  <si>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</si>
  <si>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</si>
  <si>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</si>
  <si>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</si>
  <si>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</si>
  <si>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</si>
  <si>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</si>
  <si>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</si>
  <si>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</si>
  <si>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</si>
  <si>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</si>
  <si>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</si>
  <si>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</si>
  <si>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</si>
  <si>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</si>
  <si>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</si>
  <si>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</si>
  <si>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</si>
  <si>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</si>
  <si>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</si>
  <si>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</si>
  <si>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</si>
  <si>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</si>
  <si>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</si>
  <si>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</si>
  <si>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</si>
  <si>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</si>
  <si>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</si>
  <si>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</si>
  <si>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</si>
  <si>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</si>
  <si>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</si>
  <si>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</si>
  <si>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</si>
  <si>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</si>
  <si>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</si>
  <si>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</si>
  <si>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</si>
  <si>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</si>
  <si>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</si>
  <si>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</si>
  <si>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</si>
  <si>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</si>
  <si>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</si>
  <si>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</si>
  <si>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</si>
  <si>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</si>
  <si>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</si>
  <si>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</si>
  <si>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</si>
  <si>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</si>
  <si>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</si>
  <si>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</si>
  <si>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</si>
  <si>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</si>
  <si>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</si>
  <si>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</si>
  <si>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</si>
  <si>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</si>
  <si>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</si>
  <si>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</si>
  <si>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</si>
  <si>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</si>
  <si>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</si>
  <si>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</si>
  <si>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</si>
  <si>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</si>
  <si>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</si>
  <si>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</si>
  <si>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</si>
  <si>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</si>
  <si>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</si>
  <si>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</si>
  <si>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</si>
  <si>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</si>
  <si>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</si>
  <si>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</si>
  <si>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</si>
  <si>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</si>
  <si>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</si>
  <si>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</si>
  <si>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</si>
  <si>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</si>
  <si>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</si>
  <si>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</si>
  <si>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</si>
  <si>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</si>
  <si>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</si>
  <si>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</si>
  <si>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</si>
  <si>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</si>
  <si>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</si>
  <si>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</si>
  <si>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</si>
  <si>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</si>
  <si>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</si>
  <si>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</si>
  <si>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</si>
  <si>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</si>
  <si>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</si>
  <si>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</si>
  <si>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</si>
  <si>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</si>
  <si>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</si>
  <si>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</si>
  <si>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</si>
  <si>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</si>
  <si>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</si>
  <si>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</si>
  <si>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</si>
  <si>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</si>
  <si>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</si>
  <si>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</si>
  <si>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</si>
  <si>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</si>
  <si>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</si>
  <si>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</si>
  <si>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</si>
  <si>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</si>
  <si>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</si>
  <si>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</si>
  <si>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</si>
  <si>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</si>
  <si>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</si>
  <si>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</si>
  <si>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</si>
  <si>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</si>
  <si>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</si>
  <si>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</si>
  <si>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</si>
  <si>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</si>
  <si>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</si>
  <si>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</si>
  <si>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</si>
  <si>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</si>
  <si>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</si>
  <si>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</si>
  <si>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</si>
  <si>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</si>
  <si>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</si>
  <si>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</si>
  <si>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</si>
  <si>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</si>
  <si>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</si>
  <si>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</si>
  <si>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</si>
  <si>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</si>
  <si>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</si>
  <si>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</si>
  <si>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</si>
  <si>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</si>
  <si>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</si>
  <si>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</si>
  <si>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</si>
  <si>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</si>
  <si>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</si>
  <si>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</si>
  <si>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</si>
  <si>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</si>
  <si>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</si>
  <si>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</si>
  <si>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</si>
  <si>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</si>
  <si>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</si>
  <si>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</si>
  <si>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</si>
  <si>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</si>
  <si>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</si>
  <si>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</si>
  <si>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</si>
  <si>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</si>
  <si>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</si>
  <si>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</si>
  <si>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</si>
  <si>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</si>
  <si>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</si>
  <si>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</si>
  <si>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</si>
  <si>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</si>
  <si>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</si>
  <si>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</si>
  <si>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</si>
  <si>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</si>
  <si>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</si>
  <si>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</si>
  <si>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</si>
  <si>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</si>
  <si>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</si>
  <si>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</si>
  <si>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</si>
  <si>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</si>
  <si>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</si>
  <si>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</si>
  <si>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</si>
  <si>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</si>
  <si>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</si>
  <si>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</si>
  <si>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</si>
  <si>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</si>
  <si>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</si>
  <si>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</si>
  <si>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</si>
  <si>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</si>
  <si>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</si>
  <si>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</si>
  <si>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</si>
  <si>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</si>
  <si>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</si>
  <si>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</si>
  <si>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</si>
  <si>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</si>
  <si>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</si>
  <si>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</si>
  <si>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</si>
  <si>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</si>
  <si>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</si>
  <si>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</si>
  <si>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</si>
  <si>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</si>
  <si>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</si>
  <si>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</si>
  <si>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</si>
  <si>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</si>
  <si>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</si>
  <si>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</si>
  <si>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</si>
  <si>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</si>
  <si>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</si>
  <si>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</si>
  <si>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</si>
  <si>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</si>
  <si>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</si>
  <si>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</si>
  <si>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</si>
  <si>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</si>
  <si>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</si>
  <si>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</si>
  <si>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</si>
  <si>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</si>
  <si>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</si>
  <si>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</si>
  <si>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</si>
  <si>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</si>
  <si>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</si>
  <si>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</si>
  <si>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</si>
  <si>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</si>
  <si>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</si>
  <si>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</si>
  <si>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</si>
  <si>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</si>
  <si>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</si>
  <si>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</si>
  <si>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</si>
  <si>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</si>
  <si>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</si>
  <si>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</si>
  <si>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</si>
  <si>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</si>
  <si>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</si>
  <si>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</si>
  <si>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</si>
  <si>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</si>
  <si>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</si>
  <si>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</si>
  <si>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</si>
  <si>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</si>
  <si>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</si>
  <si>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</si>
  <si>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</si>
  <si>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</si>
  <si>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</si>
  <si>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</si>
  <si>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</si>
  <si>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</si>
  <si>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</si>
  <si>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</si>
  <si>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</si>
  <si>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</si>
  <si>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</si>
  <si>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</si>
  <si>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</si>
  <si>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</si>
  <si>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</si>
  <si>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</si>
  <si>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</si>
  <si>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</si>
  <si>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</si>
  <si>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</si>
  <si>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</si>
  <si>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</si>
  <si>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</si>
  <si>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</si>
  <si>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</si>
  <si>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</si>
  <si>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</si>
  <si>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</si>
  <si>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</si>
  <si>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</si>
  <si>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</si>
  <si>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</si>
  <si>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</si>
  <si>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</si>
  <si>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</si>
  <si>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</si>
  <si>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</si>
  <si>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</si>
  <si>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</si>
  <si>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</si>
  <si>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</si>
  <si>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</si>
  <si>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</si>
  <si>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</si>
  <si>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</si>
  <si>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</si>
  <si>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</si>
  <si>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</si>
  <si>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</si>
  <si>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</si>
  <si>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</si>
  <si>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</si>
  <si>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</si>
  <si>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</si>
  <si>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</si>
  <si>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</si>
  <si>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</si>
  <si>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</si>
  <si>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</si>
  <si>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</si>
  <si>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</si>
  <si>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</si>
  <si>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</si>
  <si>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</si>
  <si>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</si>
  <si>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</si>
  <si>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</si>
  <si>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</si>
  <si>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</si>
  <si>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</si>
  <si>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</si>
  <si>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</si>
  <si>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</si>
  <si>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</si>
  <si>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</si>
  <si>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</si>
  <si>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</si>
  <si>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</si>
  <si>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</si>
  <si>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</si>
  <si>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</si>
  <si>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</si>
  <si>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</si>
  <si>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</si>
  <si>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</si>
  <si>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</si>
  <si>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</si>
  <si>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</si>
  <si>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</si>
  <si>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</si>
  <si>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</si>
  <si>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</si>
  <si>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</si>
  <si>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</si>
  <si>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</si>
  <si>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</si>
  <si>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</si>
  <si>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</si>
  <si>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</si>
  <si>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</si>
  <si>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</si>
  <si>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</si>
  <si>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</si>
  <si>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</si>
  <si>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</si>
  <si>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</si>
  <si>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</si>
  <si>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</si>
  <si>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</si>
  <si>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</si>
  <si>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</si>
  <si>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</si>
  <si>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</si>
  <si>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</si>
  <si>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</si>
  <si>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</si>
  <si>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</si>
  <si>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</si>
  <si>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</si>
  <si>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</si>
  <si>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</si>
  <si>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</si>
  <si>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</si>
  <si>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</si>
  <si>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</si>
  <si>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</si>
  <si>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</si>
  <si>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</si>
  <si>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</si>
  <si>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</si>
  <si>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</si>
  <si>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</si>
  <si>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</si>
  <si>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</si>
  <si>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</si>
  <si>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</si>
  <si>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</si>
  <si>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</si>
  <si>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</si>
  <si>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</si>
  <si>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</si>
  <si>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</si>
  <si>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</si>
  <si>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</si>
  <si>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</si>
  <si>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</si>
  <si>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</si>
  <si>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</si>
  <si>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</si>
  <si>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</si>
  <si>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</si>
  <si>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</si>
  <si>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</si>
  <si>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</si>
  <si>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</si>
  <si>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</si>
  <si>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</si>
  <si>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</si>
  <si>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</si>
  <si>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</si>
  <si>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</si>
  <si>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</si>
  <si>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</si>
  <si>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</si>
  <si>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</si>
  <si>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</si>
  <si>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</si>
  <si>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</si>
  <si>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</si>
  <si>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</si>
  <si>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</si>
  <si>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</si>
  <si>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</si>
  <si>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</si>
  <si>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</si>
  <si>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</si>
  <si>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</si>
  <si>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</si>
  <si>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</si>
  <si>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</si>
  <si>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</si>
  <si>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</si>
  <si>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</si>
  <si>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</si>
  <si>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</si>
  <si>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</si>
  <si>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</si>
  <si>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</si>
  <si>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</si>
  <si>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</si>
  <si>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</si>
  <si>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</si>
  <si>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</si>
  <si>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</si>
  <si>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</si>
  <si>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</si>
  <si>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</si>
  <si>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</si>
  <si>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</si>
  <si>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</si>
  <si>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</si>
  <si>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</si>
  <si>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</si>
  <si>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</si>
  <si>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</si>
  <si>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</si>
  <si>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</si>
  <si>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</si>
  <si>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</si>
  <si>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</si>
  <si>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</si>
  <si>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</si>
  <si>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</si>
  <si>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</si>
  <si>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</si>
  <si>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</si>
  <si>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</si>
  <si>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</si>
  <si>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</si>
  <si>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</si>
  <si>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</si>
  <si>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</si>
  <si>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</si>
  <si>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</si>
  <si>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</si>
  <si>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</si>
  <si>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</si>
  <si>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</si>
  <si>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</si>
  <si>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</si>
  <si>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</si>
  <si>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</si>
  <si>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</si>
  <si>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</si>
  <si>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</si>
  <si>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</si>
  <si>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</si>
  <si>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</si>
  <si>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</si>
  <si>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</si>
  <si>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</si>
  <si>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</si>
  <si>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</si>
  <si>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</si>
  <si>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</si>
  <si>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</si>
  <si>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</si>
  <si>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</si>
  <si>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</si>
  <si>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</si>
  <si>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</si>
  <si>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</si>
  <si>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</si>
  <si>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</si>
  <si>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</si>
  <si>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</si>
  <si>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</si>
  <si>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</si>
  <si>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</si>
  <si>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</si>
  <si>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</si>
  <si>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</si>
  <si>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</si>
  <si>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</si>
  <si>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</si>
  <si>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</si>
  <si>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</si>
  <si>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</si>
  <si>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</si>
  <si>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</si>
  <si>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</si>
  <si>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</si>
  <si>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</si>
  <si>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</si>
  <si>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</si>
  <si>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</si>
  <si>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</si>
  <si>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</si>
  <si>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</si>
  <si>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</si>
  <si>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</si>
  <si>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</si>
  <si>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</si>
  <si>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</si>
  <si>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</si>
  <si>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</si>
  <si>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</si>
  <si>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</si>
  <si>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</si>
  <si>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</si>
  <si>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</si>
  <si>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</si>
  <si>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</si>
  <si>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</si>
  <si>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</si>
  <si>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</si>
  <si>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</si>
  <si>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</si>
  <si>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</si>
  <si>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</si>
  <si>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</si>
  <si>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</si>
  <si>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</si>
  <si>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</si>
  <si>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</si>
  <si>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</si>
  <si>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</si>
  <si>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</si>
  <si>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</si>
  <si>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</si>
  <si>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</si>
  <si>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</si>
  <si>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</si>
  <si>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</si>
  <si>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</si>
  <si>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</si>
  <si>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</si>
  <si>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</si>
  <si>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</si>
  <si>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</si>
  <si>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</si>
  <si>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</si>
  <si>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</si>
  <si>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</si>
  <si>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</si>
  <si>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</si>
  <si>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</si>
  <si>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</si>
  <si>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</si>
  <si>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</si>
  <si>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</si>
  <si>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</si>
  <si>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</si>
  <si>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</si>
  <si>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</si>
  <si>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</si>
  <si>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</si>
  <si>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</si>
  <si>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</si>
  <si>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</si>
  <si>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</si>
  <si>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</si>
  <si>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</si>
  <si>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</si>
  <si>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</si>
  <si>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</si>
  <si>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</si>
  <si>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</si>
  <si>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</si>
  <si>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</si>
  <si>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</si>
  <si>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</si>
  <si>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</si>
  <si>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</si>
  <si>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</si>
  <si>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</si>
  <si>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</si>
  <si>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</si>
  <si>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</si>
  <si>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</si>
  <si>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</si>
  <si>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</si>
  <si>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</si>
  <si>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</si>
  <si>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</si>
  <si>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</si>
  <si>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</si>
  <si>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</si>
  <si>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</si>
  <si>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</si>
  <si>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</si>
  <si>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</si>
  <si>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</si>
  <si>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</si>
  <si>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</si>
  <si>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</si>
  <si>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</si>
  <si>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</si>
  <si>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</si>
  <si>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</si>
  <si>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</si>
  <si>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</si>
  <si>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</si>
  <si>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</si>
  <si>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</si>
  <si>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</si>
  <si>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</si>
  <si>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</si>
  <si>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</si>
  <si>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</si>
  <si>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</si>
  <si>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</si>
  <si>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</si>
  <si>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</si>
  <si>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</si>
  <si>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</si>
  <si>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</si>
  <si>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</si>
  <si>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</si>
  <si>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</si>
  <si>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</si>
  <si>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</si>
  <si>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</si>
  <si>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</si>
  <si>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</si>
  <si>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</si>
  <si>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</si>
  <si>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</si>
  <si>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</si>
  <si>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</si>
  <si>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</si>
  <si>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</si>
  <si>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</si>
  <si>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</si>
  <si>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</si>
  <si>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</si>
  <si>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</si>
  <si>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</si>
  <si>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</si>
  <si>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</si>
  <si>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</si>
  <si>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</si>
  <si>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</si>
  <si>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</si>
  <si>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</si>
  <si>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</si>
  <si>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</si>
  <si>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</si>
  <si>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</si>
  <si>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</si>
  <si>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</si>
  <si>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</si>
  <si>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</si>
  <si>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</si>
  <si>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</si>
  <si>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</si>
  <si>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</si>
  <si>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</si>
  <si>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</si>
  <si>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</si>
  <si>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</si>
  <si>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</si>
  <si>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</si>
  <si>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</si>
  <si>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</si>
  <si>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</si>
  <si>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</si>
  <si>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</si>
  <si>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</si>
  <si>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</si>
  <si>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</si>
  <si>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</si>
  <si>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</si>
  <si>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</si>
  <si>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</si>
  <si>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</si>
  <si>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</si>
  <si>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</si>
  <si>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</si>
  <si>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</si>
  <si>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</si>
  <si>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</si>
  <si>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</si>
  <si>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</si>
  <si>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</si>
  <si>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</si>
  <si>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</si>
  <si>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</si>
  <si>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</si>
  <si>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</si>
  <si>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</si>
  <si>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</si>
  <si>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</si>
  <si>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</si>
  <si>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</si>
  <si>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</si>
  <si>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</si>
  <si>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</si>
  <si>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</si>
  <si>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</si>
  <si>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</si>
  <si>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</si>
  <si>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</si>
  <si>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</si>
  <si>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</si>
  <si>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</si>
  <si>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</si>
  <si>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</si>
  <si>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</si>
  <si>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</si>
  <si>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</si>
  <si>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</si>
  <si>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</si>
  <si>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</si>
  <si>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</si>
  <si>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</si>
  <si>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</si>
  <si>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</si>
  <si>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</si>
  <si>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</si>
  <si>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</si>
  <si>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</si>
  <si>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</si>
  <si>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</si>
  <si>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</si>
  <si>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</si>
  <si>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</si>
  <si>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</si>
  <si>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</si>
  <si>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</si>
  <si>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</si>
  <si>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</si>
  <si>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</si>
  <si>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</si>
  <si>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</si>
  <si>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</si>
  <si>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</si>
  <si>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</si>
  <si>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</si>
  <si>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</si>
  <si>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</si>
  <si>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</si>
  <si>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</si>
  <si>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</si>
  <si>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</si>
  <si>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</si>
  <si>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</si>
  <si>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</si>
  <si>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</si>
  <si>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</si>
  <si>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</si>
  <si>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</si>
  <si>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</si>
  <si>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</si>
  <si>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</si>
  <si>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</si>
  <si>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</si>
  <si>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</si>
  <si>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</si>
  <si>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</si>
  <si>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</si>
  <si>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</si>
  <si>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</si>
  <si>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</si>
  <si>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</si>
  <si>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</si>
  <si>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</si>
  <si>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</si>
  <si>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</si>
  <si>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</si>
  <si>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</si>
  <si>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</si>
  <si>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</si>
  <si>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</si>
  <si>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</si>
  <si>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</si>
  <si>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</si>
  <si>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</si>
  <si>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</si>
  <si>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</si>
  <si>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</si>
  <si>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</si>
  <si>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</si>
  <si>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</si>
  <si>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</si>
  <si>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</si>
  <si>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</si>
  <si>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</si>
  <si>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</si>
  <si>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</si>
  <si>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</si>
  <si>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</si>
  <si>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</si>
  <si>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</si>
  <si>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</si>
  <si>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</si>
  <si>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</si>
  <si>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</si>
  <si>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</si>
  <si>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</si>
  <si>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</si>
  <si>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</si>
  <si>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</si>
  <si>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</si>
  <si>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</si>
  <si>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</si>
  <si>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</si>
  <si>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</si>
  <si>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</si>
  <si>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</si>
  <si>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</si>
  <si>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</si>
  <si>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</si>
  <si>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</si>
  <si>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</si>
  <si>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</si>
  <si>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</si>
  <si>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</si>
  <si>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</si>
  <si>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</si>
  <si>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</si>
  <si>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</si>
  <si>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</si>
  <si>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</si>
  <si>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</si>
  <si>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</si>
  <si>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</si>
  <si>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</si>
  <si>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</si>
  <si>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</si>
  <si>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</si>
  <si>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</si>
  <si>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</si>
  <si>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</si>
  <si>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</si>
  <si>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</si>
  <si>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</si>
  <si>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</si>
  <si>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</si>
  <si>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</si>
  <si>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</si>
  <si>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</si>
  <si>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</si>
  <si>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</si>
  <si>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</si>
  <si>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</si>
  <si>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</si>
  <si>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</si>
  <si>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</si>
  <si>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</si>
  <si>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</si>
  <si>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</si>
  <si>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</si>
  <si>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</si>
  <si>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</si>
  <si>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</si>
  <si>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</si>
  <si>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</si>
  <si>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</si>
  <si>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</si>
  <si>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</si>
  <si>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</si>
  <si>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</si>
  <si>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</si>
  <si>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</si>
  <si>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</si>
  <si>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</si>
  <si>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</si>
  <si>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</si>
  <si>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</si>
  <si>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</si>
  <si>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</si>
  <si>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</si>
  <si>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</si>
  <si>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</si>
  <si>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</si>
  <si>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</si>
  <si>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</si>
  <si>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</si>
  <si>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</si>
  <si>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</si>
  <si>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</si>
  <si>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</si>
  <si>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</si>
  <si>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</si>
  <si>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</si>
  <si>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</si>
  <si>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</si>
  <si>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</si>
  <si>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</si>
  <si>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</si>
  <si>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</si>
  <si>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</si>
  <si>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</si>
  <si>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</si>
  <si>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</si>
  <si>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</si>
  <si>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</si>
  <si>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</si>
  <si>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</si>
  <si>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</si>
  <si>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</si>
  <si>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</si>
  <si>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</si>
  <si>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</si>
  <si>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</si>
  <si>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</si>
  <si>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</si>
  <si>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</si>
  <si>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</si>
  <si>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</si>
  <si>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</si>
  <si>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</si>
  <si>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</si>
  <si>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</si>
  <si>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</si>
  <si>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</si>
  <si>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</si>
  <si>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</si>
  <si>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</si>
  <si>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</si>
  <si>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</si>
  <si>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</si>
  <si>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</si>
  <si>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</si>
  <si>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</si>
  <si>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</si>
  <si>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</si>
  <si>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</si>
  <si>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</si>
  <si>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</si>
  <si>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</si>
  <si>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</si>
  <si>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</si>
  <si>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</si>
  <si>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</si>
  <si>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</si>
  <si>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</si>
  <si>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</si>
  <si>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</si>
  <si>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</si>
  <si>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</si>
  <si>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</si>
  <si>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</si>
  <si>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</si>
  <si>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</si>
  <si>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</si>
  <si>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</si>
  <si>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</si>
  <si>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</si>
  <si>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</si>
  <si>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</si>
  <si>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</si>
  <si>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</si>
  <si>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</si>
  <si>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</si>
  <si>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</si>
  <si>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</si>
  <si>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</si>
  <si>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</si>
  <si>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</si>
  <si>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</si>
  <si>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</si>
  <si>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</si>
  <si>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</si>
  <si>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</si>
  <si>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</si>
  <si>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</si>
  <si>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</si>
  <si>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</si>
  <si>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</si>
  <si>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</si>
  <si>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</si>
  <si>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</si>
  <si>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</si>
  <si>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</si>
  <si>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</si>
  <si>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</si>
  <si>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</si>
  <si>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</si>
  <si>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</si>
  <si>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</si>
  <si>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</si>
  <si>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</si>
  <si>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</si>
  <si>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</si>
  <si>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</si>
  <si>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</si>
  <si>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</si>
  <si>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</si>
  <si>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</si>
  <si>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</si>
  <si>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</si>
  <si>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</si>
  <si>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</si>
  <si>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</si>
  <si>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</si>
  <si>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</si>
  <si>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</si>
  <si>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</si>
  <si>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</si>
  <si>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</si>
  <si>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</si>
  <si>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</si>
  <si>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</si>
  <si>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</si>
  <si>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</si>
  <si>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</si>
  <si>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</si>
  <si>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</si>
  <si>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</si>
  <si>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</si>
  <si>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</si>
  <si>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</si>
  <si>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</si>
  <si>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</si>
  <si>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</si>
  <si>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</si>
  <si>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</si>
  <si>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</si>
  <si>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</si>
  <si>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</si>
  <si>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</si>
  <si>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</si>
  <si>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</si>
  <si>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</si>
  <si>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</si>
  <si>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</si>
  <si>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</si>
  <si>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</si>
  <si>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</si>
  <si>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</si>
  <si>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</si>
  <si>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</si>
  <si>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</si>
  <si>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</si>
  <si>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</si>
  <si>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</si>
  <si>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</si>
  <si>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</si>
  <si>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</si>
  <si>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</si>
  <si>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</si>
  <si>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</si>
  <si>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</si>
  <si>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</si>
  <si>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</si>
  <si>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</si>
  <si>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</si>
  <si>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</si>
  <si>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</si>
  <si>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</si>
  <si>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</si>
  <si>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</si>
  <si>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</si>
  <si>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</si>
  <si>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</si>
  <si>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</si>
  <si>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</si>
  <si>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</si>
  <si>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</si>
  <si>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</si>
  <si>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</si>
  <si>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</si>
  <si>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</si>
  <si>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</si>
  <si>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</si>
  <si>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</si>
  <si>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</si>
  <si>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</si>
  <si>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</si>
  <si>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</si>
  <si>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</si>
  <si>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</si>
  <si>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</si>
  <si>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</si>
  <si>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</si>
  <si>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</si>
  <si>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</si>
  <si>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</si>
  <si>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</si>
  <si>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</si>
  <si>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</si>
  <si>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</si>
  <si>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</si>
  <si>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</si>
  <si>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</si>
  <si>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</si>
  <si>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</si>
  <si>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</si>
  <si>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</si>
  <si>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</si>
  <si>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</si>
  <si>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</si>
  <si>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</si>
  <si>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</si>
  <si>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</si>
  <si>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</si>
  <si>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</si>
  <si>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</si>
  <si>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</si>
  <si>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</si>
  <si>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</si>
  <si>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</si>
  <si>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</si>
  <si>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</si>
  <si>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</si>
  <si>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</si>
  <si>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</si>
  <si>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</si>
  <si>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</si>
  <si>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</si>
  <si>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</si>
  <si>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</si>
  <si>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</si>
  <si>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</si>
  <si>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</si>
  <si>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</si>
  <si>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</si>
  <si>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</si>
  <si>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</si>
  <si>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</si>
  <si>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</si>
  <si>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</si>
  <si>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</si>
  <si>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</si>
  <si>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</si>
  <si>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</si>
  <si>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</si>
  <si>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</si>
  <si>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</si>
  <si>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</si>
  <si>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</si>
  <si>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</si>
  <si>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</si>
  <si>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</si>
  <si>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</si>
  <si>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</si>
  <si>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</si>
  <si>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</si>
  <si>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</si>
  <si>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</si>
  <si>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</si>
  <si>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</si>
  <si>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</si>
  <si>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</si>
  <si>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</si>
  <si>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</si>
  <si>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</si>
  <si>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</si>
  <si>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</si>
  <si>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</si>
  <si>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</si>
  <si>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</si>
  <si>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</si>
  <si>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</si>
  <si>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</si>
  <si>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</si>
  <si>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</si>
  <si>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</si>
  <si>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</si>
  <si>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</si>
  <si>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</si>
  <si>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</si>
  <si>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</si>
  <si>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</si>
  <si>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</si>
  <si>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</si>
  <si>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</si>
  <si>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</si>
  <si>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</si>
  <si>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</si>
  <si>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</si>
  <si>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</si>
  <si>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</si>
  <si>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</si>
  <si>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</si>
  <si>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</si>
  <si>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</si>
  <si>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</si>
  <si>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</si>
  <si>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</si>
  <si>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</si>
  <si>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</si>
  <si>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</si>
  <si>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</si>
  <si>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</si>
  <si>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</si>
  <si>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</si>
  <si>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</si>
  <si>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</si>
  <si>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</si>
  <si>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</si>
  <si>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</si>
  <si>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</si>
  <si>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</si>
  <si>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</si>
  <si>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</si>
  <si>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</si>
  <si>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</si>
  <si>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</si>
  <si>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</si>
  <si>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</si>
  <si>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</si>
  <si>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</si>
  <si>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</si>
  <si>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</si>
  <si>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</si>
  <si>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</si>
  <si>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</si>
  <si>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</si>
  <si>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</si>
  <si>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</si>
  <si>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</si>
  <si>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</si>
  <si>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</si>
  <si>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</si>
  <si>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</si>
  <si>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</si>
  <si>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</si>
  <si>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</si>
  <si>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</si>
  <si>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</si>
  <si>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</si>
  <si>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</si>
  <si>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</si>
  <si>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</si>
  <si>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</si>
  <si>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</si>
  <si>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</si>
  <si>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</si>
  <si>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</si>
  <si>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</si>
  <si>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</si>
  <si>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</si>
  <si>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</si>
  <si>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</si>
  <si>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</si>
  <si>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</si>
  <si>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</si>
  <si>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</si>
  <si>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</si>
  <si>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</si>
  <si>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</si>
  <si>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</si>
  <si>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</si>
  <si>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</si>
  <si>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</si>
  <si>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</si>
  <si>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</si>
  <si>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</si>
  <si>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</si>
  <si>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</si>
  <si>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</si>
  <si>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</si>
  <si>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</si>
  <si>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</si>
  <si>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</si>
  <si>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</si>
  <si>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</si>
  <si>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</si>
  <si>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</si>
  <si>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</si>
  <si>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</si>
  <si>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</si>
  <si>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</si>
  <si>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</si>
  <si>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</si>
  <si>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</si>
  <si>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</si>
  <si>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</si>
  <si>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</si>
  <si>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</si>
  <si>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</si>
  <si>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</si>
  <si>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</si>
  <si>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</si>
  <si>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</si>
  <si>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</si>
  <si>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</si>
  <si>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</si>
  <si>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</si>
  <si>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</si>
  <si>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</si>
  <si>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</si>
  <si>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</si>
  <si>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</si>
  <si>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</si>
  <si>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</si>
  <si>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</si>
  <si>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</si>
  <si>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</si>
  <si>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</si>
  <si>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</si>
  <si>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</si>
  <si>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</si>
  <si>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</si>
  <si>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</si>
  <si>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</si>
  <si>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</si>
  <si>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</si>
  <si>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</si>
  <si>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</si>
  <si>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</si>
  <si>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</si>
  <si>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</si>
  <si>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</si>
  <si>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</si>
  <si>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</si>
  <si>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</si>
  <si>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</si>
  <si>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</si>
  <si>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</si>
  <si>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</si>
  <si>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</si>
  <si>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</si>
  <si>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</si>
  <si>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</si>
  <si>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</si>
  <si>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</si>
  <si>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</si>
  <si>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</si>
  <si>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</si>
  <si>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</si>
  <si>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</si>
  <si>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</si>
  <si>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</si>
  <si>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</si>
  <si>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</si>
  <si>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</si>
  <si>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</si>
  <si>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</si>
  <si>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</si>
  <si>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</si>
  <si>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</si>
  <si>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</si>
  <si>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</si>
  <si>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</si>
  <si>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</si>
  <si>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</si>
  <si>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</si>
  <si>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</si>
  <si>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</si>
  <si>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</si>
  <si>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</si>
  <si>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</si>
  <si>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</si>
  <si>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</si>
  <si>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</si>
  <si>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</si>
  <si>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</si>
  <si>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</si>
  <si>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</si>
  <si>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</si>
  <si>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</si>
  <si>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</si>
  <si>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</si>
  <si>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</si>
  <si>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</si>
  <si>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</si>
  <si>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</si>
  <si>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</si>
  <si>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</si>
  <si>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</si>
  <si>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</si>
  <si>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</si>
  <si>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</si>
  <si>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</si>
  <si>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</si>
  <si>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</si>
  <si>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</si>
  <si>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</si>
  <si>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</si>
  <si>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</si>
  <si>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</si>
  <si>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</si>
  <si>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</si>
  <si>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</si>
  <si>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</si>
  <si>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</si>
  <si>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</si>
  <si>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</si>
  <si>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</si>
  <si>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</si>
  <si>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</si>
  <si>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</si>
  <si>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</si>
  <si>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</si>
  <si>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</si>
  <si>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</si>
  <si>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</si>
  <si>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</si>
  <si>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</si>
  <si>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</si>
  <si>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</si>
  <si>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</si>
  <si>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</si>
  <si>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</si>
  <si>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</si>
  <si>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</si>
  <si>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</si>
  <si>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</si>
  <si>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</si>
  <si>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</si>
  <si>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</si>
  <si>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</si>
  <si>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</si>
  <si>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</si>
  <si>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</si>
  <si>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</si>
  <si>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</si>
  <si>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</si>
  <si>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</si>
  <si>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</si>
  <si>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</si>
  <si>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</si>
  <si>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</si>
  <si>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</si>
  <si>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</si>
  <si>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</si>
  <si>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</si>
  <si>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</si>
  <si>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</si>
  <si>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</si>
  <si>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</si>
  <si>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</si>
  <si>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</si>
  <si>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</si>
  <si>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</si>
  <si>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</si>
  <si>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</si>
  <si>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</si>
  <si>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</si>
  <si>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</si>
  <si>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</si>
  <si>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</si>
  <si>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</si>
  <si>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</si>
  <si>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</si>
  <si>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</si>
  <si>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</si>
  <si>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</si>
  <si>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</si>
  <si>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</si>
  <si>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</si>
  <si>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</si>
  <si>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</si>
  <si>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</si>
  <si>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</si>
  <si>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</si>
  <si>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</si>
  <si>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</si>
  <si>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</si>
  <si>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</si>
  <si>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</si>
  <si>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</si>
  <si>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</si>
  <si>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</si>
  <si>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</si>
  <si>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</si>
  <si>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</si>
  <si>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</si>
  <si>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</si>
  <si>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</si>
  <si>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</si>
  <si>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</si>
  <si>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</si>
  <si>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</si>
  <si>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</si>
  <si>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</si>
  <si>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</si>
  <si>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</si>
  <si>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</si>
  <si>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</si>
  <si>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</si>
  <si>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</si>
  <si>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</si>
  <si>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</si>
  <si>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</si>
  <si>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</si>
  <si>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</si>
  <si>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</si>
  <si>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</si>
  <si>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</si>
  <si>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</si>
  <si>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</si>
  <si>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</si>
  <si>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</si>
  <si>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</si>
  <si>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</si>
  <si>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</si>
  <si>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</si>
  <si>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</si>
  <si>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</si>
  <si>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</si>
  <si>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</si>
  <si>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</si>
  <si>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</si>
  <si>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</si>
  <si>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</si>
  <si>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</si>
  <si>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</si>
  <si>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</si>
  <si>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</si>
  <si>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</si>
  <si>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</si>
  <si>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</si>
  <si>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</si>
  <si>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</si>
  <si>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</si>
  <si>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</si>
  <si>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</si>
  <si>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</si>
  <si>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</si>
  <si>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</si>
  <si>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</si>
  <si>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</si>
  <si>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</si>
  <si>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</si>
  <si>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</si>
  <si>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</si>
  <si>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</si>
  <si>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</si>
  <si>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</si>
  <si>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</si>
  <si>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</si>
  <si>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</si>
  <si>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</si>
  <si>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</si>
  <si>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</si>
  <si>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</si>
  <si>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</si>
  <si>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</si>
  <si>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</si>
  <si>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</si>
  <si>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</si>
  <si>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</si>
  <si>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</si>
  <si>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</si>
  <si>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</si>
  <si>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</si>
  <si>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</si>
  <si>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</si>
  <si>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</si>
  <si>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</si>
  <si>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</si>
  <si>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</si>
  <si>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</si>
  <si>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</si>
  <si>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</si>
  <si>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</si>
  <si>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</si>
  <si>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</si>
  <si>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</si>
  <si>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</si>
  <si>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</si>
  <si>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</si>
  <si>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</si>
  <si>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</si>
  <si>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</si>
  <si>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</si>
  <si>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</si>
  <si>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</si>
  <si>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</si>
  <si>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</si>
  <si>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</si>
  <si>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</si>
  <si>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</si>
  <si>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</si>
  <si>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</si>
  <si>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</si>
  <si>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</si>
  <si>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</si>
  <si>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</si>
  <si>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</si>
  <si>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</si>
  <si>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</si>
  <si>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</si>
  <si>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</si>
  <si>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</si>
  <si>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</si>
  <si>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</si>
  <si>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</si>
  <si>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</si>
  <si>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</si>
  <si>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</si>
  <si>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</si>
  <si>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</si>
  <si>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</si>
  <si>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</si>
  <si>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</si>
  <si>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</si>
  <si>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</si>
  <si>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</si>
  <si>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</si>
  <si>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</si>
  <si>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</si>
  <si>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</si>
  <si>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</si>
  <si>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</si>
  <si>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</si>
  <si>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</si>
  <si>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</si>
  <si>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</si>
  <si>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</si>
  <si>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</si>
  <si>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</si>
  <si>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</si>
  <si>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</si>
  <si>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</si>
  <si>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</si>
  <si>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</si>
  <si>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</si>
  <si>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</si>
  <si>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</si>
  <si>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</si>
  <si>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</si>
  <si>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</si>
  <si>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</si>
  <si>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</si>
  <si>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</si>
  <si>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</si>
  <si>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</si>
  <si>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</si>
  <si>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</si>
  <si>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</si>
  <si>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</si>
  <si>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</si>
  <si>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</si>
  <si>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</si>
  <si>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</si>
  <si>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</si>
  <si>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</si>
  <si>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</si>
  <si>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</si>
  <si>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</si>
  <si>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</si>
  <si>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</si>
  <si>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</si>
  <si>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</si>
  <si>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</si>
  <si>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</si>
  <si>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</si>
  <si>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</si>
  <si>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</si>
  <si>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</si>
  <si>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</si>
  <si>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</si>
  <si>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</si>
  <si>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</si>
  <si>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</si>
  <si>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</si>
  <si>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</si>
  <si>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</si>
  <si>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</si>
  <si>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</si>
  <si>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</si>
  <si>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</si>
  <si>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</si>
  <si>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</si>
  <si>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</si>
  <si>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</si>
  <si>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</si>
  <si>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</si>
  <si>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</si>
  <si>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</si>
  <si>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</si>
  <si>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</si>
  <si>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</si>
  <si>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</si>
  <si>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</si>
  <si>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</si>
  <si>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</si>
  <si>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</si>
  <si>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</si>
  <si>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</si>
  <si>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</si>
  <si>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</si>
  <si>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</si>
  <si>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</si>
  <si>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</si>
  <si>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</si>
  <si>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</si>
  <si>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</si>
  <si>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</si>
  <si>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</si>
  <si>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</si>
  <si>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</si>
  <si>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</si>
  <si>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</si>
  <si>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</si>
  <si>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</si>
  <si>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</si>
  <si>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</si>
  <si>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</si>
  <si>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</si>
  <si>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</si>
  <si>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</si>
  <si>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</si>
  <si>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</si>
  <si>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</si>
  <si>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</si>
  <si>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</si>
  <si>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</si>
  <si>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</si>
  <si>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</si>
  <si>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</si>
  <si>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</si>
  <si>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</si>
  <si>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</si>
  <si>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</si>
  <si>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</si>
  <si>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</si>
  <si>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</si>
  <si>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</si>
  <si>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</si>
  <si>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</si>
  <si>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</si>
  <si>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</si>
  <si>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</si>
  <si>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</si>
  <si>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</si>
  <si>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</si>
  <si>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</si>
  <si>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</si>
  <si>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</si>
  <si>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</si>
  <si>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</si>
  <si>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</si>
  <si>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</si>
  <si>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</si>
  <si>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</si>
  <si>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</si>
  <si>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</si>
  <si>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</si>
  <si>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</si>
  <si>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</si>
  <si>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</si>
  <si>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</si>
  <si>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</si>
  <si>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</si>
  <si>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</si>
  <si>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</si>
  <si>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</si>
  <si>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</si>
  <si>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</si>
  <si>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</si>
  <si>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</si>
  <si>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</si>
  <si>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</si>
  <si>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</si>
  <si>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</si>
  <si>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</si>
  <si>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</si>
  <si>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</si>
  <si>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</si>
  <si>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</si>
  <si>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</si>
  <si>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</si>
  <si>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</si>
  <si>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</si>
  <si>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</si>
  <si>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</si>
  <si>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</si>
  <si>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</si>
  <si>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</si>
  <si>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</si>
  <si>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</si>
  <si>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</si>
  <si>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</si>
  <si>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</si>
  <si>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</si>
  <si>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</si>
  <si>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</si>
  <si>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</si>
  <si>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</si>
  <si>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</si>
  <si>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</si>
  <si>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</si>
  <si>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</si>
  <si>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</si>
  <si>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</si>
  <si>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</si>
  <si>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</si>
  <si>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</si>
  <si>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</si>
  <si>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</si>
  <si>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</si>
  <si>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</si>
  <si>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</si>
  <si>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</si>
  <si>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</si>
  <si>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</si>
  <si>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</si>
  <si>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</si>
  <si>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</si>
  <si>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</si>
  <si>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</si>
  <si>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</si>
  <si>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</si>
  <si>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</si>
  <si>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</si>
  <si>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</si>
  <si>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</si>
  <si>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</si>
  <si>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</si>
  <si>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</si>
  <si>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</si>
  <si>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</si>
  <si>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</si>
  <si>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</si>
  <si>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</si>
  <si>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</si>
  <si>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</si>
  <si>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</si>
  <si>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</si>
  <si>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</si>
  <si>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</si>
  <si>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</si>
  <si>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</si>
  <si>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</si>
  <si>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</si>
  <si>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</si>
  <si>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</si>
  <si>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</si>
  <si>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</si>
  <si>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</si>
  <si>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</si>
  <si>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</si>
  <si>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</si>
  <si>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</si>
  <si>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</si>
  <si>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</si>
  <si>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</si>
  <si>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</si>
  <si>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</si>
  <si>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</si>
  <si>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</si>
  <si>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</si>
  <si>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</si>
  <si>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</si>
  <si>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</si>
  <si>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</si>
  <si>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</si>
  <si>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</si>
  <si>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</si>
  <si>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</si>
  <si>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</si>
  <si>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</si>
  <si>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</si>
  <si>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</si>
  <si>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</si>
  <si>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</si>
  <si>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</si>
  <si>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</si>
  <si>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</si>
  <si>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</si>
  <si>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</si>
  <si>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</si>
  <si>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</si>
  <si>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</si>
  <si>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</si>
  <si>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</si>
  <si>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</si>
  <si>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</si>
  <si>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</si>
  <si>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</si>
  <si>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</si>
  <si>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</si>
  <si>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</si>
  <si>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</si>
  <si>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</si>
  <si>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</si>
  <si>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</si>
  <si>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</si>
  <si>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</si>
  <si>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</si>
  <si>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</si>
  <si>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</si>
  <si>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</si>
  <si>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</si>
  <si>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</si>
  <si>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</si>
  <si>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</si>
  <si>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</si>
  <si>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</si>
  <si>
    <t>划拨转出让</t>
    <phoneticPr fontId="8" type="noConversion"/>
  </si>
  <si>
    <t>分摊土地面积</t>
  </si>
  <si>
    <t>建筑面积</t>
  </si>
  <si>
    <t>抵押物名称</t>
  </si>
  <si>
    <t>房地产价值</t>
  </si>
  <si>
    <t>总 价</t>
  </si>
  <si>
    <t>楼面单价</t>
  </si>
  <si>
    <t>大写金额</t>
  </si>
  <si>
    <t>叁亿壹仟叁佰壹拾玖万元整</t>
  </si>
  <si>
    <t>估价师知悉的法定优先受偿款</t>
  </si>
  <si>
    <t>零元整</t>
  </si>
  <si>
    <t>楼面单价</t>
    <phoneticPr fontId="8" type="noConversion"/>
  </si>
  <si>
    <t>单位：平方米、万元、元/平方米（币种：人民币）</t>
    <phoneticPr fontId="44" type="noConversion"/>
  </si>
  <si>
    <t>建筑物价值</t>
    <phoneticPr fontId="143" type="noConversion"/>
  </si>
  <si>
    <t>江苏省镇江市京口区镇江新区大港镇通港路东</t>
    <phoneticPr fontId="143" type="noConversion"/>
  </si>
  <si>
    <t>江苏省镇江市京口区镇江新区大港镇通港路东</t>
    <phoneticPr fontId="143" type="noConversion"/>
  </si>
  <si>
    <t>合计</t>
    <phoneticPr fontId="143" type="noConversion"/>
  </si>
  <si>
    <t>壹亿肆仟壹佰伍拾陆万元整</t>
    <phoneticPr fontId="143" type="noConversion"/>
  </si>
  <si>
    <t>叁亿壹仟叁佰壹拾玖万元整</t>
    <phoneticPr fontId="143" type="noConversion"/>
  </si>
  <si>
    <t>划拨国有建设用地使用权价值</t>
  </si>
  <si>
    <t>壹亿柒仟壹佰陆拾叁万元整</t>
    <phoneticPr fontId="143" type="noConversion"/>
  </si>
  <si>
    <t>京口区镇江新区大港镇通港路东</t>
    <phoneticPr fontId="6" type="noConversion"/>
  </si>
  <si>
    <r>
      <rPr>
        <sz val="10"/>
        <color rgb="FFFF0000"/>
        <rFont val="宋体"/>
        <family val="3"/>
        <charset val="134"/>
      </rPr>
      <t>铭东路以北</t>
    </r>
    <r>
      <rPr>
        <sz val="10"/>
        <color rgb="FFFF0000"/>
        <rFont val="Arial"/>
        <family val="2"/>
      </rPr>
      <t>,</t>
    </r>
    <r>
      <rPr>
        <sz val="10"/>
        <color rgb="FFFF0000"/>
        <rFont val="宋体"/>
        <family val="3"/>
        <charset val="134"/>
      </rPr>
      <t>慈行路以西</t>
    </r>
    <phoneticPr fontId="143" type="noConversion"/>
  </si>
  <si>
    <t>按面积分配</t>
    <phoneticPr fontId="143" type="noConversion"/>
  </si>
  <si>
    <t>自定义</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</si>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</sst>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176" fontId="50" fillId="17" borderId="1" xfId="0" applyNumberFormat="1"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xf numFmtId="0" fontId="137" fillId="6"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5" borderId="1" xfId="0" applyFont="1" applyFill="1" applyBorder="1" applyAlignment="1" applyProtection="1">
      <alignment horizontal="center" vertical="center" wrapText="1"/>
      <protection locked="0"/>
    </xf>
    <xf numFmtId="182" fontId="137" fillId="6" borderId="5" xfId="0" applyNumberFormat="1" applyFont="1" applyFill="1" applyBorder="1" applyAlignment="1" applyProtection="1">
      <alignment horizontal="center" vertical="center" wrapText="1"/>
    </xf>
    <xf numFmtId="0" fontId="0" fillId="0" borderId="0" xfId="0" applyAlignment="1">
      <alignment horizontal="center" vertical="center"/>
    </xf>
    <xf numFmtId="0" fontId="99" fillId="0" borderId="58" xfId="0" applyFont="1" applyBorder="1" applyAlignment="1">
      <alignment horizontal="center" vertical="center"/>
    </xf>
    <xf numFmtId="181" fontId="50" fillId="6" borderId="0" xfId="0" applyNumberFormat="1" applyFont="1" applyFill="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6.2" thickBot="1">
      <c r="A18" s="1589" t="s">
        <v>1228</v>
      </c>
      <c r="B18" s="1590" t="str">
        <f>'预评函-1'!A24</f>
        <v>本次评估采用的主估价方法为成本法和收益法。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31319</v>
      </c>
    </row>
    <row r="21" spans="1:2" s="1588" customFormat="1">
      <c r="A21" s="1586" t="s">
        <v>1231</v>
      </c>
      <c r="B21" s="1587">
        <f ca="1">'预评函-2'!D7</f>
        <v>9749</v>
      </c>
    </row>
    <row r="22" spans="1:2" s="1588" customFormat="1">
      <c r="A22" s="1586" t="s">
        <v>1232</v>
      </c>
      <c r="B22" s="1587" t="str">
        <f ca="1">'预评函-2'!D6</f>
        <v>叁亿壹仟叁佰壹拾玖万元整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ht="31.2">
      <c r="A42" s="1586" t="s">
        <v>1284</v>
      </c>
      <c r="B42" s="1587" t="str">
        <f>'预评函-3'!B2</f>
        <v>建筑面积</v>
      </c>
    </row>
    <row r="43" spans="1:2" s="1588" customFormat="1">
      <c r="A43" s="1586" t="s">
        <v>1285</v>
      </c>
      <c r="B43" s="1587">
        <f>'预评函-3'!B4</f>
        <v>32125.14</v>
      </c>
    </row>
    <row r="44" spans="1:2" s="1588" customFormat="1" ht="31.2">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14720</v>
      </c>
    </row>
    <row r="48" spans="1:2" s="1588" customFormat="1">
      <c r="A48" s="1586" t="s">
        <v>1243</v>
      </c>
      <c r="B48" s="1587">
        <f ca="1">'预评函-3'!E4</f>
        <v>4582</v>
      </c>
    </row>
    <row r="49" spans="1:2" s="1588" customFormat="1">
      <c r="A49" s="1586" t="s">
        <v>1244</v>
      </c>
      <c r="B49" s="1587" t="str">
        <f ca="1">'预评函-3'!D5</f>
        <v>壹亿肆仟柒佰贰拾万元整</v>
      </c>
    </row>
    <row r="50" spans="1:2" s="1588" customFormat="1">
      <c r="A50" s="1586" t="s">
        <v>1268</v>
      </c>
      <c r="B50" s="1587" t="str">
        <f>'预评函-3'!F2</f>
        <v>在建建筑物价值</v>
      </c>
    </row>
    <row r="51" spans="1:2" s="1588" customFormat="1">
      <c r="A51" s="1586" t="s">
        <v>1245</v>
      </c>
      <c r="B51" s="1587">
        <f ca="1">'预评函-3'!F4</f>
        <v>16599</v>
      </c>
    </row>
    <row r="52" spans="1:2" s="1588" customFormat="1">
      <c r="A52" s="1586" t="s">
        <v>1246</v>
      </c>
      <c r="B52" s="1587">
        <f ca="1">'预评函-3'!G4</f>
        <v>5167</v>
      </c>
    </row>
    <row r="53" spans="1:2" s="1588" customFormat="1">
      <c r="A53" s="1586" t="s">
        <v>1274</v>
      </c>
      <c r="B53" s="1587" t="str">
        <f ca="1">'预评函-3'!F5</f>
        <v>壹亿陆仟伍佰玖拾玖万元整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6.2" thickBot="1">
      <c r="A73" s="1589" t="s">
        <v>1259</v>
      </c>
      <c r="B73" s="1590">
        <f ca="1">'预评函-4'!B5</f>
        <v>1120070131</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3076</v>
      </c>
      <c r="C17" s="2010"/>
    </row>
    <row r="18" spans="1:3">
      <c r="A18" s="2009" t="s">
        <v>1762</v>
      </c>
      <c r="B18" s="2009" t="s">
        <v>3077</v>
      </c>
      <c r="C18" s="2010"/>
    </row>
    <row r="19" spans="1:3">
      <c r="A19" s="2009" t="s">
        <v>1763</v>
      </c>
      <c r="B19" s="2009" t="s">
        <v>3078</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1"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7" t="s">
        <v>861</v>
      </c>
      <c r="C54" s="2014" t="s">
        <v>1277</v>
      </c>
    </row>
    <row r="55" spans="1:4">
      <c r="A55" s="3011"/>
      <c r="B55" s="2017" t="s">
        <v>862</v>
      </c>
      <c r="C55" s="2014" t="s">
        <v>1278</v>
      </c>
    </row>
    <row r="56" spans="1:4">
      <c r="A56" s="3011"/>
      <c r="B56" s="2017" t="s">
        <v>863</v>
      </c>
      <c r="C56" s="2014" t="s">
        <v>1282</v>
      </c>
    </row>
    <row r="57" spans="1:4">
      <c r="A57" s="3011"/>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7" customWidth="1"/>
    <col min="2" max="2" width="10" style="2027" customWidth="1"/>
    <col min="3" max="3" width="11.44140625" style="2027" customWidth="1"/>
    <col min="4" max="6" width="10" style="2027" customWidth="1"/>
    <col min="7" max="7" width="10.77734375" style="2027" customWidth="1"/>
    <col min="8" max="8" width="10" style="2027" customWidth="1"/>
    <col min="9" max="9" width="11.10937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20"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21"/>
      <c r="D1" s="3021"/>
      <c r="E1" s="3021"/>
      <c r="F1" s="3021"/>
      <c r="G1" s="3021"/>
      <c r="H1" s="3021"/>
      <c r="I1" s="302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3120</v>
      </c>
      <c r="C4" s="1034">
        <f ca="1">SUMIF(注册房地产估价师,B4,估价师及机构信息!B3:B24)</f>
        <v>1120050019</v>
      </c>
      <c r="D4" s="2034" t="s">
        <v>3121</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3127</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3127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3126</v>
      </c>
      <c r="C7" s="2043"/>
      <c r="D7" s="2044"/>
      <c r="E7" s="2029"/>
      <c r="F7" s="2037"/>
      <c r="G7" s="2037"/>
      <c r="H7" s="2037"/>
      <c r="I7" s="2037"/>
      <c r="J7" s="2037"/>
      <c r="K7" s="2046"/>
      <c r="L7" s="2023"/>
      <c r="M7" s="2023"/>
      <c r="N7" s="2024"/>
      <c r="O7" s="2025"/>
      <c r="P7" s="2024"/>
      <c r="Q7" s="2024"/>
      <c r="R7" s="2024"/>
    </row>
    <row r="8" spans="1:19" ht="18" customHeight="1">
      <c r="A8" s="2042" t="s">
        <v>1779</v>
      </c>
      <c r="B8" s="2047" t="s">
        <v>3122</v>
      </c>
      <c r="C8" s="2048"/>
      <c r="D8" s="3023" t="s">
        <v>1780</v>
      </c>
      <c r="E8" s="2049" t="s">
        <v>3123</v>
      </c>
      <c r="F8" s="2050"/>
      <c r="G8" s="2021"/>
      <c r="H8" s="2021"/>
      <c r="I8" s="2021"/>
      <c r="J8" s="2037"/>
      <c r="K8" s="2038"/>
      <c r="L8" s="2023"/>
      <c r="M8" s="2023"/>
      <c r="N8" s="2024"/>
      <c r="O8" s="2025"/>
      <c r="P8" s="2024"/>
      <c r="Q8" s="2024"/>
      <c r="R8" s="2024"/>
    </row>
    <row r="9" spans="1:19" ht="18" customHeight="1" thickBot="1">
      <c r="A9" s="2035" t="s">
        <v>1781</v>
      </c>
      <c r="B9" s="2051" t="s">
        <v>3123</v>
      </c>
      <c r="C9" s="2052"/>
      <c r="D9" s="3024"/>
      <c r="E9" s="2051" t="s">
        <v>70</v>
      </c>
      <c r="F9" s="2053"/>
      <c r="G9" s="2054"/>
      <c r="H9" s="2054"/>
      <c r="I9" s="2054"/>
      <c r="J9" s="2037"/>
      <c r="K9" s="2046"/>
      <c r="L9" s="2023"/>
      <c r="M9" s="2023"/>
      <c r="N9" s="2024"/>
      <c r="O9" s="2025"/>
      <c r="P9" s="2024"/>
      <c r="Q9" s="2024"/>
      <c r="R9" s="2024"/>
    </row>
    <row r="10" spans="1:19" ht="18" customHeight="1" thickTop="1">
      <c r="A10" s="2055" t="s">
        <v>1782</v>
      </c>
      <c r="B10" s="2056" t="s">
        <v>3124</v>
      </c>
      <c r="C10" s="2960" t="s">
        <v>3128</v>
      </c>
      <c r="D10" s="2041"/>
      <c r="E10" s="2057" t="s">
        <v>1783</v>
      </c>
      <c r="F10" s="2961" t="s">
        <v>3165</v>
      </c>
      <c r="G10" s="2058"/>
      <c r="H10" s="2059"/>
      <c r="I10" s="2041"/>
      <c r="J10" s="2037"/>
      <c r="K10" s="2046"/>
      <c r="L10" s="2023"/>
      <c r="M10" s="2023"/>
      <c r="N10" s="2024"/>
      <c r="O10" s="2025"/>
      <c r="P10" s="2024"/>
      <c r="Q10" s="2024"/>
      <c r="R10" s="2024"/>
    </row>
    <row r="11" spans="1:19" ht="18" customHeight="1">
      <c r="A11" s="2060" t="s">
        <v>1784</v>
      </c>
      <c r="B11" s="2061" t="s">
        <v>3125</v>
      </c>
      <c r="C11" s="2958" t="s">
        <v>3126</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3092</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30"/>
      <c r="C16" s="3031"/>
      <c r="D16" s="3032"/>
      <c r="E16" s="2075" t="s">
        <v>1797</v>
      </c>
      <c r="F16" s="3033"/>
      <c r="G16" s="3034"/>
      <c r="H16" s="3034"/>
      <c r="I16" s="3035"/>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36" t="s">
        <v>3130</v>
      </c>
      <c r="F17" s="3037"/>
      <c r="G17" s="3037"/>
      <c r="H17" s="3037"/>
      <c r="I17" s="3038"/>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39" t="s">
        <v>1803</v>
      </c>
      <c r="F18" s="3040"/>
      <c r="G18" s="3040"/>
      <c r="H18" s="3040"/>
      <c r="I18" s="3041"/>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3131</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26" t="s">
        <v>1808</v>
      </c>
      <c r="C20" s="3027"/>
      <c r="D20" s="3028" t="s">
        <v>1809</v>
      </c>
      <c r="E20" s="3029"/>
      <c r="F20" s="2087" t="s">
        <v>1810</v>
      </c>
      <c r="G20" s="2037"/>
      <c r="H20" s="2037"/>
      <c r="I20" s="2037"/>
      <c r="J20" s="2037"/>
      <c r="K20" s="3025"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3132</v>
      </c>
      <c r="C21" s="2089" t="s">
        <v>3133</v>
      </c>
      <c r="D21" s="2090"/>
      <c r="E21" s="2091"/>
      <c r="F21" s="2092"/>
      <c r="G21" s="2037"/>
      <c r="H21" s="2037"/>
      <c r="I21" s="2037"/>
      <c r="J21" s="2037"/>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13" t="s">
        <v>1818</v>
      </c>
      <c r="B27" s="2055" t="s">
        <v>1819</v>
      </c>
      <c r="C27" s="2109" t="s">
        <v>3134</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13"/>
      <c r="B28" s="2030" t="s">
        <v>1820</v>
      </c>
      <c r="C28" s="2111" t="s">
        <v>3135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13"/>
      <c r="B29" s="2030" t="s">
        <v>1821</v>
      </c>
      <c r="C29" s="2114" t="s">
        <v>3131</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14"/>
      <c r="B30" s="2030" t="s">
        <v>1822</v>
      </c>
      <c r="C30" s="3015"/>
      <c r="D30" s="3016"/>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17" t="s">
        <v>1823</v>
      </c>
      <c r="B31" s="2116" t="s">
        <v>3073</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18"/>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18"/>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3136</v>
      </c>
      <c r="C34" s="2123" t="s">
        <v>3137</v>
      </c>
      <c r="D34" s="2123" t="s">
        <v>3138</v>
      </c>
      <c r="E34" s="2123" t="s">
        <v>3139</v>
      </c>
      <c r="F34" s="2123" t="s">
        <v>3140</v>
      </c>
      <c r="G34" s="2123" t="s">
        <v>3141</v>
      </c>
      <c r="H34" s="2123" t="s">
        <v>70</v>
      </c>
      <c r="I34" s="2037"/>
      <c r="J34" s="2037"/>
      <c r="K34" s="1790">
        <f>COUNTIF(B34:H34,"——")</f>
        <v>1</v>
      </c>
      <c r="L34" s="2064" t="s">
        <v>1825</v>
      </c>
      <c r="M34" s="2064" t="s">
        <v>1826</v>
      </c>
      <c r="N34" s="2064" t="s">
        <v>1827</v>
      </c>
      <c r="O34" s="2064" t="s">
        <v>1828</v>
      </c>
      <c r="P34" s="2064" t="s">
        <v>1829</v>
      </c>
      <c r="Q34" s="2064" t="s">
        <v>1830</v>
      </c>
      <c r="R34" s="2064" t="s">
        <v>1831</v>
      </c>
      <c r="S34" s="3012" t="s">
        <v>1832</v>
      </c>
      <c r="T34" s="2124" t="str">
        <f>NUMBERSTRING(7-K34,1)&amp;"通"</f>
        <v>六通</v>
      </c>
      <c r="U34" s="2024"/>
      <c r="V34" s="2024"/>
    </row>
    <row r="35" spans="1:22" ht="18" customHeight="1">
      <c r="A35" s="2125"/>
      <c r="B35" s="3019" t="s">
        <v>1833</v>
      </c>
      <c r="C35" s="3019"/>
      <c r="D35" s="3019"/>
      <c r="E35" s="3019"/>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2"/>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3.2">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5.2">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3.2">
      <c r="A9" s="2172"/>
      <c r="B9" s="2172"/>
      <c r="C9" s="2172"/>
      <c r="D9" s="2172"/>
      <c r="E9" s="2172"/>
      <c r="F9" s="2172"/>
      <c r="G9" s="1289"/>
      <c r="H9" s="2180" t="s">
        <v>1889</v>
      </c>
      <c r="I9" s="2181" t="s">
        <v>3038</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3.2">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3.2">
      <c r="A11" s="2172"/>
      <c r="B11" s="2172"/>
      <c r="C11" s="2172"/>
      <c r="D11" s="2172"/>
      <c r="E11" s="2172"/>
      <c r="F11" s="2172"/>
      <c r="G11" s="1289"/>
      <c r="H11" s="2189"/>
      <c r="I11" s="2192" t="s">
        <v>3142</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26.4">
      <c r="A13" s="1269"/>
      <c r="B13" s="1269"/>
      <c r="C13" s="1269" t="s">
        <v>3093</v>
      </c>
      <c r="D13" s="2203" t="s">
        <v>3037</v>
      </c>
      <c r="E13" s="16">
        <f>IF($C$3="是",ROUND($A$3*G13/$B$3,2),ROUND($A$3*(G13-AT13)/$B$3,2))</f>
        <v>58916</v>
      </c>
      <c r="F13" s="32"/>
      <c r="G13" s="33">
        <f>H13+AC13+AT13</f>
        <v>32125.14</v>
      </c>
      <c r="H13" s="20">
        <f>SUMIF(I$12:AB$12,"总值",I13:AB13)</f>
        <v>32125.14</v>
      </c>
      <c r="I13" s="2963">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1928</v>
      </c>
      <c r="B1" s="1389"/>
      <c r="C1" s="1389"/>
      <c r="D1" s="1389"/>
      <c r="E1" s="1389"/>
      <c r="F1" s="1389"/>
      <c r="G1" s="1389"/>
      <c r="H1" s="1389"/>
      <c r="I1" s="1389"/>
      <c r="J1" s="1389"/>
      <c r="K1" s="1389"/>
      <c r="L1" s="1389"/>
      <c r="M1" s="1389"/>
      <c r="N1" s="1389"/>
      <c r="O1" s="1389"/>
      <c r="P1" s="1389"/>
    </row>
    <row r="2" spans="1:16" ht="14.4">
      <c r="A2" s="3053" t="s">
        <v>1929</v>
      </c>
      <c r="B2" s="3053"/>
      <c r="C2" s="3053"/>
      <c r="D2" s="964" t="s">
        <v>1905</v>
      </c>
      <c r="E2" s="2217" t="s">
        <v>1906</v>
      </c>
      <c r="F2" s="1389"/>
      <c r="G2" s="2218"/>
      <c r="H2" s="2219"/>
      <c r="I2" s="2220" t="s">
        <v>1930</v>
      </c>
      <c r="J2" s="1389"/>
      <c r="K2" s="1389"/>
      <c r="L2" s="1389"/>
      <c r="M2" s="1389"/>
      <c r="N2" s="1424"/>
      <c r="O2" s="1389"/>
      <c r="P2" s="1389"/>
    </row>
    <row r="3" spans="1:16" ht="15" thickBot="1">
      <c r="A3" s="3054" t="s">
        <v>1903</v>
      </c>
      <c r="B3" s="3054"/>
      <c r="C3" s="3054"/>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4.4">
      <c r="A4" s="3055"/>
      <c r="B4" s="3056"/>
      <c r="C4" s="3057"/>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ht="14.4">
      <c r="A5" s="47" t="s">
        <v>1907</v>
      </c>
      <c r="B5" s="3058" t="s">
        <v>1908</v>
      </c>
      <c r="C5" s="3058"/>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8" t="s">
        <v>1909</v>
      </c>
      <c r="C6" s="3058"/>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4.4">
      <c r="A7" s="3050"/>
      <c r="B7" s="3051"/>
      <c r="C7" s="3052"/>
      <c r="D7" s="2221" t="s">
        <v>1905</v>
      </c>
      <c r="E7" s="2226" t="s">
        <v>1912</v>
      </c>
      <c r="F7" s="1389"/>
      <c r="G7" s="2218" t="s">
        <v>1913</v>
      </c>
      <c r="H7" s="64"/>
      <c r="I7" s="420"/>
      <c r="J7" s="1389"/>
      <c r="K7" s="1389"/>
      <c r="L7" s="1389"/>
      <c r="M7" s="1389"/>
      <c r="N7" s="1389"/>
      <c r="O7" s="1389"/>
      <c r="P7" s="1389"/>
    </row>
    <row r="8" spans="1:16" ht="14.4">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ht="14.4">
      <c r="A9" s="2228"/>
      <c r="B9" s="2229"/>
      <c r="C9" s="48" t="s">
        <v>1917</v>
      </c>
      <c r="D9" s="48">
        <f t="shared" si="0"/>
        <v>0</v>
      </c>
      <c r="E9" s="52">
        <v>0</v>
      </c>
      <c r="F9" s="1389"/>
      <c r="G9" s="2227"/>
      <c r="H9" s="2227"/>
      <c r="I9" s="1389"/>
      <c r="J9" s="1389"/>
      <c r="K9" s="1389"/>
      <c r="L9" s="1389"/>
      <c r="M9" s="1389"/>
      <c r="N9" s="1389"/>
      <c r="O9" s="1389"/>
      <c r="P9" s="1389"/>
    </row>
    <row r="10" spans="1:16" ht="14.4">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ht="14.4">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ht="14.4">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ht="14.4">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ht="14.4">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1921</v>
      </c>
      <c r="D16" s="50">
        <f>SUM(D8:D15)</f>
        <v>58916</v>
      </c>
      <c r="E16" s="53">
        <f>SUM(E8:E15)</f>
        <v>32125.14</v>
      </c>
      <c r="F16" s="1389"/>
      <c r="G16" s="2227"/>
      <c r="H16" s="2230" t="s">
        <v>1933</v>
      </c>
      <c r="I16" s="2231"/>
      <c r="J16" s="1389"/>
      <c r="K16" s="3047" t="s">
        <v>1933</v>
      </c>
      <c r="L16" s="3048"/>
      <c r="M16" s="3048"/>
      <c r="N16" s="3048"/>
      <c r="O16" s="3048"/>
      <c r="P16" s="3049"/>
    </row>
    <row r="17" spans="1:19" ht="14.4">
      <c r="A17" s="2232" t="s">
        <v>1934</v>
      </c>
      <c r="B17" s="2233" t="s">
        <v>1935</v>
      </c>
      <c r="C17" s="2234" t="s">
        <v>1936</v>
      </c>
      <c r="D17" s="2235" t="s">
        <v>1924</v>
      </c>
      <c r="E17" s="2236" t="s">
        <v>1925</v>
      </c>
      <c r="F17" s="2237"/>
      <c r="G17" s="2238"/>
      <c r="H17" s="2239" t="s">
        <v>1937</v>
      </c>
      <c r="I17" s="2240" t="s">
        <v>1922</v>
      </c>
      <c r="J17" s="1389"/>
      <c r="K17" s="3044" t="s">
        <v>1938</v>
      </c>
      <c r="L17" s="3045"/>
      <c r="M17" s="3046"/>
      <c r="N17" s="3044" t="s">
        <v>1939</v>
      </c>
      <c r="O17" s="3045"/>
      <c r="P17" s="3046"/>
      <c r="R17" s="2218" t="s">
        <v>1940</v>
      </c>
      <c r="S17" s="64"/>
    </row>
    <row r="18" spans="1:19" ht="14.4">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ht="14.4">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ht="14.4">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ht="14.4">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ht="14.4">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ht="14.4">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ht="14.4">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ht="14.4">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79"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9" style="2264"/>
    <col min="68" max="16384" width="9" style="2265"/>
  </cols>
  <sheetData>
    <row r="1" spans="1:67" ht="18"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4.4"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57.6">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3039</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3.8">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3129</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3.8"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3.8"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3.8"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3.8"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3.8"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3.8"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3.8"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4">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8.8">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8.8">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59" t="s">
        <v>2074</v>
      </c>
      <c r="B1" s="3060"/>
      <c r="C1" s="3060"/>
      <c r="D1" s="3060"/>
      <c r="E1" s="3060"/>
      <c r="F1" s="3060"/>
      <c r="G1" s="306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2075</v>
      </c>
      <c r="D2" s="2356"/>
      <c r="E2" s="2357"/>
      <c r="F2" s="2276"/>
      <c r="G2" s="2355" t="s">
        <v>2076</v>
      </c>
      <c r="H2" s="2358"/>
      <c r="I2" s="2358"/>
      <c r="J2" s="2358"/>
      <c r="K2" s="2358"/>
      <c r="L2" s="2358"/>
      <c r="M2" s="2358"/>
      <c r="N2" s="2358"/>
      <c r="O2" s="2358"/>
      <c r="P2" s="2358"/>
      <c r="Q2" s="2358"/>
      <c r="R2" s="2358"/>
    </row>
    <row r="3" spans="1:29" ht="28.8">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4.4">
      <c r="A4" s="431"/>
      <c r="B4" s="1790" t="s">
        <v>2080</v>
      </c>
      <c r="C4" s="2364"/>
      <c r="D4" s="2361"/>
      <c r="E4" s="2365"/>
      <c r="F4" s="42" t="s">
        <v>2081</v>
      </c>
      <c r="G4" s="2366"/>
      <c r="H4" s="2358"/>
      <c r="I4" s="2358"/>
      <c r="J4" s="2358"/>
      <c r="K4" s="2358"/>
      <c r="L4" s="2358"/>
      <c r="M4" s="2358"/>
      <c r="N4" s="2358"/>
      <c r="O4" s="2358"/>
      <c r="P4" s="2358"/>
      <c r="Q4" s="2358"/>
      <c r="R4" s="2358"/>
    </row>
    <row r="5" spans="1:29" ht="14.4">
      <c r="A5" s="431"/>
      <c r="B5" s="1790" t="s">
        <v>2082</v>
      </c>
      <c r="C5" s="2364"/>
      <c r="D5" s="2361"/>
      <c r="E5" s="2365"/>
      <c r="F5" s="1790" t="s">
        <v>2083</v>
      </c>
      <c r="G5" s="2366"/>
      <c r="H5" s="2358"/>
      <c r="I5" s="2358"/>
      <c r="J5" s="2358"/>
      <c r="K5" s="2358"/>
      <c r="L5" s="2358"/>
      <c r="M5" s="2358"/>
      <c r="N5" s="2358"/>
      <c r="O5" s="2358"/>
      <c r="P5" s="2358"/>
      <c r="Q5" s="2358"/>
      <c r="R5" s="2358"/>
    </row>
    <row r="6" spans="1:29" ht="14.4">
      <c r="A6" s="431"/>
      <c r="B6" s="1790" t="s">
        <v>2084</v>
      </c>
      <c r="C6" s="2366"/>
      <c r="D6" s="2361"/>
      <c r="E6" s="2365"/>
      <c r="F6" s="1790" t="s">
        <v>2085</v>
      </c>
      <c r="G6" s="2366"/>
      <c r="H6" s="2358"/>
      <c r="I6" s="2358"/>
      <c r="J6" s="2358"/>
      <c r="K6" s="2358"/>
      <c r="L6" s="2358"/>
      <c r="M6" s="2358"/>
      <c r="N6" s="2358"/>
      <c r="O6" s="2358"/>
      <c r="P6" s="2358"/>
      <c r="Q6" s="2358"/>
      <c r="R6" s="2358"/>
    </row>
    <row r="7" spans="1:29" ht="15" thickBot="1">
      <c r="A7" s="431"/>
      <c r="B7" s="1790" t="s">
        <v>2083</v>
      </c>
      <c r="C7" s="2366"/>
      <c r="D7" s="2367"/>
      <c r="E7" s="2368"/>
      <c r="F7" s="2369" t="s">
        <v>2086</v>
      </c>
      <c r="G7" s="2370"/>
      <c r="H7" s="2358"/>
      <c r="I7" s="2358"/>
      <c r="J7" s="2358"/>
      <c r="K7" s="2358"/>
      <c r="L7" s="2358"/>
      <c r="M7" s="2358"/>
      <c r="N7" s="2358"/>
      <c r="O7" s="2358"/>
      <c r="P7" s="2358"/>
      <c r="Q7" s="2358"/>
      <c r="R7" s="2358"/>
    </row>
    <row r="8" spans="1:29" ht="14.4">
      <c r="A8" s="431"/>
      <c r="B8" s="1790" t="s">
        <v>2085</v>
      </c>
      <c r="C8" s="2366"/>
      <c r="D8" s="2367"/>
      <c r="E8" s="2367"/>
      <c r="F8" s="1130"/>
      <c r="G8" s="1130"/>
      <c r="H8" s="2358"/>
      <c r="I8" s="2358"/>
      <c r="J8" s="2358"/>
      <c r="K8" s="2358"/>
      <c r="L8" s="2358"/>
      <c r="M8" s="2358"/>
      <c r="N8" s="2358"/>
      <c r="O8" s="2358"/>
      <c r="P8" s="2358"/>
      <c r="Q8" s="2358"/>
      <c r="R8" s="2358"/>
    </row>
    <row r="9" spans="1:29" ht="14.4">
      <c r="A9" s="431"/>
      <c r="B9" s="1790" t="s">
        <v>2087</v>
      </c>
      <c r="C9" s="2364"/>
      <c r="D9" s="2361"/>
      <c r="E9" s="2367"/>
      <c r="F9" s="1130"/>
      <c r="G9" s="1130"/>
      <c r="H9" s="2358"/>
      <c r="I9" s="2358"/>
      <c r="J9" s="2358"/>
      <c r="K9" s="2358"/>
      <c r="L9" s="2358"/>
      <c r="M9" s="2358"/>
      <c r="N9" s="2358"/>
      <c r="O9" s="2358"/>
      <c r="P9" s="2358"/>
      <c r="Q9" s="2358"/>
      <c r="R9" s="2358"/>
    </row>
    <row r="10" spans="1:29" s="117" customFormat="1" ht="1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2089</v>
      </c>
      <c r="B13" s="2378"/>
      <c r="C13" s="2378"/>
      <c r="D13" s="2385"/>
      <c r="E13" s="2378"/>
      <c r="F13" s="2378"/>
      <c r="G13" s="2378"/>
    </row>
    <row r="14" spans="1:29" ht="15" thickBot="1">
      <c r="A14" s="2389"/>
      <c r="B14" s="2390"/>
      <c r="C14" s="2391" t="s">
        <v>2090</v>
      </c>
      <c r="D14" s="2361"/>
      <c r="E14" s="2392"/>
      <c r="F14" s="2392"/>
      <c r="G14" s="2355" t="s">
        <v>2091</v>
      </c>
    </row>
    <row r="15" spans="1:29" ht="28.8">
      <c r="A15" s="68" t="s">
        <v>2092</v>
      </c>
      <c r="B15" s="1264" t="s">
        <v>2078</v>
      </c>
      <c r="C15" s="2393">
        <f>C3</f>
        <v>0</v>
      </c>
      <c r="D15" s="2361"/>
      <c r="E15" s="2394" t="s">
        <v>2093</v>
      </c>
      <c r="F15" s="1264" t="s">
        <v>2094</v>
      </c>
      <c r="G15" s="135">
        <f>G3</f>
        <v>0</v>
      </c>
    </row>
    <row r="16" spans="1:29" ht="14.4">
      <c r="A16" s="645"/>
      <c r="B16" s="2395" t="s">
        <v>2080</v>
      </c>
      <c r="C16" s="2396">
        <f>C4</f>
        <v>0</v>
      </c>
      <c r="D16" s="2361"/>
      <c r="E16" s="2397"/>
      <c r="F16" s="2398" t="s">
        <v>2081</v>
      </c>
      <c r="G16" s="136">
        <f>G4</f>
        <v>0</v>
      </c>
    </row>
    <row r="17" spans="1:18" ht="14.4">
      <c r="A17" s="645"/>
      <c r="B17" s="2395" t="s">
        <v>2082</v>
      </c>
      <c r="C17" s="2396">
        <f>C5</f>
        <v>0</v>
      </c>
      <c r="D17" s="2367"/>
      <c r="E17" s="2397"/>
      <c r="F17" s="2398" t="s">
        <v>2095</v>
      </c>
      <c r="G17" s="1564"/>
    </row>
    <row r="18" spans="1:18" ht="14.4">
      <c r="A18" s="645"/>
      <c r="B18" s="2398" t="s">
        <v>2084</v>
      </c>
      <c r="C18" s="136">
        <f>C6</f>
        <v>0</v>
      </c>
      <c r="D18" s="2367"/>
      <c r="E18" s="2397"/>
      <c r="F18" s="2398" t="s">
        <v>2086</v>
      </c>
      <c r="G18" s="136">
        <f>G7</f>
        <v>0</v>
      </c>
    </row>
    <row r="19" spans="1:18" ht="14.4">
      <c r="A19" s="645"/>
      <c r="B19" s="2398" t="s">
        <v>2096</v>
      </c>
      <c r="C19" s="1564"/>
      <c r="D19" s="2361"/>
      <c r="E19" s="2397"/>
      <c r="F19" s="1790" t="s">
        <v>2083</v>
      </c>
      <c r="G19" s="136">
        <f>G5</f>
        <v>0</v>
      </c>
    </row>
    <row r="20" spans="1:18" ht="14.4">
      <c r="A20" s="645"/>
      <c r="B20" s="2398" t="s">
        <v>2097</v>
      </c>
      <c r="C20" s="2396">
        <f>C9</f>
        <v>0</v>
      </c>
      <c r="D20" s="2367"/>
      <c r="E20" s="2397"/>
      <c r="F20" s="1790" t="s">
        <v>2098</v>
      </c>
      <c r="G20" s="136">
        <f>G6</f>
        <v>0</v>
      </c>
    </row>
    <row r="21" spans="1:18" ht="14.4">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32125.14</v>
      </c>
      <c r="C1" s="1737"/>
      <c r="D1" s="1737"/>
      <c r="E1" s="1737"/>
      <c r="F1" s="1737"/>
      <c r="G1" s="1735"/>
    </row>
    <row r="2" spans="1:10" ht="16.2">
      <c r="A2" s="1738" t="s">
        <v>1349</v>
      </c>
      <c r="B2" s="1738">
        <f>SUM(C14:C23)</f>
        <v>58916</v>
      </c>
      <c r="C2" s="1737"/>
      <c r="D2" s="1737"/>
      <c r="E2" s="1737"/>
      <c r="F2" s="1737"/>
      <c r="G2" s="1735"/>
    </row>
    <row r="3" spans="1:10" ht="15.6">
      <c r="A3" s="1738" t="s">
        <v>1358</v>
      </c>
      <c r="B3" s="1739">
        <f>项目基本情况!D3</f>
        <v>43584</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31319</v>
      </c>
      <c r="C5" s="1738">
        <f ca="1">ROUND(B5*10000/$B$1,0)</f>
        <v>9749</v>
      </c>
      <c r="D5" s="1738">
        <f ca="1">ROUND(B5*10000/$B$2,0)</f>
        <v>5316</v>
      </c>
      <c r="E5" s="1737"/>
      <c r="F5" s="1735"/>
      <c r="G5" s="1735"/>
    </row>
    <row r="6" spans="1:10" ht="15.6">
      <c r="A6" s="1738" t="s">
        <v>1352</v>
      </c>
      <c r="B6" s="1738">
        <f ca="1">SUM(G14:G23)</f>
        <v>31319</v>
      </c>
      <c r="C6" s="1738">
        <f ca="1">ROUND(B6*10000/$B$1,0)</f>
        <v>9749</v>
      </c>
      <c r="D6" s="1738">
        <f ca="1">ROUND(B6*10000/$B$2,0)</f>
        <v>5316</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32125.14</v>
      </c>
      <c r="C14" s="1736">
        <f>结果表!C118</f>
        <v>58916</v>
      </c>
      <c r="D14" s="1736">
        <f ca="1">结果表!H118</f>
        <v>31319</v>
      </c>
      <c r="E14" s="1736">
        <f ca="1">ROUND(D14*10000/B14,0)</f>
        <v>9749</v>
      </c>
      <c r="F14" s="1736">
        <f ca="1">ROUND(D14*10000/C14,0)</f>
        <v>5316</v>
      </c>
      <c r="G14" s="1736">
        <f ca="1">结果表!D122</f>
        <v>31319</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abSelected="1" topLeftCell="F1" zoomScale="90" zoomScaleNormal="90" workbookViewId="0">
      <selection activeCell="J3" sqref="J3:K8"/>
    </sheetView>
  </sheetViews>
  <sheetFormatPr defaultRowHeight="14.4"/>
  <cols>
    <col min="1" max="1" width="17.77734375" customWidth="1"/>
    <col min="3" max="3" width="11.109375" bestFit="1" customWidth="1"/>
    <col min="7" max="8" width="12.21875" bestFit="1" customWidth="1"/>
  </cols>
  <sheetData>
    <row r="1" spans="1:12" ht="14.25" customHeight="1">
      <c r="A1" s="3012" t="s">
        <v>3147</v>
      </c>
      <c r="B1" s="3107" t="s">
        <v>3146</v>
      </c>
      <c r="C1" s="3107" t="s">
        <v>3145</v>
      </c>
      <c r="D1" s="3123" t="s">
        <v>3163</v>
      </c>
      <c r="E1" s="3124"/>
      <c r="F1" s="3297" t="s">
        <v>3157</v>
      </c>
      <c r="G1" s="3115"/>
      <c r="H1" s="3012" t="s">
        <v>3148</v>
      </c>
      <c r="I1" s="3012"/>
    </row>
    <row r="2" spans="1:12" ht="14.25" customHeight="1">
      <c r="A2" s="3012"/>
      <c r="B2" s="3108"/>
      <c r="C2" s="3108"/>
      <c r="D2" s="2964" t="s">
        <v>3149</v>
      </c>
      <c r="E2" s="2964" t="s">
        <v>3155</v>
      </c>
      <c r="F2" s="2964" t="s">
        <v>3149</v>
      </c>
      <c r="G2" s="2964" t="s">
        <v>3150</v>
      </c>
      <c r="H2" s="2964" t="s">
        <v>3149</v>
      </c>
      <c r="I2" s="2964" t="s">
        <v>3150</v>
      </c>
      <c r="J2" s="3300" t="s">
        <v>3167</v>
      </c>
      <c r="K2" s="3299"/>
      <c r="L2" s="3299"/>
    </row>
    <row r="3" spans="1:12" ht="43.2">
      <c r="A3" s="2967" t="s">
        <v>3158</v>
      </c>
      <c r="B3" s="2965">
        <v>16279.11</v>
      </c>
      <c r="C3" s="2965">
        <f>ROUND(B3/$B$8*$C$8,2)</f>
        <v>29855.119999999999</v>
      </c>
      <c r="D3" s="2964">
        <f ca="1">H3-F3</f>
        <v>7459</v>
      </c>
      <c r="E3" s="2964">
        <f ca="1">I3-G3</f>
        <v>4582</v>
      </c>
      <c r="F3" s="2964">
        <f ca="1">ROUND(H3*结果表!$D$35,0)</f>
        <v>8412</v>
      </c>
      <c r="G3" s="2964">
        <f ca="1">ROUND(F3/B3*10000,0)</f>
        <v>5167</v>
      </c>
      <c r="H3" s="2964">
        <f>ROUND(I3*B3/10000,0)</f>
        <v>15871</v>
      </c>
      <c r="I3" s="2964">
        <v>9749</v>
      </c>
      <c r="J3">
        <f ca="1">ROUND($J$8*B3/$B$8,0)</f>
        <v>7459</v>
      </c>
      <c r="K3">
        <f ca="1">L3-J3</f>
        <v>8412</v>
      </c>
      <c r="L3">
        <f ca="1">ROUND($L$8*B3/$B$8,0)</f>
        <v>15871</v>
      </c>
    </row>
    <row r="4" spans="1:12" ht="43.2">
      <c r="A4" s="2967" t="s">
        <v>3159</v>
      </c>
      <c r="B4" s="2965">
        <v>4830.41</v>
      </c>
      <c r="C4" s="2965">
        <f t="shared" ref="C4:C7" si="0">ROUND(B4/$B$8*$C$8,2)</f>
        <v>8858.75</v>
      </c>
      <c r="D4" s="2964">
        <f t="shared" ref="D4:D7" ca="1" si="1">H4-F4</f>
        <v>2213</v>
      </c>
      <c r="E4" s="2964">
        <f t="shared" ref="E4:E7" ca="1" si="2">I4-G4</f>
        <v>4582</v>
      </c>
      <c r="F4" s="2964">
        <f ca="1">ROUND(H4*结果表!$D$35,0)</f>
        <v>2496</v>
      </c>
      <c r="G4" s="2964">
        <f t="shared" ref="G4:G7" ca="1" si="3">ROUND(F4/B4*10000,0)</f>
        <v>5167</v>
      </c>
      <c r="H4" s="2964">
        <f t="shared" ref="H4:H7" si="4">ROUND(I4*B4/10000,0)</f>
        <v>4709</v>
      </c>
      <c r="I4" s="2964">
        <v>9749</v>
      </c>
      <c r="J4">
        <f t="shared" ref="J4:J7" ca="1" si="5">ROUND($J$8*B4/$B$8,0)</f>
        <v>2213</v>
      </c>
      <c r="K4">
        <f ca="1">L4-J4</f>
        <v>2496</v>
      </c>
      <c r="L4">
        <f ca="1">ROUND($L$8*B4/$B$8,0)</f>
        <v>4709</v>
      </c>
    </row>
    <row r="5" spans="1:12" ht="43.2">
      <c r="A5" s="2967" t="s">
        <v>3159</v>
      </c>
      <c r="B5" s="2965">
        <v>3955.56</v>
      </c>
      <c r="C5" s="2965">
        <f t="shared" si="0"/>
        <v>7254.31</v>
      </c>
      <c r="D5" s="2964">
        <f t="shared" ca="1" si="1"/>
        <v>1812</v>
      </c>
      <c r="E5" s="2964">
        <f t="shared" ca="1" si="2"/>
        <v>4582</v>
      </c>
      <c r="F5" s="2964">
        <f ca="1">ROUND(H5*结果表!$D$35,0)</f>
        <v>2044</v>
      </c>
      <c r="G5" s="2964">
        <f t="shared" ca="1" si="3"/>
        <v>5167</v>
      </c>
      <c r="H5" s="2964">
        <f t="shared" si="4"/>
        <v>3856</v>
      </c>
      <c r="I5" s="2964">
        <v>9749</v>
      </c>
      <c r="J5">
        <f t="shared" ca="1" si="5"/>
        <v>1812</v>
      </c>
      <c r="K5">
        <f ca="1">L5-J5</f>
        <v>2044</v>
      </c>
      <c r="L5">
        <f ca="1">ROUND($L$8*B5/$B$8,0)</f>
        <v>3856</v>
      </c>
    </row>
    <row r="6" spans="1:12" ht="43.2">
      <c r="A6" s="2967" t="s">
        <v>3159</v>
      </c>
      <c r="B6" s="2965">
        <v>596.91999999999996</v>
      </c>
      <c r="C6" s="2965">
        <f t="shared" si="0"/>
        <v>1094.72</v>
      </c>
      <c r="D6" s="2964">
        <f t="shared" ca="1" si="1"/>
        <v>274</v>
      </c>
      <c r="E6" s="2964">
        <f t="shared" ca="1" si="2"/>
        <v>4589</v>
      </c>
      <c r="F6" s="2964">
        <f ca="1">ROUND(H6*结果表!$D$35,0)</f>
        <v>308</v>
      </c>
      <c r="G6" s="2964">
        <f t="shared" ca="1" si="3"/>
        <v>5160</v>
      </c>
      <c r="H6" s="2964">
        <f t="shared" si="4"/>
        <v>582</v>
      </c>
      <c r="I6" s="2964">
        <v>9749</v>
      </c>
      <c r="J6">
        <f t="shared" ca="1" si="5"/>
        <v>274</v>
      </c>
      <c r="K6">
        <f ca="1">L6-J6</f>
        <v>308</v>
      </c>
      <c r="L6">
        <f ca="1">ROUND($L$8*B6/$B$8,0)</f>
        <v>582</v>
      </c>
    </row>
    <row r="7" spans="1:12" ht="43.2">
      <c r="A7" s="2967" t="s">
        <v>3159</v>
      </c>
      <c r="B7" s="2965">
        <v>6463.14</v>
      </c>
      <c r="C7" s="2965">
        <f t="shared" si="0"/>
        <v>11853.1</v>
      </c>
      <c r="D7" s="2964">
        <f t="shared" ca="1" si="1"/>
        <v>2961</v>
      </c>
      <c r="E7" s="2964">
        <f t="shared" ca="1" si="2"/>
        <v>4581</v>
      </c>
      <c r="F7" s="2964">
        <f ca="1">ROUND(H7*结果表!$D$35,0)</f>
        <v>3340</v>
      </c>
      <c r="G7" s="2964">
        <f t="shared" ca="1" si="3"/>
        <v>5168</v>
      </c>
      <c r="H7" s="2964">
        <f t="shared" si="4"/>
        <v>6301</v>
      </c>
      <c r="I7" s="2964">
        <v>9749</v>
      </c>
      <c r="J7">
        <f t="shared" ca="1" si="5"/>
        <v>2961</v>
      </c>
      <c r="K7">
        <f ca="1">L7-J7</f>
        <v>3340</v>
      </c>
      <c r="L7">
        <f ca="1">ROUND($L$8*B7/$B$8,0)</f>
        <v>6301</v>
      </c>
    </row>
    <row r="8" spans="1:12">
      <c r="A8" s="2967" t="s">
        <v>3160</v>
      </c>
      <c r="B8" s="2965">
        <f>SUM(B3:B7)</f>
        <v>32125.14</v>
      </c>
      <c r="C8" s="2965">
        <v>58916</v>
      </c>
      <c r="D8" s="2965">
        <f ca="1">SUM(D3:D7)</f>
        <v>14719</v>
      </c>
      <c r="E8" s="2965"/>
      <c r="F8" s="2965">
        <f ca="1">SUM(F3:F7)</f>
        <v>16600</v>
      </c>
      <c r="G8" s="2965"/>
      <c r="H8" s="2965">
        <f>SUM(H3:H7)</f>
        <v>31319</v>
      </c>
      <c r="I8" s="2965"/>
      <c r="J8">
        <f ca="1">结果表!D118</f>
        <v>14720</v>
      </c>
      <c r="K8">
        <f ca="1">结果表!F118</f>
        <v>16599</v>
      </c>
      <c r="L8">
        <f ca="1">结果表!H118</f>
        <v>31319</v>
      </c>
    </row>
    <row r="9" spans="1:12" ht="14.25" customHeight="1">
      <c r="A9" s="3012" t="s">
        <v>3151</v>
      </c>
      <c r="B9" s="3012"/>
      <c r="C9" s="3012"/>
      <c r="D9" s="3298" t="s">
        <v>3164</v>
      </c>
      <c r="E9" s="3114"/>
      <c r="F9" s="3298" t="s">
        <v>3161</v>
      </c>
      <c r="G9" s="3114"/>
      <c r="H9" s="3298" t="s">
        <v>3162</v>
      </c>
      <c r="I9" s="3114"/>
    </row>
    <row r="10" spans="1:12" ht="15" customHeight="1">
      <c r="A10" s="3140" t="s">
        <v>3153</v>
      </c>
      <c r="B10" s="3141"/>
      <c r="C10" s="3142"/>
      <c r="D10" s="3140">
        <v>0</v>
      </c>
      <c r="E10" s="3141"/>
      <c r="F10" s="3141"/>
      <c r="G10" s="3141"/>
      <c r="H10" s="3141"/>
      <c r="I10" s="3142"/>
    </row>
    <row r="11" spans="1:12" ht="14.25" customHeight="1">
      <c r="A11" s="3116" t="s">
        <v>3151</v>
      </c>
      <c r="B11" s="3117"/>
      <c r="C11" s="3118"/>
      <c r="D11" s="3112" t="s">
        <v>3154</v>
      </c>
      <c r="E11" s="3113"/>
      <c r="F11" s="3113"/>
      <c r="G11" s="3113"/>
      <c r="H11" s="3113"/>
      <c r="I11" s="3114"/>
    </row>
    <row r="12" spans="1:12" ht="15" customHeight="1">
      <c r="A12" s="3103" t="s">
        <v>3123</v>
      </c>
      <c r="B12" s="3103"/>
      <c r="C12" s="3103"/>
      <c r="D12" s="3140">
        <v>31319</v>
      </c>
      <c r="E12" s="3141"/>
      <c r="F12" s="3141"/>
      <c r="G12" s="3141"/>
      <c r="H12" s="3141"/>
      <c r="I12" s="3142"/>
    </row>
    <row r="13" spans="1:12" ht="14.25" customHeight="1">
      <c r="A13" s="3012" t="s">
        <v>3151</v>
      </c>
      <c r="B13" s="3012"/>
      <c r="C13" s="3012"/>
      <c r="D13" s="3112" t="s">
        <v>3152</v>
      </c>
      <c r="E13" s="3113"/>
      <c r="F13" s="3113"/>
      <c r="G13" s="3113"/>
      <c r="H13" s="3113"/>
      <c r="I13" s="3114"/>
    </row>
    <row r="14" spans="1:12">
      <c r="A14" s="3122" t="s">
        <v>3156</v>
      </c>
      <c r="B14" s="3122"/>
      <c r="C14" s="3122"/>
      <c r="D14" s="3122"/>
      <c r="E14" s="3122"/>
      <c r="F14" s="3122"/>
      <c r="G14" s="3122"/>
      <c r="H14" s="3122"/>
      <c r="I14" s="3122"/>
    </row>
  </sheetData>
  <mergeCells count="20">
    <mergeCell ref="J2:L2"/>
    <mergeCell ref="A14:I14"/>
    <mergeCell ref="A11:C11"/>
    <mergeCell ref="D11:I11"/>
    <mergeCell ref="A12:C12"/>
    <mergeCell ref="D12:I12"/>
    <mergeCell ref="A13:C13"/>
    <mergeCell ref="D13:I13"/>
    <mergeCell ref="A9:C9"/>
    <mergeCell ref="D9:E9"/>
    <mergeCell ref="F9:G9"/>
    <mergeCell ref="H9:I9"/>
    <mergeCell ref="A10:C10"/>
    <mergeCell ref="D10:I10"/>
    <mergeCell ref="H1:I1"/>
    <mergeCell ref="A1:A2"/>
    <mergeCell ref="B1:B2"/>
    <mergeCell ref="C1:C2"/>
    <mergeCell ref="D1:E1"/>
    <mergeCell ref="F1:G1"/>
  </mergeCells>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 zoomScale="80" zoomScaleNormal="100" zoomScaleSheetLayoutView="80" zoomScalePageLayoutView="80" workbookViewId="0">
      <selection activeCell="F36" sqref="F36"/>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5" t="s">
        <v>2102</v>
      </c>
      <c r="B1" s="2409"/>
      <c r="C1" s="2410"/>
      <c r="D1" s="2409"/>
      <c r="E1" s="2409"/>
      <c r="F1" s="2411" t="s">
        <v>2103</v>
      </c>
      <c r="G1" s="2061" t="s">
        <v>3073</v>
      </c>
      <c r="H1" s="2412" t="str">
        <f>IF(G1="现房","——","估价对象范围")</f>
        <v>——</v>
      </c>
      <c r="I1" s="2413" t="s">
        <v>3074</v>
      </c>
    </row>
    <row r="2" spans="1:12" ht="21.75" customHeight="1" thickBot="1">
      <c r="A2" s="3094" t="str">
        <f>项目基本情况!S2</f>
        <v>江苏省镇江市京口区镇江新区大港镇通港路东房地产</v>
      </c>
      <c r="B2" s="3095"/>
      <c r="C2" s="3095"/>
      <c r="D2" s="3095"/>
      <c r="E2" s="3095"/>
      <c r="F2" s="3095"/>
      <c r="G2" s="3095"/>
      <c r="H2" s="3095"/>
      <c r="I2" s="3096"/>
    </row>
    <row r="3" spans="1:12" ht="13.2">
      <c r="A3" s="3098" t="s">
        <v>2104</v>
      </c>
      <c r="B3" s="3099"/>
      <c r="C3" s="3099"/>
      <c r="D3" s="3099"/>
      <c r="E3" s="3099"/>
      <c r="F3" s="3099"/>
      <c r="G3" s="3099"/>
      <c r="H3" s="3099"/>
      <c r="I3" s="3099"/>
    </row>
    <row r="4" spans="1:12" ht="14.4">
      <c r="A4" s="2416" t="s">
        <v>2105</v>
      </c>
      <c r="B4" s="2417" t="s">
        <v>2106</v>
      </c>
      <c r="C4" s="2418" t="s">
        <v>3091</v>
      </c>
      <c r="D4" s="2418" t="s">
        <v>3129</v>
      </c>
      <c r="E4" s="3091" t="s">
        <v>2107</v>
      </c>
      <c r="F4" s="3092"/>
      <c r="G4" s="3092"/>
      <c r="H4" s="3092"/>
      <c r="I4" s="310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074" t="s">
        <v>2108</v>
      </c>
      <c r="B5" s="3012">
        <v>25</v>
      </c>
      <c r="C5" s="3077"/>
      <c r="D5" s="3097"/>
      <c r="E5" s="140" t="s">
        <v>2109</v>
      </c>
      <c r="F5" s="2420"/>
      <c r="G5" s="2420"/>
      <c r="H5" s="2420"/>
      <c r="I5" s="1826"/>
    </row>
    <row r="6" spans="1:12" ht="13.2">
      <c r="A6" s="3074"/>
      <c r="B6" s="3012"/>
      <c r="C6" s="3078"/>
      <c r="D6" s="3097"/>
      <c r="E6" s="140" t="s">
        <v>2110</v>
      </c>
      <c r="F6" s="2420"/>
      <c r="G6" s="2420"/>
      <c r="H6" s="2420"/>
      <c r="I6" s="1826"/>
    </row>
    <row r="7" spans="1:12" ht="13.2">
      <c r="A7" s="3074"/>
      <c r="B7" s="3012"/>
      <c r="C7" s="3079"/>
      <c r="D7" s="3097"/>
      <c r="E7" s="140" t="s">
        <v>2111</v>
      </c>
      <c r="F7" s="2420"/>
      <c r="G7" s="2420"/>
      <c r="H7" s="2420"/>
      <c r="I7" s="1826"/>
    </row>
    <row r="8" spans="1:12" ht="13.2">
      <c r="A8" s="3074" t="s">
        <v>2112</v>
      </c>
      <c r="B8" s="3012">
        <v>15</v>
      </c>
      <c r="C8" s="3077"/>
      <c r="D8" s="3097"/>
      <c r="E8" s="140" t="s">
        <v>2113</v>
      </c>
      <c r="F8" s="2420"/>
      <c r="G8" s="2420"/>
      <c r="H8" s="2420"/>
      <c r="I8" s="1826"/>
    </row>
    <row r="9" spans="1:12" ht="13.2">
      <c r="A9" s="3074"/>
      <c r="B9" s="3012"/>
      <c r="C9" s="3079"/>
      <c r="D9" s="3097"/>
      <c r="E9" s="140" t="s">
        <v>2114</v>
      </c>
      <c r="F9" s="2420"/>
      <c r="G9" s="2420"/>
      <c r="H9" s="2420"/>
      <c r="I9" s="1826"/>
    </row>
    <row r="10" spans="1:12" ht="13.2">
      <c r="A10" s="3074" t="s">
        <v>2115</v>
      </c>
      <c r="B10" s="3012">
        <v>15</v>
      </c>
      <c r="C10" s="3077"/>
      <c r="D10" s="3097"/>
      <c r="E10" s="140" t="s">
        <v>2116</v>
      </c>
      <c r="F10" s="2420"/>
      <c r="G10" s="2420"/>
      <c r="H10" s="2420"/>
      <c r="I10" s="1826"/>
    </row>
    <row r="11" spans="1:12" ht="13.2">
      <c r="A11" s="3074"/>
      <c r="B11" s="3012"/>
      <c r="C11" s="3079"/>
      <c r="D11" s="3097"/>
      <c r="E11" s="140" t="s">
        <v>2117</v>
      </c>
      <c r="F11" s="2420"/>
      <c r="G11" s="2420"/>
      <c r="H11" s="2420"/>
      <c r="I11" s="1826"/>
    </row>
    <row r="12" spans="1:12" ht="13.2">
      <c r="A12" s="3074" t="s">
        <v>2118</v>
      </c>
      <c r="B12" s="3012">
        <v>15</v>
      </c>
      <c r="C12" s="3077"/>
      <c r="D12" s="3097"/>
      <c r="E12" s="140" t="s">
        <v>2119</v>
      </c>
      <c r="F12" s="2420"/>
      <c r="G12" s="2420"/>
      <c r="H12" s="2420"/>
      <c r="I12" s="1826"/>
    </row>
    <row r="13" spans="1:12" ht="13.2">
      <c r="A13" s="3074"/>
      <c r="B13" s="3012"/>
      <c r="C13" s="3079"/>
      <c r="D13" s="3097"/>
      <c r="E13" s="140" t="s">
        <v>2120</v>
      </c>
      <c r="F13" s="2420"/>
      <c r="G13" s="2420"/>
      <c r="H13" s="2420"/>
      <c r="I13" s="1826"/>
    </row>
    <row r="14" spans="1:12" ht="13.2">
      <c r="A14" s="3074" t="s">
        <v>2121</v>
      </c>
      <c r="B14" s="3012">
        <v>30</v>
      </c>
      <c r="C14" s="3077">
        <v>5</v>
      </c>
      <c r="D14" s="3097">
        <v>5</v>
      </c>
      <c r="E14" s="140" t="s">
        <v>2122</v>
      </c>
      <c r="F14" s="2420"/>
      <c r="G14" s="2420"/>
      <c r="H14" s="2420"/>
      <c r="I14" s="1826"/>
    </row>
    <row r="15" spans="1:12" ht="13.2">
      <c r="A15" s="3074"/>
      <c r="B15" s="3012"/>
      <c r="C15" s="3078"/>
      <c r="D15" s="3097"/>
      <c r="E15" s="140" t="s">
        <v>2123</v>
      </c>
      <c r="F15" s="2420"/>
      <c r="G15" s="2420"/>
      <c r="H15" s="2420"/>
      <c r="I15" s="1826"/>
    </row>
    <row r="16" spans="1:12" ht="13.2">
      <c r="A16" s="3074"/>
      <c r="B16" s="3012"/>
      <c r="C16" s="3079"/>
      <c r="D16" s="3097"/>
      <c r="E16" s="140" t="s">
        <v>2124</v>
      </c>
      <c r="F16" s="2420"/>
      <c r="G16" s="2420"/>
      <c r="H16" s="2420"/>
      <c r="I16" s="1826"/>
    </row>
    <row r="17" spans="1:35" ht="14.4">
      <c r="A17" s="2421" t="s">
        <v>2125</v>
      </c>
      <c r="B17" s="64"/>
      <c r="C17" s="141">
        <f>SUM(C5:C16)</f>
        <v>5</v>
      </c>
      <c r="D17" s="141">
        <f>SUM(D5:D16)</f>
        <v>5</v>
      </c>
      <c r="E17" s="138"/>
      <c r="F17" s="138"/>
      <c r="G17" s="138"/>
      <c r="H17" s="138"/>
      <c r="I17" s="138"/>
      <c r="K17" s="2419"/>
      <c r="L17" s="2422" t="s">
        <v>2126</v>
      </c>
      <c r="M17" s="2422" t="s">
        <v>2127</v>
      </c>
    </row>
    <row r="18" spans="1:35" ht="1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4.4">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4.4">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8" thickBot="1">
      <c r="A23" s="2409"/>
      <c r="B23" s="2409"/>
      <c r="C23" s="2409"/>
      <c r="D23" s="2409"/>
      <c r="E23" s="138"/>
      <c r="F23" s="138"/>
      <c r="G23" s="138"/>
      <c r="H23" s="138"/>
      <c r="I23" s="138"/>
    </row>
    <row r="24" spans="1:35" ht="14.4">
      <c r="A24" s="3068" t="s">
        <v>2139</v>
      </c>
      <c r="B24" s="2426" t="s">
        <v>2131</v>
      </c>
      <c r="C24" s="145">
        <f>IF(B30=0,0,D30)</f>
        <v>5066</v>
      </c>
      <c r="D24" s="2433"/>
      <c r="E24" s="138"/>
      <c r="F24" s="138"/>
      <c r="G24" s="138"/>
      <c r="H24" s="138"/>
      <c r="I24" s="138"/>
    </row>
    <row r="25" spans="1:35" ht="14.4">
      <c r="A25" s="3069"/>
      <c r="B25" s="1244" t="s">
        <v>2135</v>
      </c>
      <c r="C25" s="150">
        <f>IF(B30=0,0,C30)</f>
        <v>0</v>
      </c>
      <c r="D25" s="2434"/>
      <c r="E25" s="138"/>
      <c r="F25" s="138"/>
      <c r="G25" s="138"/>
      <c r="H25" s="138"/>
      <c r="I25" s="138"/>
    </row>
    <row r="26" spans="1:35" ht="13.5" customHeight="1">
      <c r="A26" s="2435" t="s">
        <v>2140</v>
      </c>
      <c r="B26" s="151" t="s">
        <v>2141</v>
      </c>
      <c r="C26" s="151" t="s">
        <v>2142</v>
      </c>
      <c r="D26" s="152" t="s">
        <v>2143</v>
      </c>
      <c r="E26" s="138"/>
      <c r="F26" s="138"/>
      <c r="G26" s="138"/>
      <c r="H26" s="138"/>
      <c r="I26" s="138"/>
    </row>
    <row r="27" spans="1:35" ht="14.4">
      <c r="A27" s="2966" t="s">
        <v>3144</v>
      </c>
      <c r="B27" s="151">
        <f>'数据-汇总表'!F19</f>
        <v>32125.14</v>
      </c>
      <c r="C27" s="151">
        <f>'土地比较法-住宅、综合'!C47*0.4</f>
        <v>1530.4</v>
      </c>
      <c r="D27" s="152">
        <f>ROUND(C27*B27*1.0305/10000,0)</f>
        <v>5066</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2144</v>
      </c>
      <c r="B30" s="151">
        <f>B27</f>
        <v>32125.14</v>
      </c>
      <c r="C30" s="151"/>
      <c r="D30" s="151">
        <f>D27</f>
        <v>5066</v>
      </c>
      <c r="E30" s="2907" t="s">
        <v>3018</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2145</v>
      </c>
      <c r="B32" s="2439"/>
      <c r="C32" s="153">
        <f ca="1">IF(D32="总价",G19-C24,G20-C25)</f>
        <v>31319</v>
      </c>
      <c r="D32" s="2440" t="s">
        <v>2146</v>
      </c>
      <c r="E32" s="138"/>
      <c r="F32" s="138"/>
      <c r="G32" s="138"/>
      <c r="H32" s="138"/>
      <c r="I32" s="138"/>
    </row>
    <row r="33" spans="1:15" ht="14.4">
      <c r="A33" s="954" t="s">
        <v>2147</v>
      </c>
      <c r="B33" s="2441"/>
      <c r="C33" s="2442" t="s">
        <v>3168</v>
      </c>
      <c r="D33" s="2443" t="s">
        <v>3169</v>
      </c>
      <c r="E33" s="2444" t="s">
        <v>2148</v>
      </c>
      <c r="F33" s="2445" t="str">
        <f>IF(D32="楼面单价","取值（单价）","取值（总价）")</f>
        <v>取值（总价）</v>
      </c>
      <c r="G33" s="138"/>
      <c r="H33" s="138"/>
      <c r="I33" s="138"/>
    </row>
    <row r="34" spans="1:15" ht="14.4">
      <c r="A34" s="2446"/>
      <c r="B34" s="2447" t="s">
        <v>2149</v>
      </c>
      <c r="C34" s="157">
        <f ca="1">IF(C33="自定义",F34,C32-C35)</f>
        <v>14720</v>
      </c>
      <c r="D34" s="1052">
        <f ca="1">IF(C33="自定义",ROUND(C34/C32,3),IF(C33="收益比率",SUMIF(INDIRECT("'"&amp;D33&amp;"'"&amp;"!b:b"),"土地收益比率",INDIRECT("'"&amp;D33&amp;"'"&amp;"!c:c")),SUMIF(INDIRECT("'"&amp;D33&amp;"'"&amp;"!b:b"),"土地成本比率",INDIRECT("'"&amp;D33&amp;"'"&amp;"!c:c"))))</f>
        <v>0.47</v>
      </c>
      <c r="E34" s="2448" t="s">
        <v>2150</v>
      </c>
      <c r="F34" s="1731">
        <f ca="1">ROUND(H101*G34,0)</f>
        <v>14720</v>
      </c>
      <c r="G34" s="3301">
        <f ca="1">ROUND(H34/H36,3)</f>
        <v>0.47</v>
      </c>
      <c r="H34" s="138">
        <f ca="1">C19-D30-H35</f>
        <v>13802</v>
      </c>
      <c r="I34" s="138"/>
    </row>
    <row r="35" spans="1:15" ht="15" thickBot="1">
      <c r="A35" s="2449"/>
      <c r="B35" s="2450" t="s">
        <v>2151</v>
      </c>
      <c r="C35" s="1438">
        <f ca="1">IF(C33="自定义",F35,ROUND(C32*D35,0))</f>
        <v>16599</v>
      </c>
      <c r="D35" s="1439">
        <f ca="1">IF(C33="自定义",ROUND(C35/C32,3),IF(C33="收益比率",SUMIF(INDIRECT("'"&amp;D33&amp;"'"&amp;"!b:b"),"建筑物收益比率",INDIRECT("'"&amp;D33&amp;"'"&amp;"!c:c")),SUMIF(INDIRECT("'"&amp;D33&amp;"'"&amp;"!b:b"),"建筑物成本比率",INDIRECT("'"&amp;D33&amp;"'"&amp;"!c:c"))))</f>
        <v>0.53</v>
      </c>
      <c r="E35" s="2451" t="s">
        <v>2152</v>
      </c>
      <c r="F35" s="163">
        <f ca="1">ROUND(H101*G35,0)</f>
        <v>16599</v>
      </c>
      <c r="G35" s="3301">
        <f ca="1">ROUND(H35/H36,3)</f>
        <v>0.53</v>
      </c>
      <c r="H35" s="138">
        <f ca="1">成本法!C51</f>
        <v>15580</v>
      </c>
      <c r="I35" s="138"/>
    </row>
    <row r="36" spans="1:15" ht="15" thickBot="1">
      <c r="A36" s="3086" t="s">
        <v>2153</v>
      </c>
      <c r="B36" s="2452" t="s">
        <v>2154</v>
      </c>
      <c r="C36" s="154"/>
      <c r="D36" s="2453"/>
      <c r="E36" s="2454"/>
      <c r="F36" s="2455"/>
      <c r="G36" s="138"/>
      <c r="H36" s="138">
        <f ca="1">C19-D30</f>
        <v>29382</v>
      </c>
      <c r="I36" s="138"/>
    </row>
    <row r="37" spans="1:15" ht="15" thickBot="1">
      <c r="A37" s="3087"/>
      <c r="B37" s="2257" t="s">
        <v>2155</v>
      </c>
      <c r="C37" s="156"/>
      <c r="D37" s="1389"/>
      <c r="E37" s="1389"/>
      <c r="F37" s="2455"/>
      <c r="G37" s="138"/>
      <c r="H37" s="138"/>
      <c r="I37" s="138"/>
    </row>
    <row r="38" spans="1:15" ht="15" thickBot="1">
      <c r="A38" s="3088"/>
      <c r="B38" s="2456" t="s">
        <v>2156</v>
      </c>
      <c r="C38" s="727"/>
      <c r="D38" s="2457" t="s">
        <v>2157</v>
      </c>
      <c r="E38" s="1389"/>
      <c r="F38" s="2455"/>
      <c r="G38" s="138"/>
      <c r="H38" s="138"/>
      <c r="I38" s="138"/>
    </row>
    <row r="39" spans="1:15" ht="14.4">
      <c r="A39" s="2428" t="s">
        <v>2158</v>
      </c>
      <c r="B39" s="2458" t="s">
        <v>2159</v>
      </c>
      <c r="C39" s="2459" t="s">
        <v>2160</v>
      </c>
      <c r="D39" s="2459" t="s">
        <v>2161</v>
      </c>
      <c r="E39" s="2460" t="s">
        <v>2162</v>
      </c>
      <c r="F39" s="2455"/>
      <c r="G39" s="138"/>
      <c r="H39" s="138"/>
      <c r="I39" s="138"/>
    </row>
    <row r="40" spans="1:15" ht="13.8">
      <c r="A40" s="2461" t="s">
        <v>2163</v>
      </c>
      <c r="B40" s="158"/>
      <c r="C40" s="159"/>
      <c r="D40" s="2962"/>
      <c r="E40" s="160"/>
      <c r="F40" s="2455"/>
      <c r="G40" s="138"/>
      <c r="H40" s="138"/>
      <c r="I40" s="138"/>
    </row>
    <row r="41" spans="1:15" ht="13.8">
      <c r="A41" s="2461" t="s">
        <v>2164</v>
      </c>
      <c r="B41" s="158"/>
      <c r="C41" s="159"/>
      <c r="D41" s="159"/>
      <c r="E41" s="160"/>
      <c r="F41" s="2455"/>
      <c r="G41" s="138"/>
      <c r="H41" s="138"/>
      <c r="I41" s="138"/>
    </row>
    <row r="42" spans="1:15" ht="14.4" thickBot="1">
      <c r="A42" s="2462"/>
      <c r="B42" s="161"/>
      <c r="C42" s="162"/>
      <c r="D42" s="162"/>
      <c r="E42" s="163"/>
      <c r="F42" s="2455"/>
      <c r="G42" s="138"/>
      <c r="H42" s="138"/>
      <c r="I42" s="138"/>
    </row>
    <row r="43" spans="1:15" ht="13.2" hidden="1">
      <c r="A43" s="2155"/>
      <c r="B43" s="2155"/>
      <c r="C43" s="2155"/>
      <c r="D43" s="2155"/>
      <c r="E43" s="2155"/>
      <c r="F43" s="2463"/>
      <c r="G43" s="2463"/>
      <c r="H43" s="2463"/>
      <c r="I43" s="2464"/>
    </row>
    <row r="44" spans="1:15" ht="17.399999999999999"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065" t="s">
        <v>2167</v>
      </c>
      <c r="B45" s="3066"/>
      <c r="C45" s="3067"/>
      <c r="D45" s="164">
        <f ca="1">ROUND(H101*F45,0)</f>
        <v>31319</v>
      </c>
      <c r="E45" s="165" t="s">
        <v>2168</v>
      </c>
      <c r="F45" s="166">
        <v>1</v>
      </c>
      <c r="G45" s="167" t="s">
        <v>2169</v>
      </c>
      <c r="H45" s="138"/>
      <c r="I45" s="138"/>
      <c r="J45" s="3125" t="s">
        <v>2170</v>
      </c>
      <c r="K45" s="3125"/>
      <c r="L45" s="3125"/>
      <c r="M45" s="3125"/>
      <c r="N45" s="3125"/>
      <c r="O45" s="3125"/>
    </row>
    <row r="46" spans="1:15" ht="14.25" hidden="1" customHeight="1">
      <c r="A46" s="3062" t="s">
        <v>2171</v>
      </c>
      <c r="B46" s="3063"/>
      <c r="C46" s="3063"/>
      <c r="D46" s="3063"/>
      <c r="E46" s="3063"/>
      <c r="F46" s="3063"/>
      <c r="G46" s="3064"/>
      <c r="H46" s="2471"/>
      <c r="I46" s="168"/>
      <c r="J46" s="1804">
        <v>1</v>
      </c>
      <c r="K46" s="3125" t="s">
        <v>2172</v>
      </c>
      <c r="L46" s="3125"/>
      <c r="M46" s="3145"/>
      <c r="N46" s="3145"/>
      <c r="O46" s="3145"/>
    </row>
    <row r="47" spans="1:15" ht="12" hidden="1" customHeight="1">
      <c r="A47" s="169" t="s">
        <v>2173</v>
      </c>
      <c r="B47" s="170"/>
      <c r="C47" s="171"/>
      <c r="D47" s="172" t="s">
        <v>2174</v>
      </c>
      <c r="E47" s="24" t="s">
        <v>2175</v>
      </c>
      <c r="F47" s="173" t="s">
        <v>2176</v>
      </c>
      <c r="G47" s="174" t="s">
        <v>2177</v>
      </c>
      <c r="H47" s="2471"/>
      <c r="I47" s="168"/>
      <c r="J47" s="1804">
        <v>2</v>
      </c>
      <c r="K47" s="3125" t="s">
        <v>2178</v>
      </c>
      <c r="L47" s="3125"/>
      <c r="M47" s="3146">
        <f>'数据-取费表'!B2</f>
        <v>43584</v>
      </c>
      <c r="N47" s="3146"/>
      <c r="O47" s="3146"/>
    </row>
    <row r="48" spans="1:15" ht="26.4" hidden="1">
      <c r="A48" s="3093" t="s">
        <v>2179</v>
      </c>
      <c r="B48" s="3076"/>
      <c r="C48" s="3076"/>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125" t="s">
        <v>2182</v>
      </c>
      <c r="L48" s="3125"/>
      <c r="M48" s="3147">
        <f ca="1">H101</f>
        <v>31319</v>
      </c>
      <c r="N48" s="3147"/>
      <c r="O48" s="3147"/>
    </row>
    <row r="49" spans="1:35" ht="25.5" hidden="1" customHeight="1">
      <c r="A49" s="176" t="s">
        <v>2183</v>
      </c>
      <c r="B49" s="3061" t="s">
        <v>2184</v>
      </c>
      <c r="C49" s="3061"/>
      <c r="D49" s="177">
        <v>0</v>
      </c>
      <c r="E49" s="23" t="s">
        <v>2185</v>
      </c>
      <c r="F49" s="28" t="s">
        <v>34</v>
      </c>
      <c r="G49" s="3131"/>
      <c r="H49" s="138"/>
      <c r="I49" s="2474"/>
      <c r="J49" s="1804">
        <v>4</v>
      </c>
      <c r="K49" s="3125" t="str">
        <f>IF(项目基本情况!E8="房地产抵押价值","房地产抵押价值","抵押担保权已注销时的房地产抵押价值")</f>
        <v>房地产抵押价值</v>
      </c>
      <c r="L49" s="3125"/>
      <c r="M49" s="3147">
        <f ca="1">IF(项目基本情况!E8="房地产抵押价值",H107,H109)</f>
        <v>31319</v>
      </c>
      <c r="N49" s="3147"/>
      <c r="O49" s="3147"/>
    </row>
    <row r="50" spans="1:35" ht="25.5" hidden="1" customHeight="1">
      <c r="A50" s="178"/>
      <c r="B50" s="3061" t="s">
        <v>2186</v>
      </c>
      <c r="C50" s="3061"/>
      <c r="D50" s="179"/>
      <c r="E50" s="31"/>
      <c r="F50" s="180"/>
      <c r="G50" s="3132"/>
      <c r="H50" s="138"/>
      <c r="I50" s="2474"/>
      <c r="J50" s="3125" t="s">
        <v>2187</v>
      </c>
      <c r="K50" s="3125"/>
      <c r="L50" s="3125"/>
      <c r="M50" s="3125"/>
      <c r="N50" s="3125"/>
      <c r="O50" s="3125"/>
    </row>
    <row r="51" spans="1:35" ht="12" hidden="1" customHeight="1">
      <c r="A51" s="181"/>
      <c r="B51" s="3061" t="s">
        <v>2188</v>
      </c>
      <c r="C51" s="3061"/>
      <c r="D51" s="182"/>
      <c r="E51" s="30"/>
      <c r="F51" s="180"/>
      <c r="G51" s="3133"/>
      <c r="H51" s="138"/>
      <c r="I51" s="2474"/>
      <c r="J51" s="2475" t="s">
        <v>2189</v>
      </c>
      <c r="K51" s="3125" t="s">
        <v>2190</v>
      </c>
      <c r="L51" s="3125"/>
      <c r="M51" s="2475" t="s">
        <v>2191</v>
      </c>
      <c r="N51" s="2475" t="s">
        <v>2192</v>
      </c>
      <c r="O51" s="2475" t="s">
        <v>2193</v>
      </c>
    </row>
    <row r="52" spans="1:35" ht="24" hidden="1" customHeight="1">
      <c r="A52" s="183" t="s">
        <v>2194</v>
      </c>
      <c r="B52" s="3061" t="s">
        <v>2195</v>
      </c>
      <c r="C52" s="3061"/>
      <c r="D52" s="182">
        <f ca="1">ROUND(D45*'数据-取费表'!B41/(1+'数据-取费表'!C42),0)</f>
        <v>1670</v>
      </c>
      <c r="E52" s="11" t="s">
        <v>2196</v>
      </c>
      <c r="F52" s="184">
        <f>'数据-取费表'!B41</f>
        <v>5.6000000000000001E-2</v>
      </c>
      <c r="G52" s="2476"/>
      <c r="H52" s="138"/>
      <c r="I52" s="2474"/>
      <c r="J52" s="1804">
        <v>1</v>
      </c>
      <c r="K52" s="3126" t="s">
        <v>2197</v>
      </c>
      <c r="L52" s="3126"/>
      <c r="M52" s="1746">
        <f>D48</f>
        <v>0</v>
      </c>
      <c r="N52" s="1804" t="str">
        <f>E48</f>
        <v>销售额×税（费）率</v>
      </c>
      <c r="O52" s="1747" t="str">
        <f>F48</f>
        <v>免征</v>
      </c>
    </row>
    <row r="53" spans="1:35" ht="12" hidden="1" customHeight="1">
      <c r="A53" s="183" t="s">
        <v>2198</v>
      </c>
      <c r="B53" s="3084" t="s">
        <v>2199</v>
      </c>
      <c r="C53" s="3085"/>
      <c r="D53" s="182">
        <f ca="1">ROUND(D45*'数据-取费表'!B41/(1+'数据-取费表'!C42),0)</f>
        <v>1670</v>
      </c>
      <c r="E53" s="11" t="s">
        <v>2196</v>
      </c>
      <c r="F53" s="184">
        <f>'数据-取费表'!B41</f>
        <v>5.6000000000000001E-2</v>
      </c>
      <c r="G53" s="2476"/>
      <c r="H53" s="138"/>
      <c r="I53" s="2474"/>
      <c r="J53" s="1804">
        <v>2</v>
      </c>
      <c r="K53" s="3126" t="s">
        <v>2200</v>
      </c>
      <c r="L53" s="3126"/>
      <c r="M53" s="1746">
        <f t="shared" ref="M53:O54" ca="1" si="0">D55</f>
        <v>16</v>
      </c>
      <c r="N53" s="1804" t="str">
        <f t="shared" si="0"/>
        <v>销售额×税（费）率</v>
      </c>
      <c r="O53" s="1747">
        <f t="shared" si="0"/>
        <v>5.0000000000000001E-4</v>
      </c>
    </row>
    <row r="54" spans="1:35" ht="12" hidden="1" customHeight="1">
      <c r="A54" s="183" t="s">
        <v>2201</v>
      </c>
      <c r="B54" s="3084" t="s">
        <v>2202</v>
      </c>
      <c r="C54" s="3085"/>
      <c r="D54" s="182">
        <f ca="1">C68</f>
        <v>1670</v>
      </c>
      <c r="E54" s="30" t="s">
        <v>2203</v>
      </c>
      <c r="F54" s="184">
        <f>'数据-取费表'!B41</f>
        <v>5.6000000000000001E-2</v>
      </c>
      <c r="G54" s="2476"/>
      <c r="H54" s="2477"/>
      <c r="I54" s="2474"/>
      <c r="J54" s="1804">
        <v>3</v>
      </c>
      <c r="K54" s="3126" t="s">
        <v>2204</v>
      </c>
      <c r="L54" s="3126"/>
      <c r="M54" s="1746">
        <f t="shared" ca="1" si="0"/>
        <v>17727</v>
      </c>
      <c r="N54" s="1804" t="str">
        <f t="shared" si="0"/>
        <v>增值额×税（费）率</v>
      </c>
      <c r="O54" s="1748" t="str">
        <f t="shared" si="0"/>
        <v>——</v>
      </c>
    </row>
    <row r="55" spans="1:35" ht="24" hidden="1" customHeight="1">
      <c r="A55" s="3075" t="s">
        <v>2205</v>
      </c>
      <c r="B55" s="3076"/>
      <c r="C55" s="3076"/>
      <c r="D55" s="185">
        <f ca="1">IF(H55="个人住宅",0,ROUND(D45*I55,0))</f>
        <v>16</v>
      </c>
      <c r="E55" s="11" t="s">
        <v>2206</v>
      </c>
      <c r="F55" s="184">
        <f>IF(H55="正常",I55,"免征")</f>
        <v>5.0000000000000001E-4</v>
      </c>
      <c r="G55" s="2476"/>
      <c r="H55" s="2473" t="s">
        <v>2207</v>
      </c>
      <c r="I55" s="186">
        <f>'数据-取费表'!B49</f>
        <v>5.0000000000000001E-4</v>
      </c>
      <c r="J55" s="1804" t="str">
        <f>IF(H59="非个人房产","",4)</f>
        <v/>
      </c>
      <c r="K55" s="3126" t="str">
        <f>IF(H59="非个人房产","——","个人所得税")</f>
        <v>——</v>
      </c>
      <c r="L55" s="3126"/>
      <c r="M55" s="1749" t="str">
        <f>D59</f>
        <v>——</v>
      </c>
      <c r="N55" s="1802" t="str">
        <f>E59</f>
        <v>——</v>
      </c>
      <c r="O55" s="1750" t="str">
        <f>F59</f>
        <v>——</v>
      </c>
    </row>
    <row r="56" spans="1:35" ht="25.2" hidden="1">
      <c r="A56" s="3075" t="s">
        <v>2208</v>
      </c>
      <c r="B56" s="3076"/>
      <c r="C56" s="3076"/>
      <c r="D56" s="185">
        <f ca="1">IF(H56="个人住宅",D57,D58)</f>
        <v>17727</v>
      </c>
      <c r="E56" s="11" t="s">
        <v>2209</v>
      </c>
      <c r="F56" s="184" t="str">
        <f>IF(H56="正常",F58,"免征")</f>
        <v>——</v>
      </c>
      <c r="G56" s="2478" t="s">
        <v>2210</v>
      </c>
      <c r="H56" s="2479" t="s">
        <v>2207</v>
      </c>
      <c r="I56" s="2480"/>
      <c r="J56" s="1804" t="str">
        <f>IF(项目基本情况!K6="上海银行",IF(J55="",4,J55+1),"")</f>
        <v/>
      </c>
      <c r="K56" s="3149" t="str">
        <f>IF(项目基本情况!K6="上海银行","其他处置费用","")</f>
        <v/>
      </c>
      <c r="L56" s="3150"/>
      <c r="M56" s="1746" t="str">
        <f>IF(项目基本情况!K6="上海银行",M69,"")</f>
        <v/>
      </c>
      <c r="N56" s="3152" t="str">
        <f>IF(项目基本情况!K6="上海银行","包含处置中涉及的律师、诉讼、拍卖、评估等费用","")</f>
        <v/>
      </c>
      <c r="O56" s="3153"/>
    </row>
    <row r="57" spans="1:35" ht="13.2" hidden="1">
      <c r="A57" s="183" t="s">
        <v>2183</v>
      </c>
      <c r="B57" s="3091" t="s">
        <v>2211</v>
      </c>
      <c r="C57" s="3100"/>
      <c r="D57" s="187">
        <v>0</v>
      </c>
      <c r="E57" s="23" t="s">
        <v>2185</v>
      </c>
      <c r="F57" s="155"/>
      <c r="G57" s="2476"/>
      <c r="H57" s="2480"/>
      <c r="I57" s="2480"/>
      <c r="J57" s="3126">
        <f>IF(AND(J55="",J56=""),4,IF(项目基本情况!K6="上海银行",结果表!J56+1,结果表!J55+1))</f>
        <v>4</v>
      </c>
      <c r="K57" s="3126" t="s">
        <v>2212</v>
      </c>
      <c r="L57" s="2481" t="s">
        <v>2213</v>
      </c>
      <c r="M57" s="1751"/>
      <c r="N57" s="1752">
        <f ca="1">SUMIF(M52:M56,"&lt;9e307")</f>
        <v>17743</v>
      </c>
      <c r="O57" s="2482"/>
      <c r="P57" s="1745">
        <f ca="1">N57/M49</f>
        <v>0.5665251125514863</v>
      </c>
    </row>
    <row r="58" spans="1:35" ht="25.2" hidden="1">
      <c r="A58" s="183" t="s">
        <v>2194</v>
      </c>
      <c r="B58" s="3091" t="s">
        <v>2214</v>
      </c>
      <c r="C58" s="3092"/>
      <c r="D58" s="185">
        <f ca="1">IF(H58="转让取得",C81,C97)</f>
        <v>17727</v>
      </c>
      <c r="E58" s="11" t="s">
        <v>2209</v>
      </c>
      <c r="F58" s="24" t="s">
        <v>34</v>
      </c>
      <c r="G58" s="2476"/>
      <c r="H58" s="2479" t="s">
        <v>2215</v>
      </c>
      <c r="I58" s="2480"/>
      <c r="J58" s="3126"/>
      <c r="K58" s="3126"/>
      <c r="L58" s="2481" t="s">
        <v>2216</v>
      </c>
      <c r="M58" s="1753"/>
      <c r="N58" s="2483" t="str">
        <f ca="1">NUMBERSTRING(INT(N57*10000),2)&amp;"元整"</f>
        <v>壹亿柒仟柒佰肆拾叁万元整</v>
      </c>
      <c r="O58" s="2484"/>
    </row>
    <row r="59" spans="1:35" ht="24.6" hidden="1" thickBot="1">
      <c r="A59" s="3129" t="s">
        <v>2217</v>
      </c>
      <c r="B59" s="3130"/>
      <c r="C59" s="3130"/>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127">
        <f>J57+1</f>
        <v>5</v>
      </c>
      <c r="K59" s="3126" t="s">
        <v>2219</v>
      </c>
      <c r="L59" s="1804" t="s">
        <v>2213</v>
      </c>
      <c r="M59" s="1754"/>
      <c r="N59" s="1755">
        <f ca="1">M49-N57</f>
        <v>13576</v>
      </c>
      <c r="O59" s="2486"/>
    </row>
    <row r="60" spans="1:35" ht="12" hidden="1" customHeight="1">
      <c r="A60" s="2487"/>
      <c r="B60" s="2409"/>
      <c r="C60" s="2409"/>
      <c r="D60" s="2409"/>
      <c r="E60" s="2156"/>
      <c r="F60" s="2480"/>
      <c r="G60" s="2480"/>
      <c r="H60" s="2488"/>
      <c r="I60" s="138"/>
      <c r="J60" s="3128"/>
      <c r="K60" s="3126"/>
      <c r="L60" s="2481" t="s">
        <v>2216</v>
      </c>
      <c r="M60" s="1753"/>
      <c r="N60" s="2483" t="str">
        <f ca="1">NUMBERSTRING(INT(N59*10000),2)&amp;"元整"</f>
        <v>壹亿叁仟伍佰柒拾陆万元整</v>
      </c>
      <c r="O60" s="2484"/>
    </row>
    <row r="61" spans="1:35" ht="13.8" hidden="1" thickBot="1">
      <c r="A61" s="3073" t="s">
        <v>2220</v>
      </c>
      <c r="B61" s="3073"/>
      <c r="C61" s="3073"/>
      <c r="D61" s="3073"/>
      <c r="E61" s="3073"/>
      <c r="F61" s="2480"/>
      <c r="G61" s="2480"/>
      <c r="H61" s="2488"/>
      <c r="I61" s="138"/>
      <c r="J61" s="1804">
        <f>J59+1</f>
        <v>6</v>
      </c>
      <c r="K61" s="3126" t="s">
        <v>2221</v>
      </c>
      <c r="L61" s="3126"/>
      <c r="M61" s="1756"/>
      <c r="N61" s="1757">
        <f ca="1">ROUND(N59*10000/'数据-汇总表'!E3,0)</f>
        <v>4226</v>
      </c>
      <c r="O61" s="2489"/>
    </row>
    <row r="62" spans="1:35" ht="13.2" hidden="1">
      <c r="A62" s="3089" t="s">
        <v>2222</v>
      </c>
      <c r="B62" s="3090"/>
      <c r="C62" s="1796"/>
      <c r="D62" s="1796" t="s">
        <v>2223</v>
      </c>
      <c r="E62" s="192" t="s">
        <v>2224</v>
      </c>
      <c r="F62" s="2480"/>
      <c r="G62" s="2480"/>
      <c r="H62" s="2488"/>
      <c r="I62" s="138"/>
    </row>
    <row r="63" spans="1:35" ht="13.2" hidden="1">
      <c r="A63" s="203" t="s">
        <v>775</v>
      </c>
      <c r="B63" s="193" t="s">
        <v>2225</v>
      </c>
      <c r="C63" s="194">
        <f ca="1">ROUND((C64+C65)/(1+'数据-取费表'!C42),0)</f>
        <v>29828</v>
      </c>
      <c r="D63" s="195"/>
      <c r="E63" s="196"/>
      <c r="F63" s="2480"/>
      <c r="G63" s="2480"/>
      <c r="H63" s="2488"/>
      <c r="I63" s="138"/>
      <c r="J63" s="3151"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31319</v>
      </c>
      <c r="D64" s="200" t="s">
        <v>32</v>
      </c>
      <c r="E64" s="201"/>
      <c r="F64" s="2480"/>
      <c r="G64" s="2480"/>
      <c r="H64" s="2488"/>
      <c r="I64" s="138"/>
      <c r="J64" s="3151"/>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151"/>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151"/>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29828</v>
      </c>
      <c r="D67" s="200" t="s">
        <v>32</v>
      </c>
      <c r="E67" s="201"/>
      <c r="F67" s="2480"/>
      <c r="G67" s="2480"/>
      <c r="H67" s="2488"/>
      <c r="I67" s="138"/>
      <c r="J67" s="3151"/>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1670</v>
      </c>
      <c r="D68" s="211">
        <f>'数据-取费表'!B41</f>
        <v>5.6000000000000001E-2</v>
      </c>
      <c r="E68" s="212"/>
      <c r="F68" s="2480"/>
      <c r="G68" s="2480"/>
      <c r="H68" s="2488"/>
      <c r="I68" s="138"/>
      <c r="J68" s="3151"/>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151"/>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hidden="1" thickBot="1">
      <c r="A70" s="3110" t="s">
        <v>2241</v>
      </c>
      <c r="B70" s="3111"/>
      <c r="C70" s="3111"/>
      <c r="D70" s="3111"/>
      <c r="E70" s="3111"/>
      <c r="F70" s="3111"/>
      <c r="G70" s="3111"/>
      <c r="H70" s="311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hidden="1">
      <c r="A71" s="3089" t="s">
        <v>2222</v>
      </c>
      <c r="B71" s="3090"/>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hidden="1">
      <c r="A72" s="203" t="s">
        <v>775</v>
      </c>
      <c r="B72" s="204" t="s">
        <v>2242</v>
      </c>
      <c r="C72" s="207">
        <f ca="1">ROUND(D45/(1+'数据-取费表'!C42),0)</f>
        <v>29828</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hidden="1">
      <c r="A73" s="203" t="s">
        <v>772</v>
      </c>
      <c r="B73" s="173" t="s">
        <v>2243</v>
      </c>
      <c r="C73" s="207">
        <f ca="1">C74+C78</f>
        <v>179</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084" t="s">
        <v>2250</v>
      </c>
      <c r="F76" s="3061"/>
      <c r="G76" s="3061"/>
      <c r="H76" s="310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179</v>
      </c>
      <c r="D78" s="226">
        <f>'数据-取费表'!B43</f>
        <v>6.000000000000001E-3</v>
      </c>
      <c r="E78" s="3070" t="s">
        <v>2255</v>
      </c>
      <c r="F78" s="3071"/>
      <c r="G78" s="3071"/>
      <c r="H78" s="308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hidden="1">
      <c r="A79" s="2506" t="s">
        <v>779</v>
      </c>
      <c r="B79" s="204" t="s">
        <v>2256</v>
      </c>
      <c r="C79" s="207">
        <f ca="1">C72-C73</f>
        <v>29649</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165.6368715083799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hidden="1" thickBot="1">
      <c r="A81" s="2507" t="s">
        <v>781</v>
      </c>
      <c r="B81" s="209" t="s">
        <v>2258</v>
      </c>
      <c r="C81" s="228">
        <f ca="1">ROUND(IF(C79&lt;=0,0,IF(C80&gt;=200%,C79*60%-C73*35%,IF(C80&gt;=100%,C79*50%-C73*15%,IF(C80&gt;=50%,C79*40%-C73*5%,IF(C80&lt;50%,C79*30%,0))))),0)</f>
        <v>17727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hidden="1" thickBot="1">
      <c r="A83" s="3110" t="s">
        <v>2259</v>
      </c>
      <c r="B83" s="3111"/>
      <c r="C83" s="3111"/>
      <c r="D83" s="3111"/>
      <c r="E83" s="3111"/>
      <c r="F83" s="3111"/>
      <c r="G83" s="3111"/>
      <c r="H83" s="311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hidden="1">
      <c r="A84" s="3089" t="s">
        <v>2222</v>
      </c>
      <c r="B84" s="3090"/>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hidden="1">
      <c r="A85" s="203" t="s">
        <v>775</v>
      </c>
      <c r="B85" s="204" t="s">
        <v>2242</v>
      </c>
      <c r="C85" s="207">
        <f ca="1">ROUND(D45/(1+'数据-取费表'!C42),0)</f>
        <v>29828</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hidden="1">
      <c r="A86" s="203" t="s">
        <v>772</v>
      </c>
      <c r="B86" s="173" t="s">
        <v>2243</v>
      </c>
      <c r="C86" s="207">
        <f ca="1">IF(H88="仅含出让金",C87+C90+C91+C92+C93+C94,C87+C91+C92+C93+C94)</f>
        <v>179</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070" t="s">
        <v>2268</v>
      </c>
      <c r="F91" s="3071"/>
      <c r="G91" s="3071"/>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070" t="s">
        <v>2272</v>
      </c>
      <c r="F92" s="3071"/>
      <c r="G92" s="3071"/>
      <c r="H92" s="308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179</v>
      </c>
      <c r="D93" s="226">
        <f>'数据-取费表'!B43</f>
        <v>6.000000000000001E-3</v>
      </c>
      <c r="E93" s="3070" t="s">
        <v>2255</v>
      </c>
      <c r="F93" s="3071"/>
      <c r="G93" s="3071"/>
      <c r="H93" s="308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081" t="s">
        <v>2276</v>
      </c>
      <c r="F94" s="3082"/>
      <c r="G94" s="3082"/>
      <c r="H94" s="308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hidden="1">
      <c r="A95" s="2506" t="s">
        <v>779</v>
      </c>
      <c r="B95" s="204" t="s">
        <v>2256</v>
      </c>
      <c r="C95" s="207">
        <f ca="1">ROUND(C85-C86,0)</f>
        <v>29649</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165.6368715083799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hidden="1" thickBot="1">
      <c r="A97" s="2507" t="s">
        <v>781</v>
      </c>
      <c r="B97" s="209" t="s">
        <v>2258</v>
      </c>
      <c r="C97" s="228">
        <f ca="1">ROUND(IF(C95&lt;=0,0,IF(C96&gt;=200%,C95*60%-C86*35%,IF(C96&gt;=100%,C95*50%-C86*15%,IF(C96&gt;=50%,C95*40%-C86*5%,IF(C96&lt;50%,C95*30%,0))))),0)</f>
        <v>17727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5" t="s">
        <v>2278</v>
      </c>
      <c r="B100" s="3056"/>
      <c r="C100" s="3056"/>
      <c r="D100" s="3072"/>
      <c r="E100" s="3056" t="s">
        <v>2279</v>
      </c>
      <c r="F100" s="3056"/>
      <c r="G100" s="3056"/>
      <c r="H100" s="3072"/>
      <c r="I100" s="138"/>
    </row>
    <row r="101" spans="1:35" ht="18.75" customHeight="1">
      <c r="A101" s="3134" t="s">
        <v>2280</v>
      </c>
      <c r="B101" s="3135"/>
      <c r="C101" s="736" t="str">
        <f>C4</f>
        <v>成本法</v>
      </c>
      <c r="D101" s="737" t="str">
        <f>D4</f>
        <v>收益法</v>
      </c>
      <c r="E101" s="3148" t="s">
        <v>2281</v>
      </c>
      <c r="F101" s="3102"/>
      <c r="G101" s="2511" t="s">
        <v>2282</v>
      </c>
      <c r="H101" s="1042">
        <f ca="1">H118</f>
        <v>31319</v>
      </c>
      <c r="I101" s="138"/>
    </row>
    <row r="102" spans="1:35" ht="18.75" customHeight="1">
      <c r="A102" s="3104" t="s">
        <v>2283</v>
      </c>
      <c r="B102" s="2511" t="s">
        <v>2282</v>
      </c>
      <c r="C102" s="736">
        <f ca="1">C19</f>
        <v>34448</v>
      </c>
      <c r="D102" s="737">
        <f ca="1">D19</f>
        <v>38322</v>
      </c>
      <c r="E102" s="3148"/>
      <c r="F102" s="3102"/>
      <c r="G102" s="2511" t="s">
        <v>2284</v>
      </c>
      <c r="H102" s="371">
        <f ca="1">I118</f>
        <v>9749</v>
      </c>
      <c r="I102" s="138"/>
    </row>
    <row r="103" spans="1:35" ht="42.75" customHeight="1">
      <c r="A103" s="3104"/>
      <c r="B103" s="2511" t="s">
        <v>2284</v>
      </c>
      <c r="C103" s="738">
        <f ca="1">C20</f>
        <v>10723</v>
      </c>
      <c r="D103" s="739">
        <f ca="1">D20</f>
        <v>11929</v>
      </c>
      <c r="E103" s="3143" t="s">
        <v>2285</v>
      </c>
      <c r="F103" s="3144"/>
      <c r="G103" s="2512" t="s">
        <v>2286</v>
      </c>
      <c r="H103" s="1042">
        <f>IF(D36="正常操作",H104+H105+H106,H105+H106)</f>
        <v>0</v>
      </c>
      <c r="I103" s="138"/>
    </row>
    <row r="104" spans="1:35" ht="18.75" customHeight="1">
      <c r="A104" s="3104" t="s">
        <v>2287</v>
      </c>
      <c r="B104" s="2513" t="s">
        <v>2282</v>
      </c>
      <c r="C104" s="740">
        <f ca="1">H118</f>
        <v>31319</v>
      </c>
      <c r="D104" s="741"/>
      <c r="E104" s="2257" t="s">
        <v>2288</v>
      </c>
      <c r="F104" s="2248"/>
      <c r="G104" s="2512" t="s">
        <v>2286</v>
      </c>
      <c r="H104" s="1043">
        <f>IF(D36="同一抵押权人同一抵押物续贷",C36&amp;"（未扣减，详见特别提示）",C36)</f>
        <v>0</v>
      </c>
      <c r="I104" s="138"/>
    </row>
    <row r="105" spans="1:35" ht="18.75" customHeight="1" thickBot="1">
      <c r="A105" s="3105"/>
      <c r="B105" s="2514" t="s">
        <v>2284</v>
      </c>
      <c r="C105" s="742">
        <f ca="1">I118</f>
        <v>9749</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0</v>
      </c>
      <c r="I106" s="138"/>
    </row>
    <row r="107" spans="1:35" ht="18.75" customHeight="1">
      <c r="A107" s="138"/>
      <c r="B107" s="138"/>
      <c r="C107" s="138"/>
      <c r="D107" s="138"/>
      <c r="E107" s="3101" t="str">
        <f>IF(项目基本情况!E8="已注销","——","3.房地产抵押价值")</f>
        <v>3.房地产抵押价值</v>
      </c>
      <c r="F107" s="3102"/>
      <c r="G107" s="2511" t="s">
        <v>2282</v>
      </c>
      <c r="H107" s="1042">
        <f ca="1">IF(E107="——","——",H101-H103)</f>
        <v>31319</v>
      </c>
      <c r="I107" s="138"/>
    </row>
    <row r="108" spans="1:35" ht="18.75" customHeight="1" thickBot="1">
      <c r="A108" s="138"/>
      <c r="B108" s="138"/>
      <c r="C108" s="138"/>
      <c r="D108" s="138"/>
      <c r="E108" s="3101"/>
      <c r="F108" s="3102"/>
      <c r="G108" s="2511" t="s">
        <v>2284</v>
      </c>
      <c r="H108" s="371">
        <f ca="1">ROUND(H107*10000/'数据-汇总表'!E3,0)</f>
        <v>9749</v>
      </c>
      <c r="I108" s="138"/>
    </row>
    <row r="109" spans="1:35" ht="18.75" hidden="1"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1" t="s">
        <v>2282</v>
      </c>
      <c r="H109" s="348" t="str">
        <f>IF(E109="——","——",H101-H105-H106)</f>
        <v>——</v>
      </c>
      <c r="I109" s="138"/>
    </row>
    <row r="110" spans="1:35" ht="18.75" hidden="1" customHeight="1">
      <c r="A110" s="138"/>
      <c r="B110" s="138"/>
      <c r="C110" s="138"/>
      <c r="D110" s="138"/>
      <c r="E110" s="3101"/>
      <c r="F110" s="3102"/>
      <c r="G110" s="2511" t="s">
        <v>2284</v>
      </c>
      <c r="H110" s="371" t="str">
        <f>IF(H109="——","——",ROUND(H109*10000/'数据-汇总表'!E3,0))</f>
        <v>——</v>
      </c>
      <c r="I110" s="138"/>
    </row>
    <row r="111" spans="1:35" ht="18.75" hidden="1" customHeight="1">
      <c r="A111" s="138"/>
      <c r="B111" s="138"/>
      <c r="C111" s="138"/>
      <c r="D111" s="138"/>
      <c r="E111" s="3136" t="str">
        <f>IF(项目基本情况!E9="抵押净值",IF(OR(项目基本情况!E8="已注销",项目基本情况!E8="房地产抵押价值"),"4.抵押净值","5.抵押净值"),"——")</f>
        <v>——</v>
      </c>
      <c r="F111" s="3137"/>
      <c r="G111" s="2511" t="s">
        <v>2282</v>
      </c>
      <c r="H111" s="1042" t="str">
        <f>IF(E111="——","——",N59)</f>
        <v>——</v>
      </c>
      <c r="I111" s="138"/>
    </row>
    <row r="112" spans="1:35" ht="18.75" hidden="1" customHeight="1" thickBot="1">
      <c r="A112" s="138"/>
      <c r="B112" s="138"/>
      <c r="C112" s="138"/>
      <c r="D112" s="138"/>
      <c r="E112" s="3138"/>
      <c r="F112" s="3139"/>
      <c r="G112" s="2516" t="s">
        <v>2284</v>
      </c>
      <c r="H112" s="790" t="str">
        <f>IF(E111="——","——",N61)</f>
        <v>——</v>
      </c>
      <c r="I112" s="138"/>
    </row>
    <row r="113" spans="1:11" ht="18.75" customHeight="1">
      <c r="A113" s="138"/>
      <c r="B113" s="138"/>
      <c r="C113" s="138"/>
      <c r="D113" s="138"/>
      <c r="E113" s="3106" t="s">
        <v>2290</v>
      </c>
      <c r="F113" s="3106"/>
      <c r="G113" s="3106"/>
      <c r="H113" s="3106"/>
      <c r="I113" s="138"/>
    </row>
    <row r="114" spans="1:11" ht="3.75" customHeight="1">
      <c r="A114" s="2409"/>
      <c r="B114" s="2409"/>
      <c r="C114" s="2409"/>
      <c r="D114" s="2409"/>
      <c r="E114" s="2487"/>
      <c r="F114" s="2487"/>
      <c r="G114" s="2487"/>
      <c r="H114" s="2487"/>
      <c r="I114" s="2409"/>
    </row>
    <row r="115" spans="1:11" ht="18.75" customHeight="1">
      <c r="A115" s="3119" t="s">
        <v>2292</v>
      </c>
      <c r="B115" s="3120"/>
      <c r="C115" s="3120"/>
      <c r="D115" s="3120"/>
      <c r="E115" s="3120"/>
      <c r="F115" s="3120"/>
      <c r="G115" s="3120"/>
      <c r="H115" s="3120"/>
      <c r="I115" s="3121"/>
    </row>
    <row r="116" spans="1:11" ht="27" customHeight="1">
      <c r="A116" s="3012" t="s">
        <v>2293</v>
      </c>
      <c r="B116" s="3107" t="s">
        <v>3146</v>
      </c>
      <c r="C116" s="3107" t="s">
        <v>3145</v>
      </c>
      <c r="D116" s="3123" t="s">
        <v>2294</v>
      </c>
      <c r="E116" s="3124"/>
      <c r="F116" s="3115" t="s">
        <v>2295</v>
      </c>
      <c r="G116" s="3115"/>
      <c r="H116" s="3012" t="s">
        <v>2296</v>
      </c>
      <c r="I116" s="3012"/>
    </row>
    <row r="117" spans="1:11" ht="18.75" customHeight="1">
      <c r="A117" s="3012"/>
      <c r="B117" s="3108"/>
      <c r="C117" s="3108"/>
      <c r="D117" s="1790" t="s">
        <v>2297</v>
      </c>
      <c r="E117" s="1790" t="s">
        <v>2298</v>
      </c>
      <c r="F117" s="1790" t="s">
        <v>2297</v>
      </c>
      <c r="G117" s="1790" t="s">
        <v>2299</v>
      </c>
      <c r="H117" s="1790" t="s">
        <v>2297</v>
      </c>
      <c r="I117" s="1790" t="s">
        <v>2299</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14720</v>
      </c>
      <c r="E118" s="1790">
        <f ca="1">ROUND(IF(C33="自定义",IF(D32="楼面单价",C34,D118*10000/B118),I118-G118),0)</f>
        <v>4582</v>
      </c>
      <c r="F118" s="1790">
        <f ca="1">ROUND(IF(D32="总价",C35,G118*B118/10000),0)</f>
        <v>16599</v>
      </c>
      <c r="G118" s="1790">
        <f ca="1">ROUND(IF(D32="楼面单价",C35,F118*10000/B118),0)</f>
        <v>5167</v>
      </c>
      <c r="H118" s="1790">
        <f ca="1">ROUND(IF(D32="总价",C32,I118*B118/10000),0)</f>
        <v>31319</v>
      </c>
      <c r="I118" s="1790">
        <f ca="1">ROUND(IF(D32="楼面单价",C32,H118*10000/B118),0)</f>
        <v>9749</v>
      </c>
    </row>
    <row r="119" spans="1:11" ht="18.75" customHeight="1">
      <c r="A119" s="3012" t="s">
        <v>2300</v>
      </c>
      <c r="B119" s="3012"/>
      <c r="C119" s="3012"/>
      <c r="D119" s="3112" t="str">
        <f ca="1">NUMBERSTRING(INT(D118*10000),2)&amp;"元整"</f>
        <v>壹亿肆仟柒佰贰拾万元整</v>
      </c>
      <c r="E119" s="3114"/>
      <c r="F119" s="3112" t="str">
        <f ca="1">NUMBERSTRING(INT(F118*10000),2)&amp;"元整"</f>
        <v>壹亿陆仟伍佰玖拾玖万元整</v>
      </c>
      <c r="G119" s="3114"/>
      <c r="H119" s="3112" t="str">
        <f ca="1">NUMBERSTRING(INT(H118*10000),2)&amp;"元整"</f>
        <v>叁亿壹仟叁佰壹拾玖万元整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4" t="str">
        <f>IF(D120=0,"故，本次评估不存在"&amp;A120,"故，本次评估"&amp;A120&amp;"为人民币"&amp;D120&amp;"万元整。")</f>
        <v>故，本次评估不存在估价师知悉的法定优先受偿款</v>
      </c>
    </row>
    <row r="121" spans="1:11" ht="18.75" customHeight="1">
      <c r="A121" s="3116" t="s">
        <v>2300</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31319</v>
      </c>
      <c r="E122" s="3141"/>
      <c r="F122" s="3141"/>
      <c r="G122" s="3141"/>
      <c r="H122" s="3141"/>
      <c r="I122" s="3142"/>
    </row>
    <row r="123" spans="1:11" ht="18.75" customHeight="1">
      <c r="A123" s="3012" t="s">
        <v>2300</v>
      </c>
      <c r="B123" s="3012"/>
      <c r="C123" s="3012"/>
      <c r="D123" s="3112" t="str">
        <f ca="1">NUMBERSTRING(INT(D122*10000),2)&amp;"元整"</f>
        <v>叁亿壹仟叁佰壹拾玖万元整</v>
      </c>
      <c r="E123" s="3113"/>
      <c r="F123" s="3113"/>
      <c r="G123" s="3113"/>
      <c r="H123" s="3113"/>
      <c r="I123" s="3114"/>
    </row>
    <row r="124" spans="1:11" ht="18.75" hidden="1" customHeight="1">
      <c r="A124" s="3103" t="str">
        <f>IF(项目基本情况!B9="房地产市场价值","",MID(E109,3,LEN(E109)-2))</f>
        <v/>
      </c>
      <c r="B124" s="3103"/>
      <c r="C124" s="3103"/>
      <c r="D124" s="3140" t="str">
        <f>H109</f>
        <v>——</v>
      </c>
      <c r="E124" s="3141"/>
      <c r="F124" s="3141"/>
      <c r="G124" s="3141"/>
      <c r="H124" s="3141"/>
      <c r="I124" s="3142"/>
    </row>
    <row r="125" spans="1:11" ht="18.75" hidden="1" customHeight="1">
      <c r="A125" s="3012" t="s">
        <v>2300</v>
      </c>
      <c r="B125" s="3012"/>
      <c r="C125" s="3012"/>
      <c r="D125" s="3112" t="e">
        <f>NUMBERSTRING(INT(D124*10000),2)&amp;"元整"</f>
        <v>#VALUE!</v>
      </c>
      <c r="E125" s="3113"/>
      <c r="F125" s="3113"/>
      <c r="G125" s="3113"/>
      <c r="H125" s="3113"/>
      <c r="I125" s="3114"/>
    </row>
    <row r="126" spans="1:11" ht="18.75" hidden="1" customHeight="1">
      <c r="A126" s="3103" t="str">
        <f>IF(项目基本情况!B9="房地产市场价值","",MID(E111,3,LEN(E111)-2))</f>
        <v/>
      </c>
      <c r="B126" s="3103"/>
      <c r="C126" s="3103"/>
      <c r="D126" s="3140" t="str">
        <f>H111</f>
        <v>——</v>
      </c>
      <c r="E126" s="3141"/>
      <c r="F126" s="3141"/>
      <c r="G126" s="3141"/>
      <c r="H126" s="3141"/>
      <c r="I126" s="3142"/>
    </row>
    <row r="127" spans="1:11" ht="18.75" hidden="1" customHeight="1">
      <c r="A127" s="3012" t="s">
        <v>2300</v>
      </c>
      <c r="B127" s="3012"/>
      <c r="C127" s="3012"/>
      <c r="D127" s="3112" t="e">
        <f>NUMBERSTRING(INT(D126*10000),2)&amp;"元整"</f>
        <v>#VALUE!</v>
      </c>
      <c r="E127" s="3113"/>
      <c r="F127" s="3113"/>
      <c r="G127" s="3113"/>
      <c r="H127" s="3113"/>
      <c r="I127" s="3114"/>
    </row>
    <row r="128" spans="1:11" ht="21.75" customHeight="1">
      <c r="A128" s="3122" t="s">
        <v>2301</v>
      </c>
      <c r="B128" s="3122"/>
      <c r="C128" s="3122"/>
      <c r="D128" s="3122"/>
      <c r="E128" s="3122"/>
      <c r="F128" s="3122"/>
      <c r="G128" s="3122"/>
      <c r="H128" s="3122"/>
      <c r="I128" s="3122"/>
    </row>
    <row r="129" spans="1:35" ht="21.75" customHeight="1">
      <c r="A129" s="2518" t="s">
        <v>2302</v>
      </c>
      <c r="B129" s="2519"/>
      <c r="C129" s="2520" t="s">
        <v>2303</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2304</v>
      </c>
      <c r="G135" s="2535"/>
      <c r="H135" s="2535"/>
      <c r="I135" s="2536" t="s">
        <v>2305</v>
      </c>
    </row>
    <row r="136" spans="1:35" ht="21.75" customHeight="1">
      <c r="A136" s="795"/>
      <c r="B136" s="2537"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2307</v>
      </c>
    </row>
    <row r="139" spans="1:35" ht="21.75" customHeight="1">
      <c r="A139" s="795"/>
      <c r="B139" s="2537" t="s">
        <v>2308</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2307</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68" t="str">
        <f>项目基本情况!B1</f>
        <v>江苏省镇江市京口区镇江新区大港镇通港路东房地产抵押价值预评估</v>
      </c>
      <c r="C37" s="2968"/>
      <c r="D37" s="2968"/>
      <c r="E37" s="2968"/>
      <c r="F37" s="2968"/>
      <c r="G37" s="2968"/>
      <c r="H37" s="2968"/>
      <c r="I37" s="2968"/>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8" sqref="E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32"/>
      <c r="C1" s="242"/>
      <c r="D1" s="242"/>
      <c r="E1" s="242"/>
      <c r="F1" s="242"/>
      <c r="G1" s="1376">
        <f>MATCH(B1,'数据-取费表'!A6:A16,0)+5</f>
        <v>7</v>
      </c>
    </row>
    <row r="2" spans="1:9" s="244" customFormat="1" ht="18" customHeight="1">
      <c r="A2" s="245" t="s">
        <v>2310</v>
      </c>
      <c r="B2" s="246">
        <f ca="1">IF(D2="——",C52,C52-E2)</f>
        <v>34448</v>
      </c>
      <c r="C2" s="243" t="s">
        <v>2311</v>
      </c>
      <c r="D2" s="2540" t="s">
        <v>70</v>
      </c>
      <c r="E2" s="1437" t="e">
        <f ca="1">SUMIF(INDIRECT("'"&amp;G2&amp;"'"&amp;"!A:A"),"承租人权益价值",INDIRECT("'"&amp;G2&amp;"'"&amp;"!c:c"))</f>
        <v>#REF!</v>
      </c>
      <c r="F2" s="2541" t="s">
        <v>2311</v>
      </c>
      <c r="G2" s="2542"/>
    </row>
    <row r="3" spans="1:9" s="244" customFormat="1" ht="18" customHeight="1" thickBot="1">
      <c r="A3" s="247" t="s">
        <v>2312</v>
      </c>
      <c r="B3" s="248">
        <f ca="1">ROUND(B2*10000/(IF(B1="",'数据-汇总表'!E3,INDIRECT("'数据-取费表'!k"&amp;$G$1))),0)</f>
        <v>10723</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f>C6+C7+C8</f>
        <v>13003</v>
      </c>
      <c r="D5" s="255" t="s">
        <v>2317</v>
      </c>
      <c r="E5" s="256" t="s">
        <v>2318</v>
      </c>
      <c r="F5" s="256" t="s">
        <v>2319</v>
      </c>
      <c r="G5" s="257"/>
    </row>
    <row r="6" spans="1:9" s="258" customFormat="1" ht="13.5" customHeight="1">
      <c r="A6" s="946" t="s">
        <v>2320</v>
      </c>
      <c r="B6" s="259" t="s">
        <v>2321</v>
      </c>
      <c r="C6" s="260">
        <f>'土地比较法-住宅、综合'!F56</f>
        <v>12291</v>
      </c>
      <c r="D6" s="261"/>
      <c r="E6" s="262"/>
      <c r="F6" s="262"/>
      <c r="G6" s="263"/>
    </row>
    <row r="7" spans="1:9" s="258" customFormat="1" ht="13.5" customHeight="1">
      <c r="A7" s="946" t="s">
        <v>2322</v>
      </c>
      <c r="B7" s="259" t="s">
        <v>2323</v>
      </c>
      <c r="C7" s="264">
        <f>ROUND(C6*F7,0)</f>
        <v>375</v>
      </c>
      <c r="D7" s="264"/>
      <c r="E7" s="262"/>
      <c r="F7" s="265">
        <f>'数据-取费表'!B48+'数据-取费表'!B49</f>
        <v>3.0499999999999999E-2</v>
      </c>
      <c r="G7" s="263"/>
    </row>
    <row r="8" spans="1:9" s="267" customFormat="1">
      <c r="A8" s="946" t="s">
        <v>2324</v>
      </c>
      <c r="B8" s="259" t="s">
        <v>2325</v>
      </c>
      <c r="C8" s="264">
        <f>IF(G8="已包含在土地购买价格中","0",IF(B1="",'数据-取费表'!B29,IF(G9="全部缴纳",C9+C10,H9)))</f>
        <v>337</v>
      </c>
      <c r="D8" s="266"/>
      <c r="E8" s="264"/>
      <c r="F8" s="265"/>
      <c r="G8" s="2543" t="s">
        <v>3071</v>
      </c>
    </row>
    <row r="9" spans="1:9" s="258" customFormat="1" ht="13.5" customHeight="1">
      <c r="A9" s="947" t="s">
        <v>800</v>
      </c>
      <c r="B9" s="268" t="s">
        <v>2326</v>
      </c>
      <c r="C9" s="269">
        <f ca="1">ROUND(D9*E9/10000,0)</f>
        <v>0</v>
      </c>
      <c r="D9" s="1029">
        <f ca="1">IF(B1="",'数据-汇总表'!E5,IF(INDIRECT("'数据-取费表'!c"&amp;$G$1)="住宅",INDIRECT("'数据-取费表'!k"&amp;$G$1),0))</f>
        <v>0</v>
      </c>
      <c r="E9" s="269">
        <f>'数据-取费表'!B27</f>
        <v>105</v>
      </c>
      <c r="F9" s="265"/>
      <c r="G9" s="2544"/>
      <c r="H9" s="1387"/>
      <c r="I9" s="2545" t="s">
        <v>2327</v>
      </c>
    </row>
    <row r="10" spans="1:9" s="258" customFormat="1" ht="13.5" customHeight="1">
      <c r="A10" s="947" t="s">
        <v>801</v>
      </c>
      <c r="B10" s="268" t="s">
        <v>2328</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2329</v>
      </c>
      <c r="C11" s="255"/>
      <c r="D11" s="1031"/>
      <c r="E11" s="262"/>
      <c r="F11" s="262"/>
      <c r="G11" s="263"/>
    </row>
    <row r="12" spans="1:9" s="258" customFormat="1" ht="13.5" hidden="1" customHeight="1">
      <c r="A12" s="271" t="s">
        <v>8</v>
      </c>
      <c r="B12" s="259" t="s">
        <v>2330</v>
      </c>
      <c r="C12" s="255">
        <v>0</v>
      </c>
      <c r="D12" s="1031"/>
      <c r="E12" s="272"/>
      <c r="F12" s="265">
        <v>3.0499999999999999E-2</v>
      </c>
      <c r="G12" s="263"/>
    </row>
    <row r="13" spans="1:9" s="258" customFormat="1" ht="13.5" hidden="1" customHeight="1">
      <c r="A13" s="271" t="s">
        <v>9</v>
      </c>
      <c r="B13" s="259" t="s">
        <v>2331</v>
      </c>
      <c r="C13" s="255"/>
      <c r="D13" s="1031"/>
      <c r="E13" s="262"/>
      <c r="F13" s="262"/>
      <c r="G13" s="263"/>
    </row>
    <row r="14" spans="1:9" s="258" customFormat="1" ht="13.5" hidden="1" customHeight="1">
      <c r="A14" s="271" t="s">
        <v>10</v>
      </c>
      <c r="B14" s="259" t="s">
        <v>2332</v>
      </c>
      <c r="C14" s="255"/>
      <c r="D14" s="1031"/>
      <c r="E14" s="262"/>
      <c r="F14" s="262"/>
      <c r="G14" s="263" t="s">
        <v>2333</v>
      </c>
    </row>
    <row r="15" spans="1:9" s="258" customFormat="1" ht="13.5" hidden="1" customHeight="1">
      <c r="A15" s="271" t="s">
        <v>11</v>
      </c>
      <c r="B15" s="259" t="s">
        <v>2334</v>
      </c>
      <c r="C15" s="264"/>
      <c r="D15" s="1031"/>
      <c r="E15" s="262"/>
      <c r="F15" s="262"/>
      <c r="G15" s="263" t="s">
        <v>2335</v>
      </c>
    </row>
    <row r="16" spans="1:9" s="258" customFormat="1" ht="13.5" hidden="1" customHeight="1">
      <c r="A16" s="271" t="s">
        <v>12</v>
      </c>
      <c r="B16" s="259" t="s">
        <v>2332</v>
      </c>
      <c r="C16" s="264"/>
      <c r="D16" s="1031"/>
      <c r="E16" s="262"/>
      <c r="F16" s="262"/>
      <c r="G16" s="263"/>
    </row>
    <row r="17" spans="1:7" s="258" customFormat="1" ht="13.5" hidden="1" customHeight="1">
      <c r="A17" s="271" t="s">
        <v>13</v>
      </c>
      <c r="B17" s="259" t="s">
        <v>2336</v>
      </c>
      <c r="C17" s="273"/>
      <c r="D17" s="1032"/>
      <c r="E17" s="273"/>
      <c r="F17" s="273"/>
      <c r="G17" s="263" t="s">
        <v>2335</v>
      </c>
    </row>
    <row r="18" spans="1:7" s="258" customFormat="1" ht="13.5" hidden="1" customHeight="1">
      <c r="A18" s="271" t="s">
        <v>14</v>
      </c>
      <c r="B18" s="259" t="s">
        <v>2337</v>
      </c>
      <c r="C18" s="264">
        <v>0</v>
      </c>
      <c r="D18" s="1031"/>
      <c r="E18" s="262"/>
      <c r="F18" s="265">
        <v>3.0499999999999999E-2</v>
      </c>
      <c r="G18" s="263" t="s">
        <v>2338</v>
      </c>
    </row>
    <row r="19" spans="1:7" s="267" customFormat="1" ht="13.5" customHeight="1">
      <c r="A19" s="299" t="s">
        <v>2339</v>
      </c>
      <c r="B19" s="254" t="s">
        <v>2340</v>
      </c>
      <c r="C19" s="255" t="str">
        <f>IF(G19="已包含在土地取得成本中","0",ROUND(D19*E19/10000,0))</f>
        <v>0</v>
      </c>
      <c r="D19" s="1033">
        <f ca="1">D9+D10</f>
        <v>32125.14</v>
      </c>
      <c r="E19" s="255">
        <f>'数据-取费表'!B31</f>
        <v>200</v>
      </c>
      <c r="F19" s="275"/>
      <c r="G19" s="2543" t="s">
        <v>3072</v>
      </c>
    </row>
    <row r="20" spans="1:7" s="258" customFormat="1" ht="13.5" customHeight="1">
      <c r="A20" s="299" t="s">
        <v>2341</v>
      </c>
      <c r="B20" s="254" t="s">
        <v>2342</v>
      </c>
      <c r="C20" s="276">
        <f>ROUND((C5+C19)*F20,0)</f>
        <v>325</v>
      </c>
      <c r="D20" s="276"/>
      <c r="E20" s="276"/>
      <c r="F20" s="277">
        <f>'数据-取费表'!B37</f>
        <v>2.5000000000000001E-2</v>
      </c>
      <c r="G20" s="278" t="s">
        <v>2343</v>
      </c>
    </row>
    <row r="21" spans="1:7" s="258" customFormat="1" ht="13.5" customHeight="1">
      <c r="A21" s="299" t="s">
        <v>2344</v>
      </c>
      <c r="B21" s="254" t="s">
        <v>2345</v>
      </c>
      <c r="C21" s="279">
        <f>F21</f>
        <v>2.5000000000000001E-2</v>
      </c>
      <c r="D21" s="280" t="s">
        <v>2346</v>
      </c>
      <c r="E21" s="276"/>
      <c r="F21" s="277">
        <f>'数据-取费表'!B38</f>
        <v>2.5000000000000001E-2</v>
      </c>
      <c r="G21" s="278" t="s">
        <v>2347</v>
      </c>
    </row>
    <row r="22" spans="1:7" s="258" customFormat="1" ht="13.5" customHeight="1">
      <c r="A22" s="299" t="s">
        <v>2348</v>
      </c>
      <c r="B22" s="254" t="s">
        <v>2349</v>
      </c>
      <c r="C22" s="1351">
        <f ca="1">ROUND(SUM(C23:C25),0)</f>
        <v>1280</v>
      </c>
      <c r="D22" s="279">
        <f ca="1">C26</f>
        <v>1.1999999999999999E-3</v>
      </c>
      <c r="E22" s="280" t="s">
        <v>2346</v>
      </c>
      <c r="F22" s="281">
        <f ca="1">'数据-取费表'!B40</f>
        <v>4.7500000000000001E-2</v>
      </c>
      <c r="G22" s="278" t="str">
        <f>IF('数据-取费表'!B22&lt;=1,"单利计息","复利计息")</f>
        <v>复利计息</v>
      </c>
    </row>
    <row r="23" spans="1:7" s="258" customFormat="1" ht="13.5" customHeight="1">
      <c r="A23" s="948" t="s">
        <v>2350</v>
      </c>
      <c r="B23" s="259" t="s">
        <v>2351</v>
      </c>
      <c r="C23" s="1352">
        <f ca="1">ROUND(IF('数据-取费表'!B22&lt;=1,C5*F22*'数据-取费表'!B23,C5*(POWER((1+F22),'数据-取费表'!B23)-1)),0)</f>
        <v>1265</v>
      </c>
      <c r="D23" s="282"/>
      <c r="E23" s="282"/>
      <c r="F23" s="283"/>
      <c r="G23" s="284" t="s">
        <v>2352</v>
      </c>
    </row>
    <row r="24" spans="1:7" s="258" customFormat="1" ht="13.5" customHeight="1">
      <c r="A24" s="948" t="s">
        <v>2353</v>
      </c>
      <c r="B24" s="259" t="s">
        <v>2354</v>
      </c>
      <c r="C24" s="1352">
        <f ca="1">ROUND(IF('数据-取费表'!B22&lt;=1,C19*F22*('数据-取费表'!B19/2+'数据-取费表'!B21),C19*(POWER((1+F22),('数据-取费表'!B19/2+'数据-取费表'!B21))-1)),0)</f>
        <v>0</v>
      </c>
      <c r="D24" s="282"/>
      <c r="E24" s="282"/>
      <c r="F24" s="283"/>
      <c r="G24" s="284" t="s">
        <v>2355</v>
      </c>
    </row>
    <row r="25" spans="1:7" s="258" customFormat="1" ht="24">
      <c r="A25" s="948" t="s">
        <v>2356</v>
      </c>
      <c r="B25" s="259" t="s">
        <v>2357</v>
      </c>
      <c r="C25" s="1352">
        <f ca="1">ROUND(IF('数据-取费表'!B22&lt;=1,C20*F22*'数据-取费表'!B23/2,C20*(POWER((1+F22),'数据-取费表'!B23/2)-1)),0)</f>
        <v>15</v>
      </c>
      <c r="D25" s="282"/>
      <c r="E25" s="285"/>
      <c r="F25" s="283"/>
      <c r="G25" s="286" t="s">
        <v>2358</v>
      </c>
    </row>
    <row r="26" spans="1:7" s="258" customFormat="1">
      <c r="A26" s="948" t="s">
        <v>795</v>
      </c>
      <c r="B26" s="259" t="s">
        <v>2359</v>
      </c>
      <c r="C26" s="282">
        <f ca="1">ROUND(IF('数据-取费表'!B22&lt;=1,F21*F22*'数据-取费表'!B23/2,F21*(POWER((1+F22),'数据-取费表'!B23/2)-1)),4)</f>
        <v>1.1999999999999999E-3</v>
      </c>
      <c r="D26" s="282"/>
      <c r="E26" s="285"/>
      <c r="F26" s="283"/>
      <c r="G26" s="287"/>
    </row>
    <row r="27" spans="1:7" s="258" customFormat="1" ht="26.4">
      <c r="A27" s="299" t="s">
        <v>2360</v>
      </c>
      <c r="B27" s="288" t="s">
        <v>2361</v>
      </c>
      <c r="C27" s="289">
        <f ca="1">C28</f>
        <v>2666</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ROUND((C5+C19+C20)*F27*'数据-取费表'!B21/'数据-取费表'!B20,0)</f>
        <v>2666</v>
      </c>
      <c r="D28" s="279"/>
      <c r="E28" s="280"/>
      <c r="F28" s="290"/>
      <c r="G28" s="291"/>
    </row>
    <row r="29" spans="1:7" s="258" customFormat="1" ht="13.5" customHeight="1">
      <c r="A29" s="948" t="s">
        <v>792</v>
      </c>
      <c r="B29" s="292" t="s">
        <v>2365</v>
      </c>
      <c r="C29" s="282">
        <f ca="1">ROUND(C21*F27*'数据-取费表'!B21/'数据-取费表'!B20,4)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18868</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f ca="1">SUM(C34:C38)</f>
        <v>12393</v>
      </c>
      <c r="D33" s="276"/>
      <c r="E33" s="256"/>
      <c r="F33" s="285"/>
      <c r="G33" s="278"/>
    </row>
    <row r="34" spans="1:7" s="302" customFormat="1" ht="13.5" customHeight="1">
      <c r="A34" s="948" t="s">
        <v>791</v>
      </c>
      <c r="B34" s="259" t="s">
        <v>2373</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2374</v>
      </c>
    </row>
    <row r="35" spans="1:7" ht="13.5" customHeight="1">
      <c r="A35" s="948" t="s">
        <v>796</v>
      </c>
      <c r="B35" s="259" t="s">
        <v>2375</v>
      </c>
      <c r="C35" s="264">
        <f ca="1">ROUND(C34*F35,0)</f>
        <v>337</v>
      </c>
      <c r="D35" s="264"/>
      <c r="E35" s="264"/>
      <c r="F35" s="303">
        <f>'数据-取费表'!B33</f>
        <v>0.03</v>
      </c>
      <c r="G35" s="263" t="s">
        <v>2376</v>
      </c>
    </row>
    <row r="36" spans="1:7" ht="24">
      <c r="A36" s="948"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48" t="s">
        <v>798</v>
      </c>
      <c r="B37" s="259" t="s">
        <v>2379</v>
      </c>
      <c r="C37" s="293">
        <f ca="1">ROUND(E37*D37*F34/10000,0)</f>
        <v>643</v>
      </c>
      <c r="D37" s="261">
        <f ca="1">D19</f>
        <v>32125.14</v>
      </c>
      <c r="E37" s="293">
        <f>'数据-取费表'!B35</f>
        <v>200</v>
      </c>
      <c r="F37" s="303"/>
      <c r="G37" s="305" t="s">
        <v>2380</v>
      </c>
    </row>
    <row r="38" spans="1:7" ht="13.5" customHeight="1">
      <c r="A38" s="948" t="s">
        <v>799</v>
      </c>
      <c r="B38" s="259" t="s">
        <v>2381</v>
      </c>
      <c r="C38" s="264">
        <f ca="1">ROUND(C34*F38,0)</f>
        <v>169</v>
      </c>
      <c r="D38" s="264"/>
      <c r="E38" s="264"/>
      <c r="F38" s="303">
        <f>'数据-取费表'!B36</f>
        <v>1.4999999999999999E-2</v>
      </c>
      <c r="G38" s="263" t="s">
        <v>2376</v>
      </c>
    </row>
    <row r="39" spans="1:7" s="258" customFormat="1" ht="13.5" customHeight="1">
      <c r="A39" s="299" t="s">
        <v>2382</v>
      </c>
      <c r="B39" s="254" t="s">
        <v>2383</v>
      </c>
      <c r="C39" s="276">
        <f ca="1">ROUND(C33*F20,0)</f>
        <v>310</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604</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ROUND(IF('数据-取费表'!B22&lt;=1,C33*F22*'数据-取费表'!B21/2,C33*(POWER((1+F22),'数据-取费表'!B21/2)-1)),0)</f>
        <v>589</v>
      </c>
      <c r="D42" s="282"/>
      <c r="E42" s="282"/>
      <c r="F42" s="283"/>
      <c r="G42" s="3154" t="s">
        <v>2392</v>
      </c>
    </row>
    <row r="43" spans="1:7" ht="13.5" customHeight="1">
      <c r="A43" s="948" t="s">
        <v>792</v>
      </c>
      <c r="B43" s="259" t="s">
        <v>2393</v>
      </c>
      <c r="C43" s="282">
        <f ca="1">ROUND(IF('数据-取费表'!B22&lt;=1,C39*F22*'数据-取费表'!B21/2,C39*(POWER((1+F22),'数据-取费表'!B21/2)-1)),0)</f>
        <v>15</v>
      </c>
      <c r="D43" s="282"/>
      <c r="E43" s="282"/>
      <c r="F43" s="283"/>
      <c r="G43" s="3155"/>
    </row>
    <row r="44" spans="1:7" ht="13.5" customHeight="1">
      <c r="A44" s="948" t="s">
        <v>793</v>
      </c>
      <c r="B44" s="259" t="s">
        <v>2394</v>
      </c>
      <c r="C44" s="282">
        <f ca="1">ROUND(IF('数据-取费表'!B22&lt;=1,C40*F22*'数据-取费表'!B21/2,C40*(POWER((1+F22),'数据-取费表'!B21/2)-1)),4)</f>
        <v>1.1999999999999999E-3</v>
      </c>
      <c r="D44" s="282"/>
      <c r="E44" s="282"/>
      <c r="F44" s="283"/>
      <c r="G44" s="3156"/>
    </row>
    <row r="45" spans="1:7" s="258" customFormat="1" ht="13.5" customHeight="1">
      <c r="A45" s="299" t="s">
        <v>2395</v>
      </c>
      <c r="B45" s="288" t="s">
        <v>2361</v>
      </c>
      <c r="C45" s="289">
        <f ca="1">C46</f>
        <v>2541</v>
      </c>
      <c r="D45" s="279">
        <f ca="1">C47</f>
        <v>5.0000000000000001E-3</v>
      </c>
      <c r="E45" s="280" t="s">
        <v>2387</v>
      </c>
      <c r="F45" s="290"/>
      <c r="G45" s="291" t="s">
        <v>2396</v>
      </c>
    </row>
    <row r="46" spans="1:7" s="258" customFormat="1" ht="13.5" customHeight="1">
      <c r="A46" s="948" t="s">
        <v>791</v>
      </c>
      <c r="B46" s="292" t="s">
        <v>2397</v>
      </c>
      <c r="C46" s="293">
        <f ca="1">ROUND((C33+C39)*F27,0)</f>
        <v>2541</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1723">
        <f>ROUND(F30/(1+'数据-取费表'!C42),4)</f>
        <v>5.33E-2</v>
      </c>
      <c r="D48" s="280" t="s">
        <v>2387</v>
      </c>
      <c r="E48" s="276"/>
      <c r="F48" s="281"/>
      <c r="G48" s="278" t="s">
        <v>2400</v>
      </c>
    </row>
    <row r="49" spans="1:7" ht="16.5" customHeight="1">
      <c r="A49" s="299" t="s">
        <v>2366</v>
      </c>
      <c r="B49" s="254" t="s">
        <v>2401</v>
      </c>
      <c r="C49" s="276">
        <f ca="1">ROUND((C33+C39+C41+C45)/(1-C40-D41-D45-C48),0)</f>
        <v>17311</v>
      </c>
      <c r="D49" s="276"/>
      <c r="E49" s="276"/>
      <c r="F49" s="308"/>
      <c r="G49" s="278" t="s">
        <v>2402</v>
      </c>
    </row>
    <row r="50" spans="1:7" s="302" customFormat="1" ht="24">
      <c r="A50" s="299" t="s">
        <v>2403</v>
      </c>
      <c r="B50" s="254" t="s">
        <v>2404</v>
      </c>
      <c r="C50" s="276"/>
      <c r="D50" s="276"/>
      <c r="E50" s="276"/>
      <c r="F50" s="308">
        <f>IF('数据-取费表'!B24=0,'数据-取费表'!N16,1)</f>
        <v>0.9</v>
      </c>
      <c r="G50" s="291" t="s">
        <v>2405</v>
      </c>
    </row>
    <row r="51" spans="1:7" ht="16.5" customHeight="1">
      <c r="A51" s="299" t="s">
        <v>2406</v>
      </c>
      <c r="B51" s="254" t="s">
        <v>2407</v>
      </c>
      <c r="C51" s="276">
        <f ca="1">ROUND(C49*F50,0)</f>
        <v>15580</v>
      </c>
      <c r="D51" s="276"/>
      <c r="E51" s="276"/>
      <c r="F51" s="308"/>
      <c r="G51" s="278" t="s">
        <v>2408</v>
      </c>
    </row>
    <row r="52" spans="1:7" s="252" customFormat="1" ht="16.8" thickBot="1">
      <c r="A52" s="309" t="s">
        <v>2409</v>
      </c>
      <c r="B52" s="310"/>
      <c r="C52" s="311">
        <f ca="1">C31+C51</f>
        <v>34448</v>
      </c>
      <c r="D52" s="310"/>
      <c r="E52" s="310"/>
      <c r="F52" s="310"/>
      <c r="G52" s="312"/>
    </row>
    <row r="55" spans="1:7" ht="15">
      <c r="B55" s="314" t="s">
        <v>2410</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2309</v>
      </c>
      <c r="B1" s="1932"/>
      <c r="C1" s="2546" t="s">
        <v>2411</v>
      </c>
      <c r="D1" s="242"/>
      <c r="E1" s="242"/>
      <c r="F1" s="242"/>
      <c r="G1" s="1376">
        <f>MATCH(B1,'数据-取费表'!A6:A16,0)+5</f>
        <v>7</v>
      </c>
      <c r="H1" s="1279" t="str">
        <f>IF(ISERROR(FIND("住宅",B1)),"非住宅","住宅")</f>
        <v>非住宅</v>
      </c>
    </row>
    <row r="2" spans="1:8" s="244" customFormat="1" ht="18" customHeight="1">
      <c r="A2" s="245" t="s">
        <v>2310</v>
      </c>
      <c r="B2" s="246">
        <f ca="1">ROUND(IF(D2="——",C52/10000,C52/10000-E2),0)</f>
        <v>16069</v>
      </c>
      <c r="C2" s="243" t="s">
        <v>2311</v>
      </c>
      <c r="D2" s="2540" t="s">
        <v>70</v>
      </c>
      <c r="E2" s="1437" t="e">
        <f ca="1">SUMIF(INDIRECT("'"&amp;G2&amp;"'"&amp;"!A:A"),"承租人权益价值",INDIRECT("'"&amp;G2&amp;"'"&amp;"!c:c"))</f>
        <v>#REF!</v>
      </c>
      <c r="F2" s="2541" t="s">
        <v>2311</v>
      </c>
      <c r="G2" s="2542"/>
    </row>
    <row r="3" spans="1:8" s="244" customFormat="1" ht="18" customHeight="1" thickBot="1">
      <c r="A3" s="247" t="s">
        <v>2312</v>
      </c>
      <c r="B3" s="248">
        <f ca="1">ROUND(B2*10000/(IF(B1="",'数据-汇总表'!E3,INDIRECT("'数据-取费表'!k"&amp;$G$1))),0)</f>
        <v>5002</v>
      </c>
      <c r="C3" s="243" t="s">
        <v>2313</v>
      </c>
      <c r="D3" s="243"/>
      <c r="E3" s="243"/>
      <c r="F3" s="243"/>
      <c r="G3" s="243"/>
    </row>
    <row r="4" spans="1:8" s="252" customFormat="1" ht="16.2">
      <c r="A4" s="249" t="s">
        <v>2314</v>
      </c>
      <c r="B4" s="250"/>
      <c r="C4" s="250"/>
      <c r="D4" s="250"/>
      <c r="E4" s="250"/>
      <c r="F4" s="250"/>
      <c r="G4" s="251"/>
    </row>
    <row r="5" spans="1:8" s="258" customFormat="1" ht="13.5" customHeight="1">
      <c r="A5" s="299" t="s">
        <v>2315</v>
      </c>
      <c r="B5" s="254" t="s">
        <v>2316</v>
      </c>
      <c r="C5" s="255">
        <f ca="1">C6+C7+C8</f>
        <v>3385806</v>
      </c>
      <c r="D5" s="255" t="s">
        <v>2317</v>
      </c>
      <c r="E5" s="256" t="s">
        <v>2318</v>
      </c>
      <c r="F5" s="256" t="s">
        <v>2319</v>
      </c>
      <c r="G5" s="257"/>
    </row>
    <row r="6" spans="1:8" s="258" customFormat="1" ht="13.5" customHeight="1">
      <c r="A6" s="946" t="s">
        <v>2320</v>
      </c>
      <c r="B6" s="259" t="s">
        <v>2321</v>
      </c>
      <c r="C6" s="260">
        <f>'土地比较法-住宅、综合'!F56</f>
        <v>12291</v>
      </c>
      <c r="D6" s="261"/>
      <c r="E6" s="262"/>
      <c r="F6" s="262"/>
      <c r="G6" s="263"/>
    </row>
    <row r="7" spans="1:8" s="258" customFormat="1" ht="13.5" customHeight="1">
      <c r="A7" s="946" t="s">
        <v>2322</v>
      </c>
      <c r="B7" s="259" t="s">
        <v>2323</v>
      </c>
      <c r="C7" s="264">
        <f>ROUND(C6*F7,0)</f>
        <v>375</v>
      </c>
      <c r="D7" s="264"/>
      <c r="E7" s="262"/>
      <c r="F7" s="265">
        <f>'数据-取费表'!B48+'数据-取费表'!B49</f>
        <v>3.0499999999999999E-2</v>
      </c>
      <c r="G7" s="263"/>
    </row>
    <row r="8" spans="1:8" s="267" customFormat="1">
      <c r="A8" s="946" t="s">
        <v>2324</v>
      </c>
      <c r="B8" s="259" t="s">
        <v>2325</v>
      </c>
      <c r="C8" s="264">
        <f ca="1">IF(G8="已包含在土地购买价格中",0,C9+C10)</f>
        <v>3373140</v>
      </c>
      <c r="D8" s="266"/>
      <c r="E8" s="264"/>
      <c r="F8" s="265"/>
      <c r="G8" s="2543" t="s">
        <v>3071</v>
      </c>
    </row>
    <row r="9" spans="1:8" s="258" customFormat="1" ht="13.5" customHeight="1">
      <c r="A9" s="947" t="s">
        <v>800</v>
      </c>
      <c r="B9" s="268" t="s">
        <v>2326</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2328</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2329</v>
      </c>
      <c r="C11" s="255"/>
      <c r="D11" s="1031"/>
      <c r="E11" s="262"/>
      <c r="F11" s="262"/>
      <c r="G11" s="263"/>
    </row>
    <row r="12" spans="1:8" s="258" customFormat="1" ht="13.5" hidden="1" customHeight="1">
      <c r="A12" s="271" t="s">
        <v>8</v>
      </c>
      <c r="B12" s="259" t="s">
        <v>2412</v>
      </c>
      <c r="C12" s="255">
        <v>0</v>
      </c>
      <c r="D12" s="1031"/>
      <c r="E12" s="272"/>
      <c r="F12" s="265">
        <v>3.0499999999999999E-2</v>
      </c>
      <c r="G12" s="263"/>
    </row>
    <row r="13" spans="1:8" s="258" customFormat="1" ht="13.5" hidden="1" customHeight="1">
      <c r="A13" s="271" t="s">
        <v>9</v>
      </c>
      <c r="B13" s="259" t="s">
        <v>2413</v>
      </c>
      <c r="C13" s="255"/>
      <c r="D13" s="1031"/>
      <c r="E13" s="262"/>
      <c r="F13" s="262"/>
      <c r="G13" s="263"/>
    </row>
    <row r="14" spans="1:8" s="258" customFormat="1" ht="13.5" hidden="1" customHeight="1">
      <c r="A14" s="271" t="s">
        <v>10</v>
      </c>
      <c r="B14" s="259" t="s">
        <v>2325</v>
      </c>
      <c r="C14" s="255"/>
      <c r="D14" s="1031"/>
      <c r="E14" s="262"/>
      <c r="F14" s="262"/>
      <c r="G14" s="263" t="s">
        <v>2414</v>
      </c>
    </row>
    <row r="15" spans="1:8" s="258" customFormat="1" ht="13.5" hidden="1" customHeight="1">
      <c r="A15" s="271" t="s">
        <v>11</v>
      </c>
      <c r="B15" s="259" t="s">
        <v>2415</v>
      </c>
      <c r="C15" s="264"/>
      <c r="D15" s="1031"/>
      <c r="E15" s="262"/>
      <c r="F15" s="262"/>
      <c r="G15" s="263" t="s">
        <v>2416</v>
      </c>
    </row>
    <row r="16" spans="1:8" s="258" customFormat="1" ht="13.5" hidden="1" customHeight="1">
      <c r="A16" s="271" t="s">
        <v>12</v>
      </c>
      <c r="B16" s="259" t="s">
        <v>2325</v>
      </c>
      <c r="C16" s="264"/>
      <c r="D16" s="1031"/>
      <c r="E16" s="262"/>
      <c r="F16" s="262"/>
      <c r="G16" s="263"/>
    </row>
    <row r="17" spans="1:7" s="258" customFormat="1" ht="13.5" hidden="1" customHeight="1">
      <c r="A17" s="271" t="s">
        <v>13</v>
      </c>
      <c r="B17" s="259" t="s">
        <v>2417</v>
      </c>
      <c r="C17" s="273"/>
      <c r="D17" s="1032"/>
      <c r="E17" s="273"/>
      <c r="F17" s="273"/>
      <c r="G17" s="263" t="s">
        <v>2416</v>
      </c>
    </row>
    <row r="18" spans="1:7" s="258" customFormat="1" ht="13.5" hidden="1" customHeight="1">
      <c r="A18" s="271" t="s">
        <v>14</v>
      </c>
      <c r="B18" s="259" t="s">
        <v>2418</v>
      </c>
      <c r="C18" s="264">
        <v>0</v>
      </c>
      <c r="D18" s="1031"/>
      <c r="E18" s="262"/>
      <c r="F18" s="265">
        <v>3.0499999999999999E-2</v>
      </c>
      <c r="G18" s="263" t="s">
        <v>2419</v>
      </c>
    </row>
    <row r="19" spans="1:7" s="267" customFormat="1" ht="13.5" customHeight="1">
      <c r="A19" s="299" t="s">
        <v>2420</v>
      </c>
      <c r="B19" s="254" t="s">
        <v>2421</v>
      </c>
      <c r="C19" s="255" t="str">
        <f>IF(G19="已包含在土地取得成本中","0",ROUND(D19*E19,0))</f>
        <v>0</v>
      </c>
      <c r="D19" s="1033">
        <f ca="1">D9+D10</f>
        <v>32125.14</v>
      </c>
      <c r="E19" s="255">
        <f>'数据-取费表'!B31</f>
        <v>200</v>
      </c>
      <c r="F19" s="275"/>
      <c r="G19" s="2543" t="s">
        <v>3072</v>
      </c>
    </row>
    <row r="20" spans="1:7" s="258" customFormat="1" ht="13.5" customHeight="1">
      <c r="A20" s="299" t="s">
        <v>2422</v>
      </c>
      <c r="B20" s="254" t="s">
        <v>2423</v>
      </c>
      <c r="C20" s="276">
        <f ca="1">ROUND((C5+C19)*F20,0)</f>
        <v>84645</v>
      </c>
      <c r="D20" s="276"/>
      <c r="E20" s="276"/>
      <c r="F20" s="277">
        <f>'数据-取费表'!B37</f>
        <v>2.5000000000000001E-2</v>
      </c>
      <c r="G20" s="278" t="s">
        <v>2424</v>
      </c>
    </row>
    <row r="21" spans="1:7" s="258" customFormat="1" ht="13.5" customHeight="1">
      <c r="A21" s="299" t="s">
        <v>2425</v>
      </c>
      <c r="B21" s="254" t="s">
        <v>2426</v>
      </c>
      <c r="C21" s="279">
        <f>F21</f>
        <v>2.5000000000000001E-2</v>
      </c>
      <c r="D21" s="280" t="s">
        <v>2427</v>
      </c>
      <c r="E21" s="276"/>
      <c r="F21" s="277">
        <f>'数据-取费表'!B38</f>
        <v>2.5000000000000001E-2</v>
      </c>
      <c r="G21" s="278" t="s">
        <v>2428</v>
      </c>
    </row>
    <row r="22" spans="1:7" s="258" customFormat="1" ht="13.5" customHeight="1">
      <c r="A22" s="299" t="s">
        <v>2429</v>
      </c>
      <c r="B22" s="254" t="s">
        <v>2430</v>
      </c>
      <c r="C22" s="1377">
        <f ca="1">ROUND(SUM(C23:C25),0)</f>
        <v>333312</v>
      </c>
      <c r="D22" s="279">
        <f ca="1">C26</f>
        <v>1.1999999999999999E-3</v>
      </c>
      <c r="E22" s="280" t="s">
        <v>2427</v>
      </c>
      <c r="F22" s="281">
        <f ca="1">'数据-取费表'!B40</f>
        <v>4.7500000000000001E-2</v>
      </c>
      <c r="G22" s="278" t="str">
        <f>IF('数据-取费表'!B22&lt;=1,"单利计息","复利计息")</f>
        <v>复利计息</v>
      </c>
    </row>
    <row r="23" spans="1:7" s="258" customFormat="1" ht="13.5" customHeight="1">
      <c r="A23" s="948" t="s">
        <v>2320</v>
      </c>
      <c r="B23" s="259" t="s">
        <v>2431</v>
      </c>
      <c r="C23" s="1378">
        <f ca="1">ROUND(IF('数据-取费表'!B22&lt;=1,C5*F22*'数据-取费表'!B22,C5*(POWER((1+F22),'数据-取费表'!B22)-1)),0)</f>
        <v>329291</v>
      </c>
      <c r="D23" s="282"/>
      <c r="E23" s="282"/>
      <c r="F23" s="283"/>
      <c r="G23" s="284" t="s">
        <v>2432</v>
      </c>
    </row>
    <row r="24" spans="1:7" s="258" customFormat="1" ht="13.5" customHeight="1">
      <c r="A24" s="948" t="s">
        <v>2322</v>
      </c>
      <c r="B24" s="259" t="s">
        <v>2433</v>
      </c>
      <c r="C24" s="1378">
        <f ca="1">ROUND(IF('数据-取费表'!B22&lt;=1,C19*F22*('数据-取费表'!B19/2+'数据-取费表'!B20),C19*(POWER((1+F22),('数据-取费表'!B19/2+'数据-取费表'!B20))-1)),0)</f>
        <v>0</v>
      </c>
      <c r="D24" s="282"/>
      <c r="E24" s="282"/>
      <c r="F24" s="283"/>
      <c r="G24" s="284" t="s">
        <v>2434</v>
      </c>
    </row>
    <row r="25" spans="1:7" s="258" customFormat="1" ht="24">
      <c r="A25" s="948" t="s">
        <v>2324</v>
      </c>
      <c r="B25" s="259" t="s">
        <v>2435</v>
      </c>
      <c r="C25" s="1378">
        <f ca="1">ROUND(IF('数据-取费表'!B22&lt;=1,C20*F22*'数据-取费表'!B22/2,C20*(POWER((1+F22),'数据-取费表'!B22/2)-1)),0)</f>
        <v>4021</v>
      </c>
      <c r="D25" s="282"/>
      <c r="E25" s="285"/>
      <c r="F25" s="283"/>
      <c r="G25" s="286" t="s">
        <v>2436</v>
      </c>
    </row>
    <row r="26" spans="1:7" s="258" customFormat="1">
      <c r="A26" s="948" t="s">
        <v>795</v>
      </c>
      <c r="B26" s="259" t="s">
        <v>2359</v>
      </c>
      <c r="C26" s="282">
        <f ca="1">ROUND(IF('数据-取费表'!B22&lt;=1,F21*F22*'数据-取费表'!B22/2,F21*(POWER((1+F22),'数据-取费表'!B22/2)-1)),4)</f>
        <v>1.1999999999999999E-3</v>
      </c>
      <c r="D26" s="282"/>
      <c r="E26" s="285"/>
      <c r="F26" s="283"/>
      <c r="G26" s="287"/>
    </row>
    <row r="27" spans="1:7" s="258" customFormat="1" ht="26.4">
      <c r="A27" s="299" t="s">
        <v>2360</v>
      </c>
      <c r="B27" s="288" t="s">
        <v>2361</v>
      </c>
      <c r="C27" s="289">
        <f ca="1">C28</f>
        <v>694090</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ROUND((C5+C19+C20)*F27,0)</f>
        <v>694090</v>
      </c>
      <c r="D28" s="279"/>
      <c r="E28" s="280"/>
      <c r="F28" s="290"/>
      <c r="G28" s="291"/>
    </row>
    <row r="29" spans="1:7" s="258" customFormat="1" ht="13.5" customHeight="1">
      <c r="A29" s="948" t="s">
        <v>792</v>
      </c>
      <c r="B29" s="292" t="s">
        <v>2365</v>
      </c>
      <c r="C29" s="282">
        <f ca="1">ROUND(C21*F27,4)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4913002</v>
      </c>
      <c r="D31" s="274"/>
      <c r="E31" s="255"/>
      <c r="F31" s="294"/>
      <c r="G31" s="278" t="s">
        <v>2370</v>
      </c>
    </row>
    <row r="32" spans="1:7" s="252" customFormat="1" ht="16.2">
      <c r="A32" s="296" t="s">
        <v>2437</v>
      </c>
      <c r="B32" s="297"/>
      <c r="C32" s="297"/>
      <c r="D32" s="297"/>
      <c r="E32" s="297"/>
      <c r="F32" s="297"/>
      <c r="G32" s="298"/>
    </row>
    <row r="33" spans="1:7" s="258" customFormat="1" ht="13.5" customHeight="1">
      <c r="A33" s="299" t="s">
        <v>782</v>
      </c>
      <c r="B33" s="254" t="s">
        <v>2438</v>
      </c>
      <c r="C33" s="300">
        <f ca="1">SUM(C34:C38)</f>
        <v>123922728</v>
      </c>
      <c r="D33" s="276"/>
      <c r="E33" s="256"/>
      <c r="F33" s="285"/>
      <c r="G33" s="278"/>
    </row>
    <row r="34" spans="1:7" s="302" customFormat="1" ht="13.5" customHeight="1">
      <c r="A34" s="948" t="s">
        <v>791</v>
      </c>
      <c r="B34" s="259" t="s">
        <v>2373</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2375</v>
      </c>
      <c r="C35" s="264">
        <f ca="1">ROUND(C34*F35,0)</f>
        <v>3373140</v>
      </c>
      <c r="D35" s="264"/>
      <c r="E35" s="264"/>
      <c r="F35" s="303">
        <f>'数据-取费表'!B33</f>
        <v>0.03</v>
      </c>
      <c r="G35" s="263" t="s">
        <v>2376</v>
      </c>
    </row>
    <row r="36" spans="1:7" ht="24">
      <c r="A36" s="948"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48" t="s">
        <v>798</v>
      </c>
      <c r="B37" s="259" t="s">
        <v>2379</v>
      </c>
      <c r="C37" s="293">
        <f ca="1">ROUND(E37*D37,0)</f>
        <v>6425028</v>
      </c>
      <c r="D37" s="261">
        <f ca="1">D19</f>
        <v>32125.14</v>
      </c>
      <c r="E37" s="293">
        <f>'数据-取费表'!B35</f>
        <v>200</v>
      </c>
      <c r="F37" s="303"/>
      <c r="G37" s="305"/>
    </row>
    <row r="38" spans="1:7" ht="13.5" customHeight="1">
      <c r="A38" s="948" t="s">
        <v>799</v>
      </c>
      <c r="B38" s="259" t="s">
        <v>2381</v>
      </c>
      <c r="C38" s="264">
        <f ca="1">ROUND(C34*F38,0)</f>
        <v>1686570</v>
      </c>
      <c r="D38" s="264"/>
      <c r="E38" s="264"/>
      <c r="F38" s="303">
        <f>'数据-取费表'!B36</f>
        <v>1.4999999999999999E-2</v>
      </c>
      <c r="G38" s="263" t="s">
        <v>2376</v>
      </c>
    </row>
    <row r="39" spans="1:7" s="258" customFormat="1" ht="13.5" customHeight="1">
      <c r="A39" s="299" t="s">
        <v>2382</v>
      </c>
      <c r="B39" s="254" t="s">
        <v>2383</v>
      </c>
      <c r="C39" s="276">
        <f ca="1">ROUND(C33*F20,0)</f>
        <v>3098068</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6033488</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ROUND(IF('数据-取费表'!B22&lt;=1,C33*F22*'数据-取费表'!B20/2,C33*(POWER((1+F22),'数据-取费表'!B20/2)-1)),0)</f>
        <v>5886330</v>
      </c>
      <c r="D42" s="282"/>
      <c r="E42" s="282"/>
      <c r="F42" s="283"/>
      <c r="G42" s="3154" t="s">
        <v>2439</v>
      </c>
    </row>
    <row r="43" spans="1:7" ht="13.5" customHeight="1">
      <c r="A43" s="948" t="s">
        <v>792</v>
      </c>
      <c r="B43" s="259" t="s">
        <v>2393</v>
      </c>
      <c r="C43" s="282">
        <f ca="1">ROUND(IF('数据-取费表'!B22&lt;=1,C39*F22*'数据-取费表'!B20/2,C39*(POWER((1+F22),'数据-取费表'!B20/2)-1)),0)</f>
        <v>147158</v>
      </c>
      <c r="D43" s="282"/>
      <c r="E43" s="282"/>
      <c r="F43" s="283"/>
      <c r="G43" s="3155"/>
    </row>
    <row r="44" spans="1:7" ht="13.5" customHeight="1">
      <c r="A44" s="948" t="s">
        <v>793</v>
      </c>
      <c r="B44" s="259" t="s">
        <v>2394</v>
      </c>
      <c r="C44" s="282">
        <f ca="1">ROUND(IF('数据-取费表'!B22&lt;=1,C40*F22*'数据-取费表'!B20/2,C40*(POWER((1+F22),'数据-取费表'!B20/2)-1)),4)</f>
        <v>1.1999999999999999E-3</v>
      </c>
      <c r="D44" s="282"/>
      <c r="E44" s="282"/>
      <c r="F44" s="283"/>
      <c r="G44" s="3156"/>
    </row>
    <row r="45" spans="1:7" s="258" customFormat="1" ht="13.5" customHeight="1">
      <c r="A45" s="299" t="s">
        <v>2395</v>
      </c>
      <c r="B45" s="288" t="s">
        <v>2361</v>
      </c>
      <c r="C45" s="289">
        <f ca="1">C46</f>
        <v>25404159</v>
      </c>
      <c r="D45" s="279">
        <f ca="1">C47</f>
        <v>5.0000000000000001E-3</v>
      </c>
      <c r="E45" s="280" t="s">
        <v>2387</v>
      </c>
      <c r="F45" s="290"/>
      <c r="G45" s="291" t="s">
        <v>2396</v>
      </c>
    </row>
    <row r="46" spans="1:7" s="258" customFormat="1" ht="13.5" customHeight="1">
      <c r="A46" s="948" t="s">
        <v>791</v>
      </c>
      <c r="B46" s="292" t="s">
        <v>2397</v>
      </c>
      <c r="C46" s="293">
        <f ca="1">ROUND((C33+C39)*F27,0)</f>
        <v>25404159</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173084045</v>
      </c>
      <c r="D49" s="276"/>
      <c r="E49" s="276"/>
      <c r="F49" s="308"/>
      <c r="G49" s="278" t="s">
        <v>2402</v>
      </c>
    </row>
    <row r="50" spans="1:7" s="302" customFormat="1">
      <c r="A50" s="299" t="s">
        <v>2403</v>
      </c>
      <c r="B50" s="254" t="s">
        <v>2404</v>
      </c>
      <c r="C50" s="276"/>
      <c r="D50" s="276"/>
      <c r="E50" s="276"/>
      <c r="F50" s="308">
        <f>IF('数据-取费表'!B24=0,'数据-取费表'!N16,1)</f>
        <v>0.9</v>
      </c>
      <c r="G50" s="291"/>
    </row>
    <row r="51" spans="1:7" ht="16.5" customHeight="1">
      <c r="A51" s="299" t="s">
        <v>2406</v>
      </c>
      <c r="B51" s="254" t="s">
        <v>2441</v>
      </c>
      <c r="C51" s="276">
        <f ca="1">ROUND(C49*F50,0)</f>
        <v>155775641</v>
      </c>
      <c r="D51" s="276"/>
      <c r="E51" s="276"/>
      <c r="F51" s="308"/>
      <c r="G51" s="278" t="s">
        <v>2408</v>
      </c>
    </row>
    <row r="52" spans="1:7" s="252" customFormat="1" ht="16.8" thickBot="1">
      <c r="A52" s="309" t="s">
        <v>2409</v>
      </c>
      <c r="B52" s="310"/>
      <c r="C52" s="311">
        <f ca="1">C31+C51</f>
        <v>160688643</v>
      </c>
      <c r="D52" s="310"/>
      <c r="E52" s="310"/>
      <c r="F52" s="310"/>
      <c r="G52" s="312"/>
    </row>
    <row r="55" spans="1:7" ht="15">
      <c r="B55" s="314" t="s">
        <v>2410</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2442</v>
      </c>
      <c r="B1" s="1576"/>
      <c r="C1" s="1577"/>
      <c r="D1" s="1575"/>
      <c r="E1" s="320"/>
      <c r="F1" s="320"/>
      <c r="G1" s="1576"/>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3" customFormat="1" ht="16.5" customHeight="1">
      <c r="A4" s="950" t="s">
        <v>2445</v>
      </c>
      <c r="B4" s="951"/>
      <c r="C4" s="993">
        <f>SUM(C8:K8)</f>
        <v>0</v>
      </c>
      <c r="D4" s="951"/>
      <c r="E4" s="951"/>
      <c r="F4" s="951"/>
      <c r="G4" s="951"/>
      <c r="H4" s="951"/>
      <c r="I4" s="951"/>
      <c r="J4" s="951"/>
      <c r="K4" s="952"/>
    </row>
    <row r="5" spans="1:33" s="957" customFormat="1" ht="25.2">
      <c r="A5" s="954" t="s">
        <v>2446</v>
      </c>
      <c r="B5" s="955" t="s">
        <v>2447</v>
      </c>
      <c r="C5" s="2547" t="s">
        <v>2448</v>
      </c>
      <c r="D5" s="2547" t="s">
        <v>2449</v>
      </c>
      <c r="E5" s="2547" t="s">
        <v>2450</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2454</v>
      </c>
      <c r="B8" s="177" t="s">
        <v>2455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2456</v>
      </c>
      <c r="B9" s="951"/>
      <c r="C9" s="951"/>
      <c r="D9" s="951"/>
      <c r="E9" s="951"/>
      <c r="F9" s="951"/>
      <c r="G9" s="951"/>
      <c r="H9" s="951"/>
      <c r="I9" s="951"/>
      <c r="J9" s="951"/>
      <c r="K9" s="952"/>
    </row>
    <row r="10" spans="1:33" s="967" customFormat="1" ht="13.5" customHeight="1">
      <c r="A10" s="954" t="s">
        <v>2457</v>
      </c>
      <c r="B10" s="8" t="s">
        <v>2458</v>
      </c>
      <c r="C10" s="963" t="s">
        <v>2459</v>
      </c>
      <c r="D10" s="964" t="s">
        <v>2460</v>
      </c>
      <c r="E10" s="964" t="s">
        <v>2461</v>
      </c>
      <c r="F10" s="964" t="s">
        <v>2462</v>
      </c>
      <c r="G10" s="8"/>
      <c r="H10" s="965"/>
      <c r="I10" s="965"/>
      <c r="J10" s="965"/>
      <c r="K10" s="966"/>
    </row>
    <row r="11" spans="1:33" s="972" customFormat="1" ht="13.5" customHeight="1">
      <c r="A11" s="968" t="s">
        <v>1330</v>
      </c>
      <c r="B11" s="969" t="s">
        <v>2463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2464</v>
      </c>
      <c r="C12" s="24">
        <f ca="1">ROUND(C11*F12,0)</f>
        <v>0</v>
      </c>
      <c r="D12" s="970"/>
      <c r="E12" s="375"/>
      <c r="F12" s="973">
        <f>'数据-取费表'!B33</f>
        <v>0.03</v>
      </c>
      <c r="G12" s="8" t="s">
        <v>2465</v>
      </c>
      <c r="H12" s="965"/>
      <c r="I12" s="965"/>
      <c r="J12" s="965"/>
      <c r="K12" s="966"/>
    </row>
    <row r="13" spans="1:33" s="972" customFormat="1" ht="13.5" customHeight="1">
      <c r="A13" s="968" t="s">
        <v>1332</v>
      </c>
      <c r="B13" s="969" t="s">
        <v>2466</v>
      </c>
      <c r="C13" s="24">
        <f ca="1">ROUND(IF(C1="",SUMIF('数据-取费表'!C:C,"住宅",'数据-取费表'!P:P)*F13,IF(INDIRECT("'数据-取费表'!c"&amp;$K$1)="住宅",INDIRECT("'数据-取费表'!P"&amp;$K$1)*F13,0)),0)</f>
        <v>0</v>
      </c>
      <c r="D13" s="1030"/>
      <c r="E13" s="375"/>
      <c r="F13" s="973">
        <f>'数据-取费表'!B34</f>
        <v>0</v>
      </c>
      <c r="G13" s="8" t="s">
        <v>2467</v>
      </c>
      <c r="H13" s="965"/>
      <c r="I13" s="965"/>
      <c r="J13" s="965"/>
      <c r="K13" s="966"/>
    </row>
    <row r="14" spans="1:33" s="974" customFormat="1" ht="13.5" customHeight="1">
      <c r="A14" s="968" t="s">
        <v>1333</v>
      </c>
      <c r="B14" s="969" t="s">
        <v>2468</v>
      </c>
      <c r="C14" s="24">
        <f ca="1">ROUND(D14*E14*F11/10000,0)</f>
        <v>0</v>
      </c>
      <c r="D14" s="1030">
        <f ca="1">IF(C1="",'数据-汇总表'!E3,INDIRECT("'数据-取费表'!K"&amp;$K$1)+INDIRECT("'数据-取费表'!S"&amp;$K$1))</f>
        <v>32125.14</v>
      </c>
      <c r="E14" s="24">
        <f>'数据-取费表'!B35</f>
        <v>200</v>
      </c>
      <c r="F14" s="973"/>
      <c r="G14" s="8" t="s">
        <v>2469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2470</v>
      </c>
      <c r="C15" s="980">
        <f ca="1">ROUND(C11*F15,0)</f>
        <v>0</v>
      </c>
      <c r="D15" s="975"/>
      <c r="E15" s="980"/>
      <c r="F15" s="981">
        <f>'数据-取费表'!B36</f>
        <v>1.4999999999999999E-2</v>
      </c>
      <c r="G15" s="140" t="s">
        <v>2471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2472</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2473</v>
      </c>
      <c r="C17" s="24">
        <f ca="1">ROUND(D17*E17/10000,0)</f>
        <v>0</v>
      </c>
      <c r="D17" s="1030">
        <f ca="1">D14</f>
        <v>32125.14</v>
      </c>
      <c r="E17" s="24">
        <f>'数据-取费表'!B32</f>
        <v>0</v>
      </c>
      <c r="F17" s="975"/>
      <c r="G17" s="140" t="s">
        <v>2474</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2475</v>
      </c>
      <c r="C18" s="24">
        <f ca="1">C19+C20-IF(C1="",'数据-取费表'!B29,IF(G18="已全部缴纳",C19+C20,H18))</f>
        <v>0</v>
      </c>
      <c r="D18" s="1030"/>
      <c r="E18" s="24"/>
      <c r="F18" s="973"/>
      <c r="G18" s="2549"/>
      <c r="H18" s="1572"/>
      <c r="I18" s="2550" t="s">
        <v>2476</v>
      </c>
      <c r="J18" s="976"/>
      <c r="K18" s="977"/>
    </row>
    <row r="19" spans="1:33" s="972" customFormat="1" ht="13.5" customHeight="1">
      <c r="A19" s="968" t="s">
        <v>805</v>
      </c>
      <c r="B19" s="969" t="s">
        <v>2477</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2478</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2479</v>
      </c>
      <c r="C21" s="983">
        <f ca="1">C16+C17+C18</f>
        <v>0</v>
      </c>
      <c r="D21" s="984"/>
      <c r="E21" s="325"/>
      <c r="F21" s="325"/>
      <c r="G21" s="140" t="s">
        <v>2480</v>
      </c>
      <c r="H21" s="976"/>
      <c r="I21" s="976"/>
      <c r="J21" s="976"/>
      <c r="K21" s="977"/>
    </row>
    <row r="22" spans="1:33" s="972" customFormat="1" ht="13.5" customHeight="1">
      <c r="A22" s="958" t="s">
        <v>2452</v>
      </c>
      <c r="B22" s="982" t="s">
        <v>2481</v>
      </c>
      <c r="C22" s="983">
        <f ca="1">ROUND(C21*F22,0)</f>
        <v>0</v>
      </c>
      <c r="D22" s="325"/>
      <c r="E22" s="325"/>
      <c r="F22" s="985">
        <f>'数据-取费表'!B37</f>
        <v>2.5000000000000001E-2</v>
      </c>
      <c r="G22" s="8" t="s">
        <v>2482</v>
      </c>
      <c r="H22" s="965"/>
      <c r="I22" s="965"/>
      <c r="J22" s="965"/>
      <c r="K22" s="966"/>
    </row>
    <row r="23" spans="1:33" s="972" customFormat="1" ht="13.5" customHeight="1">
      <c r="A23" s="958" t="s">
        <v>2454</v>
      </c>
      <c r="B23" s="982" t="s">
        <v>2483</v>
      </c>
      <c r="C23" s="983">
        <f ca="1">ROUND(C4*F23*F11,0)</f>
        <v>0</v>
      </c>
      <c r="D23" s="325"/>
      <c r="E23" s="325"/>
      <c r="F23" s="985">
        <f>'数据-取费表'!B38</f>
        <v>2.5000000000000001E-2</v>
      </c>
      <c r="G23" s="8" t="s">
        <v>2484</v>
      </c>
      <c r="H23" s="965"/>
      <c r="I23" s="965"/>
      <c r="J23" s="965"/>
      <c r="K23" s="966"/>
    </row>
    <row r="24" spans="1:33" s="972" customFormat="1" ht="13.5" customHeight="1">
      <c r="A24" s="958" t="s">
        <v>2485</v>
      </c>
      <c r="B24" s="982" t="s">
        <v>2486</v>
      </c>
      <c r="C24" s="324">
        <f>ROUND(F24/(1+'数据-取费表'!C42),4)</f>
        <v>2.9000000000000001E-2</v>
      </c>
      <c r="D24" s="325" t="s">
        <v>15</v>
      </c>
      <c r="E24" s="325"/>
      <c r="F24" s="985">
        <f>'数据-取费表'!B48+'数据-取费表'!B49</f>
        <v>3.0499999999999999E-2</v>
      </c>
      <c r="G24" s="8" t="s">
        <v>2487</v>
      </c>
      <c r="H24" s="987"/>
      <c r="I24" s="987"/>
      <c r="J24" s="987"/>
      <c r="K24" s="988"/>
    </row>
    <row r="25" spans="1:33" s="972" customFormat="1" ht="13.5" customHeight="1">
      <c r="A25" s="958" t="s">
        <v>2488</v>
      </c>
      <c r="B25" s="984" t="s">
        <v>2489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2490</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2491</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2492</v>
      </c>
      <c r="B28" s="2552" t="s">
        <v>2493</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2494</v>
      </c>
      <c r="C29" s="328">
        <f ca="1">ROUND((1+C24)*F28*'数据-取费表'!B24/'数据-取费表'!B20,4)</f>
        <v>0</v>
      </c>
      <c r="D29" s="328"/>
      <c r="E29" s="329"/>
      <c r="F29" s="334"/>
      <c r="G29" s="140" t="s">
        <v>2495</v>
      </c>
      <c r="H29" s="976"/>
      <c r="I29" s="976"/>
      <c r="J29" s="976"/>
      <c r="K29" s="977"/>
    </row>
    <row r="30" spans="1:33" s="335" customFormat="1" ht="13.5" customHeight="1">
      <c r="A30" s="968" t="s">
        <v>804</v>
      </c>
      <c r="B30" s="991" t="s">
        <v>2496</v>
      </c>
      <c r="C30" s="336">
        <f ca="1">ROUND((C21+C22+C23)*F28,0)</f>
        <v>0</v>
      </c>
      <c r="D30" s="328"/>
      <c r="E30" s="329"/>
      <c r="F30" s="334"/>
      <c r="G30" s="140"/>
      <c r="H30" s="976"/>
      <c r="I30" s="976"/>
      <c r="J30" s="976"/>
      <c r="K30" s="977"/>
    </row>
    <row r="31" spans="1:33" s="972" customFormat="1" ht="13.5" customHeight="1" thickBot="1">
      <c r="A31" s="2553" t="s">
        <v>2497</v>
      </c>
      <c r="B31" s="1002" t="s">
        <v>2498</v>
      </c>
      <c r="C31" s="1003">
        <f>ROUND(C4*F31/(1+'数据-取费表'!C42),0)</f>
        <v>0</v>
      </c>
      <c r="D31" s="1004"/>
      <c r="E31" s="1005"/>
      <c r="F31" s="1006">
        <f>'数据-取费表'!B41</f>
        <v>5.6000000000000001E-2</v>
      </c>
      <c r="G31" s="1007" t="s">
        <v>2499</v>
      </c>
      <c r="H31" s="1008"/>
      <c r="I31" s="1008"/>
      <c r="J31" s="1008"/>
      <c r="K31" s="1009"/>
    </row>
    <row r="32" spans="1:33" s="967" customFormat="1" ht="13.5" customHeight="1" thickBot="1">
      <c r="A32" s="997" t="s">
        <v>2500</v>
      </c>
      <c r="B32" s="998"/>
      <c r="C32" s="999">
        <f ca="1">ROUND((C4-C21-C22-C23-C25-C28-C31)/(1+C24+D25+D28),0)</f>
        <v>0</v>
      </c>
      <c r="D32" s="998"/>
      <c r="E32" s="998"/>
      <c r="F32" s="998"/>
      <c r="G32" s="1000" t="s">
        <v>2501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topLeftCell="B1" workbookViewId="0">
      <selection activeCell="E33" sqref="E33"/>
    </sheetView>
  </sheetViews>
  <sheetFormatPr defaultRowHeight="13.2"/>
  <cols>
    <col min="1" max="1" width="21.109375" style="2946" customWidth="1"/>
    <col min="2" max="2" width="6.21875" style="2946" customWidth="1"/>
    <col min="3" max="3" width="11.77734375" style="2946" customWidth="1"/>
    <col min="4" max="5" width="13.88671875" style="2946" customWidth="1"/>
    <col min="6" max="6" width="12.44140625" style="2946" customWidth="1"/>
    <col min="7" max="7" width="7.88671875" style="2946" customWidth="1"/>
    <col min="8" max="8" width="9" style="2946" customWidth="1"/>
    <col min="9" max="10" width="10.6640625" style="2946" customWidth="1"/>
    <col min="11" max="11" width="14.33203125" style="2946" customWidth="1"/>
    <col min="12" max="12" width="6.21875" style="2946" customWidth="1"/>
    <col min="13" max="13" width="27.77734375" style="2946" customWidth="1"/>
    <col min="14" max="14" width="7.88671875" style="2946" customWidth="1"/>
    <col min="15" max="256" width="9" style="2946"/>
    <col min="257" max="257" width="21.109375" style="2946" customWidth="1"/>
    <col min="258" max="258" width="6.21875" style="2946" customWidth="1"/>
    <col min="259" max="259" width="11.77734375" style="2946" customWidth="1"/>
    <col min="260" max="261" width="13.88671875" style="2946" customWidth="1"/>
    <col min="262" max="262" width="12.44140625" style="2946" customWidth="1"/>
    <col min="263" max="263" width="7.88671875" style="2946" customWidth="1"/>
    <col min="264" max="264" width="9" style="2946" customWidth="1"/>
    <col min="265" max="266" width="10.6640625" style="2946" customWidth="1"/>
    <col min="267" max="267" width="14.33203125" style="2946" customWidth="1"/>
    <col min="268" max="268" width="6.21875" style="2946" customWidth="1"/>
    <col min="269" max="269" width="27.77734375" style="2946" customWidth="1"/>
    <col min="270" max="270" width="7.88671875" style="2946" customWidth="1"/>
    <col min="271" max="512" width="9" style="2946"/>
    <col min="513" max="513" width="21.109375" style="2946" customWidth="1"/>
    <col min="514" max="514" width="6.21875" style="2946" customWidth="1"/>
    <col min="515" max="515" width="11.77734375" style="2946" customWidth="1"/>
    <col min="516" max="517" width="13.88671875" style="2946" customWidth="1"/>
    <col min="518" max="518" width="12.44140625" style="2946" customWidth="1"/>
    <col min="519" max="519" width="7.88671875" style="2946" customWidth="1"/>
    <col min="520" max="520" width="9" style="2946" customWidth="1"/>
    <col min="521" max="522" width="10.6640625" style="2946" customWidth="1"/>
    <col min="523" max="523" width="14.33203125" style="2946" customWidth="1"/>
    <col min="524" max="524" width="6.21875" style="2946" customWidth="1"/>
    <col min="525" max="525" width="27.77734375" style="2946" customWidth="1"/>
    <col min="526" max="526" width="7.88671875" style="2946" customWidth="1"/>
    <col min="527" max="768" width="9" style="2946"/>
    <col min="769" max="769" width="21.109375" style="2946" customWidth="1"/>
    <col min="770" max="770" width="6.21875" style="2946" customWidth="1"/>
    <col min="771" max="771" width="11.77734375" style="2946" customWidth="1"/>
    <col min="772" max="773" width="13.88671875" style="2946" customWidth="1"/>
    <col min="774" max="774" width="12.44140625" style="2946" customWidth="1"/>
    <col min="775" max="775" width="7.88671875" style="2946" customWidth="1"/>
    <col min="776" max="776" width="9" style="2946" customWidth="1"/>
    <col min="777" max="778" width="10.6640625" style="2946" customWidth="1"/>
    <col min="779" max="779" width="14.33203125" style="2946" customWidth="1"/>
    <col min="780" max="780" width="6.21875" style="2946" customWidth="1"/>
    <col min="781" max="781" width="27.77734375" style="2946" customWidth="1"/>
    <col min="782" max="782" width="7.88671875" style="2946" customWidth="1"/>
    <col min="783" max="1024" width="9" style="2946"/>
    <col min="1025" max="1025" width="21.109375" style="2946" customWidth="1"/>
    <col min="1026" max="1026" width="6.21875" style="2946" customWidth="1"/>
    <col min="1027" max="1027" width="11.77734375" style="2946" customWidth="1"/>
    <col min="1028" max="1029" width="13.88671875" style="2946" customWidth="1"/>
    <col min="1030" max="1030" width="12.44140625" style="2946" customWidth="1"/>
    <col min="1031" max="1031" width="7.88671875" style="2946" customWidth="1"/>
    <col min="1032" max="1032" width="9" style="2946" customWidth="1"/>
    <col min="1033" max="1034" width="10.6640625" style="2946" customWidth="1"/>
    <col min="1035" max="1035" width="14.33203125" style="2946" customWidth="1"/>
    <col min="1036" max="1036" width="6.21875" style="2946" customWidth="1"/>
    <col min="1037" max="1037" width="27.77734375" style="2946" customWidth="1"/>
    <col min="1038" max="1038" width="7.88671875" style="2946" customWidth="1"/>
    <col min="1039" max="1280" width="9" style="2946"/>
    <col min="1281" max="1281" width="21.109375" style="2946" customWidth="1"/>
    <col min="1282" max="1282" width="6.21875" style="2946" customWidth="1"/>
    <col min="1283" max="1283" width="11.77734375" style="2946" customWidth="1"/>
    <col min="1284" max="1285" width="13.88671875" style="2946" customWidth="1"/>
    <col min="1286" max="1286" width="12.44140625" style="2946" customWidth="1"/>
    <col min="1287" max="1287" width="7.88671875" style="2946" customWidth="1"/>
    <col min="1288" max="1288" width="9" style="2946" customWidth="1"/>
    <col min="1289" max="1290" width="10.6640625" style="2946" customWidth="1"/>
    <col min="1291" max="1291" width="14.33203125" style="2946" customWidth="1"/>
    <col min="1292" max="1292" width="6.21875" style="2946" customWidth="1"/>
    <col min="1293" max="1293" width="27.77734375" style="2946" customWidth="1"/>
    <col min="1294" max="1294" width="7.88671875" style="2946" customWidth="1"/>
    <col min="1295" max="1536" width="9" style="2946"/>
    <col min="1537" max="1537" width="21.109375" style="2946" customWidth="1"/>
    <col min="1538" max="1538" width="6.21875" style="2946" customWidth="1"/>
    <col min="1539" max="1539" width="11.77734375" style="2946" customWidth="1"/>
    <col min="1540" max="1541" width="13.88671875" style="2946" customWidth="1"/>
    <col min="1542" max="1542" width="12.44140625" style="2946" customWidth="1"/>
    <col min="1543" max="1543" width="7.88671875" style="2946" customWidth="1"/>
    <col min="1544" max="1544" width="9" style="2946" customWidth="1"/>
    <col min="1545" max="1546" width="10.6640625" style="2946" customWidth="1"/>
    <col min="1547" max="1547" width="14.33203125" style="2946" customWidth="1"/>
    <col min="1548" max="1548" width="6.21875" style="2946" customWidth="1"/>
    <col min="1549" max="1549" width="27.77734375" style="2946" customWidth="1"/>
    <col min="1550" max="1550" width="7.88671875" style="2946" customWidth="1"/>
    <col min="1551" max="1792" width="9" style="2946"/>
    <col min="1793" max="1793" width="21.109375" style="2946" customWidth="1"/>
    <col min="1794" max="1794" width="6.21875" style="2946" customWidth="1"/>
    <col min="1795" max="1795" width="11.77734375" style="2946" customWidth="1"/>
    <col min="1796" max="1797" width="13.88671875" style="2946" customWidth="1"/>
    <col min="1798" max="1798" width="12.44140625" style="2946" customWidth="1"/>
    <col min="1799" max="1799" width="7.88671875" style="2946" customWidth="1"/>
    <col min="1800" max="1800" width="9" style="2946" customWidth="1"/>
    <col min="1801" max="1802" width="10.6640625" style="2946" customWidth="1"/>
    <col min="1803" max="1803" width="14.33203125" style="2946" customWidth="1"/>
    <col min="1804" max="1804" width="6.21875" style="2946" customWidth="1"/>
    <col min="1805" max="1805" width="27.77734375" style="2946" customWidth="1"/>
    <col min="1806" max="1806" width="7.88671875" style="2946" customWidth="1"/>
    <col min="1807" max="2048" width="9" style="2946"/>
    <col min="2049" max="2049" width="21.109375" style="2946" customWidth="1"/>
    <col min="2050" max="2050" width="6.21875" style="2946" customWidth="1"/>
    <col min="2051" max="2051" width="11.77734375" style="2946" customWidth="1"/>
    <col min="2052" max="2053" width="13.88671875" style="2946" customWidth="1"/>
    <col min="2054" max="2054" width="12.44140625" style="2946" customWidth="1"/>
    <col min="2055" max="2055" width="7.88671875" style="2946" customWidth="1"/>
    <col min="2056" max="2056" width="9" style="2946" customWidth="1"/>
    <col min="2057" max="2058" width="10.6640625" style="2946" customWidth="1"/>
    <col min="2059" max="2059" width="14.33203125" style="2946" customWidth="1"/>
    <col min="2060" max="2060" width="6.21875" style="2946" customWidth="1"/>
    <col min="2061" max="2061" width="27.77734375" style="2946" customWidth="1"/>
    <col min="2062" max="2062" width="7.88671875" style="2946" customWidth="1"/>
    <col min="2063" max="2304" width="9" style="2946"/>
    <col min="2305" max="2305" width="21.109375" style="2946" customWidth="1"/>
    <col min="2306" max="2306" width="6.21875" style="2946" customWidth="1"/>
    <col min="2307" max="2307" width="11.77734375" style="2946" customWidth="1"/>
    <col min="2308" max="2309" width="13.88671875" style="2946" customWidth="1"/>
    <col min="2310" max="2310" width="12.44140625" style="2946" customWidth="1"/>
    <col min="2311" max="2311" width="7.88671875" style="2946" customWidth="1"/>
    <col min="2312" max="2312" width="9" style="2946" customWidth="1"/>
    <col min="2313" max="2314" width="10.6640625" style="2946" customWidth="1"/>
    <col min="2315" max="2315" width="14.33203125" style="2946" customWidth="1"/>
    <col min="2316" max="2316" width="6.21875" style="2946" customWidth="1"/>
    <col min="2317" max="2317" width="27.77734375" style="2946" customWidth="1"/>
    <col min="2318" max="2318" width="7.88671875" style="2946" customWidth="1"/>
    <col min="2319" max="2560" width="9" style="2946"/>
    <col min="2561" max="2561" width="21.109375" style="2946" customWidth="1"/>
    <col min="2562" max="2562" width="6.21875" style="2946" customWidth="1"/>
    <col min="2563" max="2563" width="11.77734375" style="2946" customWidth="1"/>
    <col min="2564" max="2565" width="13.88671875" style="2946" customWidth="1"/>
    <col min="2566" max="2566" width="12.44140625" style="2946" customWidth="1"/>
    <col min="2567" max="2567" width="7.88671875" style="2946" customWidth="1"/>
    <col min="2568" max="2568" width="9" style="2946" customWidth="1"/>
    <col min="2569" max="2570" width="10.6640625" style="2946" customWidth="1"/>
    <col min="2571" max="2571" width="14.33203125" style="2946" customWidth="1"/>
    <col min="2572" max="2572" width="6.21875" style="2946" customWidth="1"/>
    <col min="2573" max="2573" width="27.77734375" style="2946" customWidth="1"/>
    <col min="2574" max="2574" width="7.88671875" style="2946" customWidth="1"/>
    <col min="2575" max="2816" width="9" style="2946"/>
    <col min="2817" max="2817" width="21.109375" style="2946" customWidth="1"/>
    <col min="2818" max="2818" width="6.21875" style="2946" customWidth="1"/>
    <col min="2819" max="2819" width="11.77734375" style="2946" customWidth="1"/>
    <col min="2820" max="2821" width="13.88671875" style="2946" customWidth="1"/>
    <col min="2822" max="2822" width="12.44140625" style="2946" customWidth="1"/>
    <col min="2823" max="2823" width="7.88671875" style="2946" customWidth="1"/>
    <col min="2824" max="2824" width="9" style="2946" customWidth="1"/>
    <col min="2825" max="2826" width="10.6640625" style="2946" customWidth="1"/>
    <col min="2827" max="2827" width="14.33203125" style="2946" customWidth="1"/>
    <col min="2828" max="2828" width="6.21875" style="2946" customWidth="1"/>
    <col min="2829" max="2829" width="27.77734375" style="2946" customWidth="1"/>
    <col min="2830" max="2830" width="7.88671875" style="2946" customWidth="1"/>
    <col min="2831" max="3072" width="9" style="2946"/>
    <col min="3073" max="3073" width="21.109375" style="2946" customWidth="1"/>
    <col min="3074" max="3074" width="6.21875" style="2946" customWidth="1"/>
    <col min="3075" max="3075" width="11.77734375" style="2946" customWidth="1"/>
    <col min="3076" max="3077" width="13.88671875" style="2946" customWidth="1"/>
    <col min="3078" max="3078" width="12.44140625" style="2946" customWidth="1"/>
    <col min="3079" max="3079" width="7.88671875" style="2946" customWidth="1"/>
    <col min="3080" max="3080" width="9" style="2946" customWidth="1"/>
    <col min="3081" max="3082" width="10.6640625" style="2946" customWidth="1"/>
    <col min="3083" max="3083" width="14.33203125" style="2946" customWidth="1"/>
    <col min="3084" max="3084" width="6.21875" style="2946" customWidth="1"/>
    <col min="3085" max="3085" width="27.77734375" style="2946" customWidth="1"/>
    <col min="3086" max="3086" width="7.88671875" style="2946" customWidth="1"/>
    <col min="3087" max="3328" width="9" style="2946"/>
    <col min="3329" max="3329" width="21.109375" style="2946" customWidth="1"/>
    <col min="3330" max="3330" width="6.21875" style="2946" customWidth="1"/>
    <col min="3331" max="3331" width="11.77734375" style="2946" customWidth="1"/>
    <col min="3332" max="3333" width="13.88671875" style="2946" customWidth="1"/>
    <col min="3334" max="3334" width="12.44140625" style="2946" customWidth="1"/>
    <col min="3335" max="3335" width="7.88671875" style="2946" customWidth="1"/>
    <col min="3336" max="3336" width="9" style="2946" customWidth="1"/>
    <col min="3337" max="3338" width="10.6640625" style="2946" customWidth="1"/>
    <col min="3339" max="3339" width="14.33203125" style="2946" customWidth="1"/>
    <col min="3340" max="3340" width="6.21875" style="2946" customWidth="1"/>
    <col min="3341" max="3341" width="27.77734375" style="2946" customWidth="1"/>
    <col min="3342" max="3342" width="7.88671875" style="2946" customWidth="1"/>
    <col min="3343" max="3584" width="9" style="2946"/>
    <col min="3585" max="3585" width="21.109375" style="2946" customWidth="1"/>
    <col min="3586" max="3586" width="6.21875" style="2946" customWidth="1"/>
    <col min="3587" max="3587" width="11.77734375" style="2946" customWidth="1"/>
    <col min="3588" max="3589" width="13.88671875" style="2946" customWidth="1"/>
    <col min="3590" max="3590" width="12.44140625" style="2946" customWidth="1"/>
    <col min="3591" max="3591" width="7.88671875" style="2946" customWidth="1"/>
    <col min="3592" max="3592" width="9" style="2946" customWidth="1"/>
    <col min="3593" max="3594" width="10.6640625" style="2946" customWidth="1"/>
    <col min="3595" max="3595" width="14.33203125" style="2946" customWidth="1"/>
    <col min="3596" max="3596" width="6.21875" style="2946" customWidth="1"/>
    <col min="3597" max="3597" width="27.77734375" style="2946" customWidth="1"/>
    <col min="3598" max="3598" width="7.88671875" style="2946" customWidth="1"/>
    <col min="3599" max="3840" width="9" style="2946"/>
    <col min="3841" max="3841" width="21.109375" style="2946" customWidth="1"/>
    <col min="3842" max="3842" width="6.21875" style="2946" customWidth="1"/>
    <col min="3843" max="3843" width="11.77734375" style="2946" customWidth="1"/>
    <col min="3844" max="3845" width="13.88671875" style="2946" customWidth="1"/>
    <col min="3846" max="3846" width="12.44140625" style="2946" customWidth="1"/>
    <col min="3847" max="3847" width="7.88671875" style="2946" customWidth="1"/>
    <col min="3848" max="3848" width="9" style="2946" customWidth="1"/>
    <col min="3849" max="3850" width="10.6640625" style="2946" customWidth="1"/>
    <col min="3851" max="3851" width="14.33203125" style="2946" customWidth="1"/>
    <col min="3852" max="3852" width="6.21875" style="2946" customWidth="1"/>
    <col min="3853" max="3853" width="27.77734375" style="2946" customWidth="1"/>
    <col min="3854" max="3854" width="7.88671875" style="2946" customWidth="1"/>
    <col min="3855" max="4096" width="9" style="2946"/>
    <col min="4097" max="4097" width="21.109375" style="2946" customWidth="1"/>
    <col min="4098" max="4098" width="6.21875" style="2946" customWidth="1"/>
    <col min="4099" max="4099" width="11.77734375" style="2946" customWidth="1"/>
    <col min="4100" max="4101" width="13.88671875" style="2946" customWidth="1"/>
    <col min="4102" max="4102" width="12.44140625" style="2946" customWidth="1"/>
    <col min="4103" max="4103" width="7.88671875" style="2946" customWidth="1"/>
    <col min="4104" max="4104" width="9" style="2946" customWidth="1"/>
    <col min="4105" max="4106" width="10.6640625" style="2946" customWidth="1"/>
    <col min="4107" max="4107" width="14.33203125" style="2946" customWidth="1"/>
    <col min="4108" max="4108" width="6.21875" style="2946" customWidth="1"/>
    <col min="4109" max="4109" width="27.77734375" style="2946" customWidth="1"/>
    <col min="4110" max="4110" width="7.88671875" style="2946" customWidth="1"/>
    <col min="4111" max="4352" width="9" style="2946"/>
    <col min="4353" max="4353" width="21.109375" style="2946" customWidth="1"/>
    <col min="4354" max="4354" width="6.21875" style="2946" customWidth="1"/>
    <col min="4355" max="4355" width="11.77734375" style="2946" customWidth="1"/>
    <col min="4356" max="4357" width="13.88671875" style="2946" customWidth="1"/>
    <col min="4358" max="4358" width="12.44140625" style="2946" customWidth="1"/>
    <col min="4359" max="4359" width="7.88671875" style="2946" customWidth="1"/>
    <col min="4360" max="4360" width="9" style="2946" customWidth="1"/>
    <col min="4361" max="4362" width="10.6640625" style="2946" customWidth="1"/>
    <col min="4363" max="4363" width="14.33203125" style="2946" customWidth="1"/>
    <col min="4364" max="4364" width="6.21875" style="2946" customWidth="1"/>
    <col min="4365" max="4365" width="27.77734375" style="2946" customWidth="1"/>
    <col min="4366" max="4366" width="7.88671875" style="2946" customWidth="1"/>
    <col min="4367" max="4608" width="9" style="2946"/>
    <col min="4609" max="4609" width="21.109375" style="2946" customWidth="1"/>
    <col min="4610" max="4610" width="6.21875" style="2946" customWidth="1"/>
    <col min="4611" max="4611" width="11.77734375" style="2946" customWidth="1"/>
    <col min="4612" max="4613" width="13.88671875" style="2946" customWidth="1"/>
    <col min="4614" max="4614" width="12.44140625" style="2946" customWidth="1"/>
    <col min="4615" max="4615" width="7.88671875" style="2946" customWidth="1"/>
    <col min="4616" max="4616" width="9" style="2946" customWidth="1"/>
    <col min="4617" max="4618" width="10.6640625" style="2946" customWidth="1"/>
    <col min="4619" max="4619" width="14.33203125" style="2946" customWidth="1"/>
    <col min="4620" max="4620" width="6.21875" style="2946" customWidth="1"/>
    <col min="4621" max="4621" width="27.77734375" style="2946" customWidth="1"/>
    <col min="4622" max="4622" width="7.88671875" style="2946" customWidth="1"/>
    <col min="4623" max="4864" width="9" style="2946"/>
    <col min="4865" max="4865" width="21.109375" style="2946" customWidth="1"/>
    <col min="4866" max="4866" width="6.21875" style="2946" customWidth="1"/>
    <col min="4867" max="4867" width="11.77734375" style="2946" customWidth="1"/>
    <col min="4868" max="4869" width="13.88671875" style="2946" customWidth="1"/>
    <col min="4870" max="4870" width="12.44140625" style="2946" customWidth="1"/>
    <col min="4871" max="4871" width="7.88671875" style="2946" customWidth="1"/>
    <col min="4872" max="4872" width="9" style="2946" customWidth="1"/>
    <col min="4873" max="4874" width="10.6640625" style="2946" customWidth="1"/>
    <col min="4875" max="4875" width="14.33203125" style="2946" customWidth="1"/>
    <col min="4876" max="4876" width="6.21875" style="2946" customWidth="1"/>
    <col min="4877" max="4877" width="27.77734375" style="2946" customWidth="1"/>
    <col min="4878" max="4878" width="7.88671875" style="2946" customWidth="1"/>
    <col min="4879" max="5120" width="9" style="2946"/>
    <col min="5121" max="5121" width="21.109375" style="2946" customWidth="1"/>
    <col min="5122" max="5122" width="6.21875" style="2946" customWidth="1"/>
    <col min="5123" max="5123" width="11.77734375" style="2946" customWidth="1"/>
    <col min="5124" max="5125" width="13.88671875" style="2946" customWidth="1"/>
    <col min="5126" max="5126" width="12.44140625" style="2946" customWidth="1"/>
    <col min="5127" max="5127" width="7.88671875" style="2946" customWidth="1"/>
    <col min="5128" max="5128" width="9" style="2946" customWidth="1"/>
    <col min="5129" max="5130" width="10.6640625" style="2946" customWidth="1"/>
    <col min="5131" max="5131" width="14.33203125" style="2946" customWidth="1"/>
    <col min="5132" max="5132" width="6.21875" style="2946" customWidth="1"/>
    <col min="5133" max="5133" width="27.77734375" style="2946" customWidth="1"/>
    <col min="5134" max="5134" width="7.88671875" style="2946" customWidth="1"/>
    <col min="5135" max="5376" width="9" style="2946"/>
    <col min="5377" max="5377" width="21.109375" style="2946" customWidth="1"/>
    <col min="5378" max="5378" width="6.21875" style="2946" customWidth="1"/>
    <col min="5379" max="5379" width="11.77734375" style="2946" customWidth="1"/>
    <col min="5380" max="5381" width="13.88671875" style="2946" customWidth="1"/>
    <col min="5382" max="5382" width="12.44140625" style="2946" customWidth="1"/>
    <col min="5383" max="5383" width="7.88671875" style="2946" customWidth="1"/>
    <col min="5384" max="5384" width="9" style="2946" customWidth="1"/>
    <col min="5385" max="5386" width="10.6640625" style="2946" customWidth="1"/>
    <col min="5387" max="5387" width="14.33203125" style="2946" customWidth="1"/>
    <col min="5388" max="5388" width="6.21875" style="2946" customWidth="1"/>
    <col min="5389" max="5389" width="27.77734375" style="2946" customWidth="1"/>
    <col min="5390" max="5390" width="7.88671875" style="2946" customWidth="1"/>
    <col min="5391" max="5632" width="9" style="2946"/>
    <col min="5633" max="5633" width="21.109375" style="2946" customWidth="1"/>
    <col min="5634" max="5634" width="6.21875" style="2946" customWidth="1"/>
    <col min="5635" max="5635" width="11.77734375" style="2946" customWidth="1"/>
    <col min="5636" max="5637" width="13.88671875" style="2946" customWidth="1"/>
    <col min="5638" max="5638" width="12.44140625" style="2946" customWidth="1"/>
    <col min="5639" max="5639" width="7.88671875" style="2946" customWidth="1"/>
    <col min="5640" max="5640" width="9" style="2946" customWidth="1"/>
    <col min="5641" max="5642" width="10.6640625" style="2946" customWidth="1"/>
    <col min="5643" max="5643" width="14.33203125" style="2946" customWidth="1"/>
    <col min="5644" max="5644" width="6.21875" style="2946" customWidth="1"/>
    <col min="5645" max="5645" width="27.77734375" style="2946" customWidth="1"/>
    <col min="5646" max="5646" width="7.88671875" style="2946" customWidth="1"/>
    <col min="5647" max="5888" width="9" style="2946"/>
    <col min="5889" max="5889" width="21.109375" style="2946" customWidth="1"/>
    <col min="5890" max="5890" width="6.21875" style="2946" customWidth="1"/>
    <col min="5891" max="5891" width="11.77734375" style="2946" customWidth="1"/>
    <col min="5892" max="5893" width="13.88671875" style="2946" customWidth="1"/>
    <col min="5894" max="5894" width="12.44140625" style="2946" customWidth="1"/>
    <col min="5895" max="5895" width="7.88671875" style="2946" customWidth="1"/>
    <col min="5896" max="5896" width="9" style="2946" customWidth="1"/>
    <col min="5897" max="5898" width="10.6640625" style="2946" customWidth="1"/>
    <col min="5899" max="5899" width="14.33203125" style="2946" customWidth="1"/>
    <col min="5900" max="5900" width="6.21875" style="2946" customWidth="1"/>
    <col min="5901" max="5901" width="27.77734375" style="2946" customWidth="1"/>
    <col min="5902" max="5902" width="7.88671875" style="2946" customWidth="1"/>
    <col min="5903" max="6144" width="9" style="2946"/>
    <col min="6145" max="6145" width="21.109375" style="2946" customWidth="1"/>
    <col min="6146" max="6146" width="6.21875" style="2946" customWidth="1"/>
    <col min="6147" max="6147" width="11.77734375" style="2946" customWidth="1"/>
    <col min="6148" max="6149" width="13.88671875" style="2946" customWidth="1"/>
    <col min="6150" max="6150" width="12.44140625" style="2946" customWidth="1"/>
    <col min="6151" max="6151" width="7.88671875" style="2946" customWidth="1"/>
    <col min="6152" max="6152" width="9" style="2946" customWidth="1"/>
    <col min="6153" max="6154" width="10.6640625" style="2946" customWidth="1"/>
    <col min="6155" max="6155" width="14.33203125" style="2946" customWidth="1"/>
    <col min="6156" max="6156" width="6.21875" style="2946" customWidth="1"/>
    <col min="6157" max="6157" width="27.77734375" style="2946" customWidth="1"/>
    <col min="6158" max="6158" width="7.88671875" style="2946" customWidth="1"/>
    <col min="6159" max="6400" width="9" style="2946"/>
    <col min="6401" max="6401" width="21.109375" style="2946" customWidth="1"/>
    <col min="6402" max="6402" width="6.21875" style="2946" customWidth="1"/>
    <col min="6403" max="6403" width="11.77734375" style="2946" customWidth="1"/>
    <col min="6404" max="6405" width="13.88671875" style="2946" customWidth="1"/>
    <col min="6406" max="6406" width="12.44140625" style="2946" customWidth="1"/>
    <col min="6407" max="6407" width="7.88671875" style="2946" customWidth="1"/>
    <col min="6408" max="6408" width="9" style="2946" customWidth="1"/>
    <col min="6409" max="6410" width="10.6640625" style="2946" customWidth="1"/>
    <col min="6411" max="6411" width="14.33203125" style="2946" customWidth="1"/>
    <col min="6412" max="6412" width="6.21875" style="2946" customWidth="1"/>
    <col min="6413" max="6413" width="27.77734375" style="2946" customWidth="1"/>
    <col min="6414" max="6414" width="7.88671875" style="2946" customWidth="1"/>
    <col min="6415" max="6656" width="9" style="2946"/>
    <col min="6657" max="6657" width="21.109375" style="2946" customWidth="1"/>
    <col min="6658" max="6658" width="6.21875" style="2946" customWidth="1"/>
    <col min="6659" max="6659" width="11.77734375" style="2946" customWidth="1"/>
    <col min="6660" max="6661" width="13.88671875" style="2946" customWidth="1"/>
    <col min="6662" max="6662" width="12.44140625" style="2946" customWidth="1"/>
    <col min="6663" max="6663" width="7.88671875" style="2946" customWidth="1"/>
    <col min="6664" max="6664" width="9" style="2946" customWidth="1"/>
    <col min="6665" max="6666" width="10.6640625" style="2946" customWidth="1"/>
    <col min="6667" max="6667" width="14.33203125" style="2946" customWidth="1"/>
    <col min="6668" max="6668" width="6.21875" style="2946" customWidth="1"/>
    <col min="6669" max="6669" width="27.77734375" style="2946" customWidth="1"/>
    <col min="6670" max="6670" width="7.88671875" style="2946" customWidth="1"/>
    <col min="6671" max="6912" width="9" style="2946"/>
    <col min="6913" max="6913" width="21.109375" style="2946" customWidth="1"/>
    <col min="6914" max="6914" width="6.21875" style="2946" customWidth="1"/>
    <col min="6915" max="6915" width="11.77734375" style="2946" customWidth="1"/>
    <col min="6916" max="6917" width="13.88671875" style="2946" customWidth="1"/>
    <col min="6918" max="6918" width="12.44140625" style="2946" customWidth="1"/>
    <col min="6919" max="6919" width="7.88671875" style="2946" customWidth="1"/>
    <col min="6920" max="6920" width="9" style="2946" customWidth="1"/>
    <col min="6921" max="6922" width="10.6640625" style="2946" customWidth="1"/>
    <col min="6923" max="6923" width="14.33203125" style="2946" customWidth="1"/>
    <col min="6924" max="6924" width="6.21875" style="2946" customWidth="1"/>
    <col min="6925" max="6925" width="27.77734375" style="2946" customWidth="1"/>
    <col min="6926" max="6926" width="7.88671875" style="2946" customWidth="1"/>
    <col min="6927" max="7168" width="9" style="2946"/>
    <col min="7169" max="7169" width="21.109375" style="2946" customWidth="1"/>
    <col min="7170" max="7170" width="6.21875" style="2946" customWidth="1"/>
    <col min="7171" max="7171" width="11.77734375" style="2946" customWidth="1"/>
    <col min="7172" max="7173" width="13.88671875" style="2946" customWidth="1"/>
    <col min="7174" max="7174" width="12.44140625" style="2946" customWidth="1"/>
    <col min="7175" max="7175" width="7.88671875" style="2946" customWidth="1"/>
    <col min="7176" max="7176" width="9" style="2946" customWidth="1"/>
    <col min="7177" max="7178" width="10.6640625" style="2946" customWidth="1"/>
    <col min="7179" max="7179" width="14.33203125" style="2946" customWidth="1"/>
    <col min="7180" max="7180" width="6.21875" style="2946" customWidth="1"/>
    <col min="7181" max="7181" width="27.77734375" style="2946" customWidth="1"/>
    <col min="7182" max="7182" width="7.88671875" style="2946" customWidth="1"/>
    <col min="7183" max="7424" width="9" style="2946"/>
    <col min="7425" max="7425" width="21.109375" style="2946" customWidth="1"/>
    <col min="7426" max="7426" width="6.21875" style="2946" customWidth="1"/>
    <col min="7427" max="7427" width="11.77734375" style="2946" customWidth="1"/>
    <col min="7428" max="7429" width="13.88671875" style="2946" customWidth="1"/>
    <col min="7430" max="7430" width="12.44140625" style="2946" customWidth="1"/>
    <col min="7431" max="7431" width="7.88671875" style="2946" customWidth="1"/>
    <col min="7432" max="7432" width="9" style="2946" customWidth="1"/>
    <col min="7433" max="7434" width="10.6640625" style="2946" customWidth="1"/>
    <col min="7435" max="7435" width="14.33203125" style="2946" customWidth="1"/>
    <col min="7436" max="7436" width="6.21875" style="2946" customWidth="1"/>
    <col min="7437" max="7437" width="27.77734375" style="2946" customWidth="1"/>
    <col min="7438" max="7438" width="7.88671875" style="2946" customWidth="1"/>
    <col min="7439" max="7680" width="9" style="2946"/>
    <col min="7681" max="7681" width="21.109375" style="2946" customWidth="1"/>
    <col min="7682" max="7682" width="6.21875" style="2946" customWidth="1"/>
    <col min="7683" max="7683" width="11.77734375" style="2946" customWidth="1"/>
    <col min="7684" max="7685" width="13.88671875" style="2946" customWidth="1"/>
    <col min="7686" max="7686" width="12.44140625" style="2946" customWidth="1"/>
    <col min="7687" max="7687" width="7.88671875" style="2946" customWidth="1"/>
    <col min="7688" max="7688" width="9" style="2946" customWidth="1"/>
    <col min="7689" max="7690" width="10.6640625" style="2946" customWidth="1"/>
    <col min="7691" max="7691" width="14.33203125" style="2946" customWidth="1"/>
    <col min="7692" max="7692" width="6.21875" style="2946" customWidth="1"/>
    <col min="7693" max="7693" width="27.77734375" style="2946" customWidth="1"/>
    <col min="7694" max="7694" width="7.88671875" style="2946" customWidth="1"/>
    <col min="7695" max="7936" width="9" style="2946"/>
    <col min="7937" max="7937" width="21.109375" style="2946" customWidth="1"/>
    <col min="7938" max="7938" width="6.21875" style="2946" customWidth="1"/>
    <col min="7939" max="7939" width="11.77734375" style="2946" customWidth="1"/>
    <col min="7940" max="7941" width="13.88671875" style="2946" customWidth="1"/>
    <col min="7942" max="7942" width="12.44140625" style="2946" customWidth="1"/>
    <col min="7943" max="7943" width="7.88671875" style="2946" customWidth="1"/>
    <col min="7944" max="7944" width="9" style="2946" customWidth="1"/>
    <col min="7945" max="7946" width="10.6640625" style="2946" customWidth="1"/>
    <col min="7947" max="7947" width="14.33203125" style="2946" customWidth="1"/>
    <col min="7948" max="7948" width="6.21875" style="2946" customWidth="1"/>
    <col min="7949" max="7949" width="27.77734375" style="2946" customWidth="1"/>
    <col min="7950" max="7950" width="7.88671875" style="2946" customWidth="1"/>
    <col min="7951" max="8192" width="9" style="2946"/>
    <col min="8193" max="8193" width="21.109375" style="2946" customWidth="1"/>
    <col min="8194" max="8194" width="6.21875" style="2946" customWidth="1"/>
    <col min="8195" max="8195" width="11.77734375" style="2946" customWidth="1"/>
    <col min="8196" max="8197" width="13.88671875" style="2946" customWidth="1"/>
    <col min="8198" max="8198" width="12.44140625" style="2946" customWidth="1"/>
    <col min="8199" max="8199" width="7.88671875" style="2946" customWidth="1"/>
    <col min="8200" max="8200" width="9" style="2946" customWidth="1"/>
    <col min="8201" max="8202" width="10.6640625" style="2946" customWidth="1"/>
    <col min="8203" max="8203" width="14.33203125" style="2946" customWidth="1"/>
    <col min="8204" max="8204" width="6.21875" style="2946" customWidth="1"/>
    <col min="8205" max="8205" width="27.77734375" style="2946" customWidth="1"/>
    <col min="8206" max="8206" width="7.88671875" style="2946" customWidth="1"/>
    <col min="8207" max="8448" width="9" style="2946"/>
    <col min="8449" max="8449" width="21.109375" style="2946" customWidth="1"/>
    <col min="8450" max="8450" width="6.21875" style="2946" customWidth="1"/>
    <col min="8451" max="8451" width="11.77734375" style="2946" customWidth="1"/>
    <col min="8452" max="8453" width="13.88671875" style="2946" customWidth="1"/>
    <col min="8454" max="8454" width="12.44140625" style="2946" customWidth="1"/>
    <col min="8455" max="8455" width="7.88671875" style="2946" customWidth="1"/>
    <col min="8456" max="8456" width="9" style="2946" customWidth="1"/>
    <col min="8457" max="8458" width="10.6640625" style="2946" customWidth="1"/>
    <col min="8459" max="8459" width="14.33203125" style="2946" customWidth="1"/>
    <col min="8460" max="8460" width="6.21875" style="2946" customWidth="1"/>
    <col min="8461" max="8461" width="27.77734375" style="2946" customWidth="1"/>
    <col min="8462" max="8462" width="7.88671875" style="2946" customWidth="1"/>
    <col min="8463" max="8704" width="9" style="2946"/>
    <col min="8705" max="8705" width="21.109375" style="2946" customWidth="1"/>
    <col min="8706" max="8706" width="6.21875" style="2946" customWidth="1"/>
    <col min="8707" max="8707" width="11.77734375" style="2946" customWidth="1"/>
    <col min="8708" max="8709" width="13.88671875" style="2946" customWidth="1"/>
    <col min="8710" max="8710" width="12.44140625" style="2946" customWidth="1"/>
    <col min="8711" max="8711" width="7.88671875" style="2946" customWidth="1"/>
    <col min="8712" max="8712" width="9" style="2946" customWidth="1"/>
    <col min="8713" max="8714" width="10.6640625" style="2946" customWidth="1"/>
    <col min="8715" max="8715" width="14.33203125" style="2946" customWidth="1"/>
    <col min="8716" max="8716" width="6.21875" style="2946" customWidth="1"/>
    <col min="8717" max="8717" width="27.77734375" style="2946" customWidth="1"/>
    <col min="8718" max="8718" width="7.88671875" style="2946" customWidth="1"/>
    <col min="8719" max="8960" width="9" style="2946"/>
    <col min="8961" max="8961" width="21.109375" style="2946" customWidth="1"/>
    <col min="8962" max="8962" width="6.21875" style="2946" customWidth="1"/>
    <col min="8963" max="8963" width="11.77734375" style="2946" customWidth="1"/>
    <col min="8964" max="8965" width="13.88671875" style="2946" customWidth="1"/>
    <col min="8966" max="8966" width="12.44140625" style="2946" customWidth="1"/>
    <col min="8967" max="8967" width="7.88671875" style="2946" customWidth="1"/>
    <col min="8968" max="8968" width="9" style="2946" customWidth="1"/>
    <col min="8969" max="8970" width="10.6640625" style="2946" customWidth="1"/>
    <col min="8971" max="8971" width="14.33203125" style="2946" customWidth="1"/>
    <col min="8972" max="8972" width="6.21875" style="2946" customWidth="1"/>
    <col min="8973" max="8973" width="27.77734375" style="2946" customWidth="1"/>
    <col min="8974" max="8974" width="7.88671875" style="2946" customWidth="1"/>
    <col min="8975" max="9216" width="9" style="2946"/>
    <col min="9217" max="9217" width="21.109375" style="2946" customWidth="1"/>
    <col min="9218" max="9218" width="6.21875" style="2946" customWidth="1"/>
    <col min="9219" max="9219" width="11.77734375" style="2946" customWidth="1"/>
    <col min="9220" max="9221" width="13.88671875" style="2946" customWidth="1"/>
    <col min="9222" max="9222" width="12.44140625" style="2946" customWidth="1"/>
    <col min="9223" max="9223" width="7.88671875" style="2946" customWidth="1"/>
    <col min="9224" max="9224" width="9" style="2946" customWidth="1"/>
    <col min="9225" max="9226" width="10.6640625" style="2946" customWidth="1"/>
    <col min="9227" max="9227" width="14.33203125" style="2946" customWidth="1"/>
    <col min="9228" max="9228" width="6.21875" style="2946" customWidth="1"/>
    <col min="9229" max="9229" width="27.77734375" style="2946" customWidth="1"/>
    <col min="9230" max="9230" width="7.88671875" style="2946" customWidth="1"/>
    <col min="9231" max="9472" width="9" style="2946"/>
    <col min="9473" max="9473" width="21.109375" style="2946" customWidth="1"/>
    <col min="9474" max="9474" width="6.21875" style="2946" customWidth="1"/>
    <col min="9475" max="9475" width="11.77734375" style="2946" customWidth="1"/>
    <col min="9476" max="9477" width="13.88671875" style="2946" customWidth="1"/>
    <col min="9478" max="9478" width="12.44140625" style="2946" customWidth="1"/>
    <col min="9479" max="9479" width="7.88671875" style="2946" customWidth="1"/>
    <col min="9480" max="9480" width="9" style="2946" customWidth="1"/>
    <col min="9481" max="9482" width="10.6640625" style="2946" customWidth="1"/>
    <col min="9483" max="9483" width="14.33203125" style="2946" customWidth="1"/>
    <col min="9484" max="9484" width="6.21875" style="2946" customWidth="1"/>
    <col min="9485" max="9485" width="27.77734375" style="2946" customWidth="1"/>
    <col min="9486" max="9486" width="7.88671875" style="2946" customWidth="1"/>
    <col min="9487" max="9728" width="9" style="2946"/>
    <col min="9729" max="9729" width="21.109375" style="2946" customWidth="1"/>
    <col min="9730" max="9730" width="6.21875" style="2946" customWidth="1"/>
    <col min="9731" max="9731" width="11.77734375" style="2946" customWidth="1"/>
    <col min="9732" max="9733" width="13.88671875" style="2946" customWidth="1"/>
    <col min="9734" max="9734" width="12.44140625" style="2946" customWidth="1"/>
    <col min="9735" max="9735" width="7.88671875" style="2946" customWidth="1"/>
    <col min="9736" max="9736" width="9" style="2946" customWidth="1"/>
    <col min="9737" max="9738" width="10.6640625" style="2946" customWidth="1"/>
    <col min="9739" max="9739" width="14.33203125" style="2946" customWidth="1"/>
    <col min="9740" max="9740" width="6.21875" style="2946" customWidth="1"/>
    <col min="9741" max="9741" width="27.77734375" style="2946" customWidth="1"/>
    <col min="9742" max="9742" width="7.88671875" style="2946" customWidth="1"/>
    <col min="9743" max="9984" width="9" style="2946"/>
    <col min="9985" max="9985" width="21.109375" style="2946" customWidth="1"/>
    <col min="9986" max="9986" width="6.21875" style="2946" customWidth="1"/>
    <col min="9987" max="9987" width="11.77734375" style="2946" customWidth="1"/>
    <col min="9988" max="9989" width="13.88671875" style="2946" customWidth="1"/>
    <col min="9990" max="9990" width="12.44140625" style="2946" customWidth="1"/>
    <col min="9991" max="9991" width="7.88671875" style="2946" customWidth="1"/>
    <col min="9992" max="9992" width="9" style="2946" customWidth="1"/>
    <col min="9993" max="9994" width="10.6640625" style="2946" customWidth="1"/>
    <col min="9995" max="9995" width="14.33203125" style="2946" customWidth="1"/>
    <col min="9996" max="9996" width="6.21875" style="2946" customWidth="1"/>
    <col min="9997" max="9997" width="27.77734375" style="2946" customWidth="1"/>
    <col min="9998" max="9998" width="7.88671875" style="2946" customWidth="1"/>
    <col min="9999" max="10240" width="9" style="2946"/>
    <col min="10241" max="10241" width="21.109375" style="2946" customWidth="1"/>
    <col min="10242" max="10242" width="6.21875" style="2946" customWidth="1"/>
    <col min="10243" max="10243" width="11.77734375" style="2946" customWidth="1"/>
    <col min="10244" max="10245" width="13.88671875" style="2946" customWidth="1"/>
    <col min="10246" max="10246" width="12.44140625" style="2946" customWidth="1"/>
    <col min="10247" max="10247" width="7.88671875" style="2946" customWidth="1"/>
    <col min="10248" max="10248" width="9" style="2946" customWidth="1"/>
    <col min="10249" max="10250" width="10.6640625" style="2946" customWidth="1"/>
    <col min="10251" max="10251" width="14.33203125" style="2946" customWidth="1"/>
    <col min="10252" max="10252" width="6.21875" style="2946" customWidth="1"/>
    <col min="10253" max="10253" width="27.77734375" style="2946" customWidth="1"/>
    <col min="10254" max="10254" width="7.88671875" style="2946" customWidth="1"/>
    <col min="10255" max="10496" width="9" style="2946"/>
    <col min="10497" max="10497" width="21.109375" style="2946" customWidth="1"/>
    <col min="10498" max="10498" width="6.21875" style="2946" customWidth="1"/>
    <col min="10499" max="10499" width="11.77734375" style="2946" customWidth="1"/>
    <col min="10500" max="10501" width="13.88671875" style="2946" customWidth="1"/>
    <col min="10502" max="10502" width="12.44140625" style="2946" customWidth="1"/>
    <col min="10503" max="10503" width="7.88671875" style="2946" customWidth="1"/>
    <col min="10504" max="10504" width="9" style="2946" customWidth="1"/>
    <col min="10505" max="10506" width="10.6640625" style="2946" customWidth="1"/>
    <col min="10507" max="10507" width="14.33203125" style="2946" customWidth="1"/>
    <col min="10508" max="10508" width="6.21875" style="2946" customWidth="1"/>
    <col min="10509" max="10509" width="27.77734375" style="2946" customWidth="1"/>
    <col min="10510" max="10510" width="7.88671875" style="2946" customWidth="1"/>
    <col min="10511" max="10752" width="9" style="2946"/>
    <col min="10753" max="10753" width="21.109375" style="2946" customWidth="1"/>
    <col min="10754" max="10754" width="6.21875" style="2946" customWidth="1"/>
    <col min="10755" max="10755" width="11.77734375" style="2946" customWidth="1"/>
    <col min="10756" max="10757" width="13.88671875" style="2946" customWidth="1"/>
    <col min="10758" max="10758" width="12.44140625" style="2946" customWidth="1"/>
    <col min="10759" max="10759" width="7.88671875" style="2946" customWidth="1"/>
    <col min="10760" max="10760" width="9" style="2946" customWidth="1"/>
    <col min="10761" max="10762" width="10.6640625" style="2946" customWidth="1"/>
    <col min="10763" max="10763" width="14.33203125" style="2946" customWidth="1"/>
    <col min="10764" max="10764" width="6.21875" style="2946" customWidth="1"/>
    <col min="10765" max="10765" width="27.77734375" style="2946" customWidth="1"/>
    <col min="10766" max="10766" width="7.88671875" style="2946" customWidth="1"/>
    <col min="10767" max="11008" width="9" style="2946"/>
    <col min="11009" max="11009" width="21.109375" style="2946" customWidth="1"/>
    <col min="11010" max="11010" width="6.21875" style="2946" customWidth="1"/>
    <col min="11011" max="11011" width="11.77734375" style="2946" customWidth="1"/>
    <col min="11012" max="11013" width="13.88671875" style="2946" customWidth="1"/>
    <col min="11014" max="11014" width="12.44140625" style="2946" customWidth="1"/>
    <col min="11015" max="11015" width="7.88671875" style="2946" customWidth="1"/>
    <col min="11016" max="11016" width="9" style="2946" customWidth="1"/>
    <col min="11017" max="11018" width="10.6640625" style="2946" customWidth="1"/>
    <col min="11019" max="11019" width="14.33203125" style="2946" customWidth="1"/>
    <col min="11020" max="11020" width="6.21875" style="2946" customWidth="1"/>
    <col min="11021" max="11021" width="27.77734375" style="2946" customWidth="1"/>
    <col min="11022" max="11022" width="7.88671875" style="2946" customWidth="1"/>
    <col min="11023" max="11264" width="9" style="2946"/>
    <col min="11265" max="11265" width="21.109375" style="2946" customWidth="1"/>
    <col min="11266" max="11266" width="6.21875" style="2946" customWidth="1"/>
    <col min="11267" max="11267" width="11.77734375" style="2946" customWidth="1"/>
    <col min="11268" max="11269" width="13.88671875" style="2946" customWidth="1"/>
    <col min="11270" max="11270" width="12.44140625" style="2946" customWidth="1"/>
    <col min="11271" max="11271" width="7.88671875" style="2946" customWidth="1"/>
    <col min="11272" max="11272" width="9" style="2946" customWidth="1"/>
    <col min="11273" max="11274" width="10.6640625" style="2946" customWidth="1"/>
    <col min="11275" max="11275" width="14.33203125" style="2946" customWidth="1"/>
    <col min="11276" max="11276" width="6.21875" style="2946" customWidth="1"/>
    <col min="11277" max="11277" width="27.77734375" style="2946" customWidth="1"/>
    <col min="11278" max="11278" width="7.88671875" style="2946" customWidth="1"/>
    <col min="11279" max="11520" width="9" style="2946"/>
    <col min="11521" max="11521" width="21.109375" style="2946" customWidth="1"/>
    <col min="11522" max="11522" width="6.21875" style="2946" customWidth="1"/>
    <col min="11523" max="11523" width="11.77734375" style="2946" customWidth="1"/>
    <col min="11524" max="11525" width="13.88671875" style="2946" customWidth="1"/>
    <col min="11526" max="11526" width="12.44140625" style="2946" customWidth="1"/>
    <col min="11527" max="11527" width="7.88671875" style="2946" customWidth="1"/>
    <col min="11528" max="11528" width="9" style="2946" customWidth="1"/>
    <col min="11529" max="11530" width="10.6640625" style="2946" customWidth="1"/>
    <col min="11531" max="11531" width="14.33203125" style="2946" customWidth="1"/>
    <col min="11532" max="11532" width="6.21875" style="2946" customWidth="1"/>
    <col min="11533" max="11533" width="27.77734375" style="2946" customWidth="1"/>
    <col min="11534" max="11534" width="7.88671875" style="2946" customWidth="1"/>
    <col min="11535" max="11776" width="9" style="2946"/>
    <col min="11777" max="11777" width="21.109375" style="2946" customWidth="1"/>
    <col min="11778" max="11778" width="6.21875" style="2946" customWidth="1"/>
    <col min="11779" max="11779" width="11.77734375" style="2946" customWidth="1"/>
    <col min="11780" max="11781" width="13.88671875" style="2946" customWidth="1"/>
    <col min="11782" max="11782" width="12.44140625" style="2946" customWidth="1"/>
    <col min="11783" max="11783" width="7.88671875" style="2946" customWidth="1"/>
    <col min="11784" max="11784" width="9" style="2946" customWidth="1"/>
    <col min="11785" max="11786" width="10.6640625" style="2946" customWidth="1"/>
    <col min="11787" max="11787" width="14.33203125" style="2946" customWidth="1"/>
    <col min="11788" max="11788" width="6.21875" style="2946" customWidth="1"/>
    <col min="11789" max="11789" width="27.77734375" style="2946" customWidth="1"/>
    <col min="11790" max="11790" width="7.88671875" style="2946" customWidth="1"/>
    <col min="11791" max="12032" width="9" style="2946"/>
    <col min="12033" max="12033" width="21.109375" style="2946" customWidth="1"/>
    <col min="12034" max="12034" width="6.21875" style="2946" customWidth="1"/>
    <col min="12035" max="12035" width="11.77734375" style="2946" customWidth="1"/>
    <col min="12036" max="12037" width="13.88671875" style="2946" customWidth="1"/>
    <col min="12038" max="12038" width="12.44140625" style="2946" customWidth="1"/>
    <col min="12039" max="12039" width="7.88671875" style="2946" customWidth="1"/>
    <col min="12040" max="12040" width="9" style="2946" customWidth="1"/>
    <col min="12041" max="12042" width="10.6640625" style="2946" customWidth="1"/>
    <col min="12043" max="12043" width="14.33203125" style="2946" customWidth="1"/>
    <col min="12044" max="12044" width="6.21875" style="2946" customWidth="1"/>
    <col min="12045" max="12045" width="27.77734375" style="2946" customWidth="1"/>
    <col min="12046" max="12046" width="7.88671875" style="2946" customWidth="1"/>
    <col min="12047" max="12288" width="9" style="2946"/>
    <col min="12289" max="12289" width="21.109375" style="2946" customWidth="1"/>
    <col min="12290" max="12290" width="6.21875" style="2946" customWidth="1"/>
    <col min="12291" max="12291" width="11.77734375" style="2946" customWidth="1"/>
    <col min="12292" max="12293" width="13.88671875" style="2946" customWidth="1"/>
    <col min="12294" max="12294" width="12.44140625" style="2946" customWidth="1"/>
    <col min="12295" max="12295" width="7.88671875" style="2946" customWidth="1"/>
    <col min="12296" max="12296" width="9" style="2946" customWidth="1"/>
    <col min="12297" max="12298" width="10.6640625" style="2946" customWidth="1"/>
    <col min="12299" max="12299" width="14.33203125" style="2946" customWidth="1"/>
    <col min="12300" max="12300" width="6.21875" style="2946" customWidth="1"/>
    <col min="12301" max="12301" width="27.77734375" style="2946" customWidth="1"/>
    <col min="12302" max="12302" width="7.88671875" style="2946" customWidth="1"/>
    <col min="12303" max="12544" width="9" style="2946"/>
    <col min="12545" max="12545" width="21.109375" style="2946" customWidth="1"/>
    <col min="12546" max="12546" width="6.21875" style="2946" customWidth="1"/>
    <col min="12547" max="12547" width="11.77734375" style="2946" customWidth="1"/>
    <col min="12548" max="12549" width="13.88671875" style="2946" customWidth="1"/>
    <col min="12550" max="12550" width="12.44140625" style="2946" customWidth="1"/>
    <col min="12551" max="12551" width="7.88671875" style="2946" customWidth="1"/>
    <col min="12552" max="12552" width="9" style="2946" customWidth="1"/>
    <col min="12553" max="12554" width="10.6640625" style="2946" customWidth="1"/>
    <col min="12555" max="12555" width="14.33203125" style="2946" customWidth="1"/>
    <col min="12556" max="12556" width="6.21875" style="2946" customWidth="1"/>
    <col min="12557" max="12557" width="27.77734375" style="2946" customWidth="1"/>
    <col min="12558" max="12558" width="7.88671875" style="2946" customWidth="1"/>
    <col min="12559" max="12800" width="9" style="2946"/>
    <col min="12801" max="12801" width="21.109375" style="2946" customWidth="1"/>
    <col min="12802" max="12802" width="6.21875" style="2946" customWidth="1"/>
    <col min="12803" max="12803" width="11.77734375" style="2946" customWidth="1"/>
    <col min="12804" max="12805" width="13.88671875" style="2946" customWidth="1"/>
    <col min="12806" max="12806" width="12.44140625" style="2946" customWidth="1"/>
    <col min="12807" max="12807" width="7.88671875" style="2946" customWidth="1"/>
    <col min="12808" max="12808" width="9" style="2946" customWidth="1"/>
    <col min="12809" max="12810" width="10.6640625" style="2946" customWidth="1"/>
    <col min="12811" max="12811" width="14.33203125" style="2946" customWidth="1"/>
    <col min="12812" max="12812" width="6.21875" style="2946" customWidth="1"/>
    <col min="12813" max="12813" width="27.77734375" style="2946" customWidth="1"/>
    <col min="12814" max="12814" width="7.88671875" style="2946" customWidth="1"/>
    <col min="12815" max="13056" width="9" style="2946"/>
    <col min="13057" max="13057" width="21.109375" style="2946" customWidth="1"/>
    <col min="13058" max="13058" width="6.21875" style="2946" customWidth="1"/>
    <col min="13059" max="13059" width="11.77734375" style="2946" customWidth="1"/>
    <col min="13060" max="13061" width="13.88671875" style="2946" customWidth="1"/>
    <col min="13062" max="13062" width="12.44140625" style="2946" customWidth="1"/>
    <col min="13063" max="13063" width="7.88671875" style="2946" customWidth="1"/>
    <col min="13064" max="13064" width="9" style="2946" customWidth="1"/>
    <col min="13065" max="13066" width="10.6640625" style="2946" customWidth="1"/>
    <col min="13067" max="13067" width="14.33203125" style="2946" customWidth="1"/>
    <col min="13068" max="13068" width="6.21875" style="2946" customWidth="1"/>
    <col min="13069" max="13069" width="27.77734375" style="2946" customWidth="1"/>
    <col min="13070" max="13070" width="7.88671875" style="2946" customWidth="1"/>
    <col min="13071" max="13312" width="9" style="2946"/>
    <col min="13313" max="13313" width="21.109375" style="2946" customWidth="1"/>
    <col min="13314" max="13314" width="6.21875" style="2946" customWidth="1"/>
    <col min="13315" max="13315" width="11.77734375" style="2946" customWidth="1"/>
    <col min="13316" max="13317" width="13.88671875" style="2946" customWidth="1"/>
    <col min="13318" max="13318" width="12.44140625" style="2946" customWidth="1"/>
    <col min="13319" max="13319" width="7.88671875" style="2946" customWidth="1"/>
    <col min="13320" max="13320" width="9" style="2946" customWidth="1"/>
    <col min="13321" max="13322" width="10.6640625" style="2946" customWidth="1"/>
    <col min="13323" max="13323" width="14.33203125" style="2946" customWidth="1"/>
    <col min="13324" max="13324" width="6.21875" style="2946" customWidth="1"/>
    <col min="13325" max="13325" width="27.77734375" style="2946" customWidth="1"/>
    <col min="13326" max="13326" width="7.88671875" style="2946" customWidth="1"/>
    <col min="13327" max="13568" width="9" style="2946"/>
    <col min="13569" max="13569" width="21.109375" style="2946" customWidth="1"/>
    <col min="13570" max="13570" width="6.21875" style="2946" customWidth="1"/>
    <col min="13571" max="13571" width="11.77734375" style="2946" customWidth="1"/>
    <col min="13572" max="13573" width="13.88671875" style="2946" customWidth="1"/>
    <col min="13574" max="13574" width="12.44140625" style="2946" customWidth="1"/>
    <col min="13575" max="13575" width="7.88671875" style="2946" customWidth="1"/>
    <col min="13576" max="13576" width="9" style="2946" customWidth="1"/>
    <col min="13577" max="13578" width="10.6640625" style="2946" customWidth="1"/>
    <col min="13579" max="13579" width="14.33203125" style="2946" customWidth="1"/>
    <col min="13580" max="13580" width="6.21875" style="2946" customWidth="1"/>
    <col min="13581" max="13581" width="27.77734375" style="2946" customWidth="1"/>
    <col min="13582" max="13582" width="7.88671875" style="2946" customWidth="1"/>
    <col min="13583" max="13824" width="9" style="2946"/>
    <col min="13825" max="13825" width="21.109375" style="2946" customWidth="1"/>
    <col min="13826" max="13826" width="6.21875" style="2946" customWidth="1"/>
    <col min="13827" max="13827" width="11.77734375" style="2946" customWidth="1"/>
    <col min="13828" max="13829" width="13.88671875" style="2946" customWidth="1"/>
    <col min="13830" max="13830" width="12.44140625" style="2946" customWidth="1"/>
    <col min="13831" max="13831" width="7.88671875" style="2946" customWidth="1"/>
    <col min="13832" max="13832" width="9" style="2946" customWidth="1"/>
    <col min="13833" max="13834" width="10.6640625" style="2946" customWidth="1"/>
    <col min="13835" max="13835" width="14.33203125" style="2946" customWidth="1"/>
    <col min="13836" max="13836" width="6.21875" style="2946" customWidth="1"/>
    <col min="13837" max="13837" width="27.77734375" style="2946" customWidth="1"/>
    <col min="13838" max="13838" width="7.88671875" style="2946" customWidth="1"/>
    <col min="13839" max="14080" width="9" style="2946"/>
    <col min="14081" max="14081" width="21.109375" style="2946" customWidth="1"/>
    <col min="14082" max="14082" width="6.21875" style="2946" customWidth="1"/>
    <col min="14083" max="14083" width="11.77734375" style="2946" customWidth="1"/>
    <col min="14084" max="14085" width="13.88671875" style="2946" customWidth="1"/>
    <col min="14086" max="14086" width="12.44140625" style="2946" customWidth="1"/>
    <col min="14087" max="14087" width="7.88671875" style="2946" customWidth="1"/>
    <col min="14088" max="14088" width="9" style="2946" customWidth="1"/>
    <col min="14089" max="14090" width="10.6640625" style="2946" customWidth="1"/>
    <col min="14091" max="14091" width="14.33203125" style="2946" customWidth="1"/>
    <col min="14092" max="14092" width="6.21875" style="2946" customWidth="1"/>
    <col min="14093" max="14093" width="27.77734375" style="2946" customWidth="1"/>
    <col min="14094" max="14094" width="7.88671875" style="2946" customWidth="1"/>
    <col min="14095" max="14336" width="9" style="2946"/>
    <col min="14337" max="14337" width="21.109375" style="2946" customWidth="1"/>
    <col min="14338" max="14338" width="6.21875" style="2946" customWidth="1"/>
    <col min="14339" max="14339" width="11.77734375" style="2946" customWidth="1"/>
    <col min="14340" max="14341" width="13.88671875" style="2946" customWidth="1"/>
    <col min="14342" max="14342" width="12.44140625" style="2946" customWidth="1"/>
    <col min="14343" max="14343" width="7.88671875" style="2946" customWidth="1"/>
    <col min="14344" max="14344" width="9" style="2946" customWidth="1"/>
    <col min="14345" max="14346" width="10.6640625" style="2946" customWidth="1"/>
    <col min="14347" max="14347" width="14.33203125" style="2946" customWidth="1"/>
    <col min="14348" max="14348" width="6.21875" style="2946" customWidth="1"/>
    <col min="14349" max="14349" width="27.77734375" style="2946" customWidth="1"/>
    <col min="14350" max="14350" width="7.88671875" style="2946" customWidth="1"/>
    <col min="14351" max="14592" width="9" style="2946"/>
    <col min="14593" max="14593" width="21.109375" style="2946" customWidth="1"/>
    <col min="14594" max="14594" width="6.21875" style="2946" customWidth="1"/>
    <col min="14595" max="14595" width="11.77734375" style="2946" customWidth="1"/>
    <col min="14596" max="14597" width="13.88671875" style="2946" customWidth="1"/>
    <col min="14598" max="14598" width="12.44140625" style="2946" customWidth="1"/>
    <col min="14599" max="14599" width="7.88671875" style="2946" customWidth="1"/>
    <col min="14600" max="14600" width="9" style="2946" customWidth="1"/>
    <col min="14601" max="14602" width="10.6640625" style="2946" customWidth="1"/>
    <col min="14603" max="14603" width="14.33203125" style="2946" customWidth="1"/>
    <col min="14604" max="14604" width="6.21875" style="2946" customWidth="1"/>
    <col min="14605" max="14605" width="27.77734375" style="2946" customWidth="1"/>
    <col min="14606" max="14606" width="7.88671875" style="2946" customWidth="1"/>
    <col min="14607" max="14848" width="9" style="2946"/>
    <col min="14849" max="14849" width="21.109375" style="2946" customWidth="1"/>
    <col min="14850" max="14850" width="6.21875" style="2946" customWidth="1"/>
    <col min="14851" max="14851" width="11.77734375" style="2946" customWidth="1"/>
    <col min="14852" max="14853" width="13.88671875" style="2946" customWidth="1"/>
    <col min="14854" max="14854" width="12.44140625" style="2946" customWidth="1"/>
    <col min="14855" max="14855" width="7.88671875" style="2946" customWidth="1"/>
    <col min="14856" max="14856" width="9" style="2946" customWidth="1"/>
    <col min="14857" max="14858" width="10.6640625" style="2946" customWidth="1"/>
    <col min="14859" max="14859" width="14.33203125" style="2946" customWidth="1"/>
    <col min="14860" max="14860" width="6.21875" style="2946" customWidth="1"/>
    <col min="14861" max="14861" width="27.77734375" style="2946" customWidth="1"/>
    <col min="14862" max="14862" width="7.88671875" style="2946" customWidth="1"/>
    <col min="14863" max="15104" width="9" style="2946"/>
    <col min="15105" max="15105" width="21.109375" style="2946" customWidth="1"/>
    <col min="15106" max="15106" width="6.21875" style="2946" customWidth="1"/>
    <col min="15107" max="15107" width="11.77734375" style="2946" customWidth="1"/>
    <col min="15108" max="15109" width="13.88671875" style="2946" customWidth="1"/>
    <col min="15110" max="15110" width="12.44140625" style="2946" customWidth="1"/>
    <col min="15111" max="15111" width="7.88671875" style="2946" customWidth="1"/>
    <col min="15112" max="15112" width="9" style="2946" customWidth="1"/>
    <col min="15113" max="15114" width="10.6640625" style="2946" customWidth="1"/>
    <col min="15115" max="15115" width="14.33203125" style="2946" customWidth="1"/>
    <col min="15116" max="15116" width="6.21875" style="2946" customWidth="1"/>
    <col min="15117" max="15117" width="27.77734375" style="2946" customWidth="1"/>
    <col min="15118" max="15118" width="7.88671875" style="2946" customWidth="1"/>
    <col min="15119" max="15360" width="9" style="2946"/>
    <col min="15361" max="15361" width="21.109375" style="2946" customWidth="1"/>
    <col min="15362" max="15362" width="6.21875" style="2946" customWidth="1"/>
    <col min="15363" max="15363" width="11.77734375" style="2946" customWidth="1"/>
    <col min="15364" max="15365" width="13.88671875" style="2946" customWidth="1"/>
    <col min="15366" max="15366" width="12.44140625" style="2946" customWidth="1"/>
    <col min="15367" max="15367" width="7.88671875" style="2946" customWidth="1"/>
    <col min="15368" max="15368" width="9" style="2946" customWidth="1"/>
    <col min="15369" max="15370" width="10.6640625" style="2946" customWidth="1"/>
    <col min="15371" max="15371" width="14.33203125" style="2946" customWidth="1"/>
    <col min="15372" max="15372" width="6.21875" style="2946" customWidth="1"/>
    <col min="15373" max="15373" width="27.77734375" style="2946" customWidth="1"/>
    <col min="15374" max="15374" width="7.88671875" style="2946" customWidth="1"/>
    <col min="15375" max="15616" width="9" style="2946"/>
    <col min="15617" max="15617" width="21.109375" style="2946" customWidth="1"/>
    <col min="15618" max="15618" width="6.21875" style="2946" customWidth="1"/>
    <col min="15619" max="15619" width="11.77734375" style="2946" customWidth="1"/>
    <col min="15620" max="15621" width="13.88671875" style="2946" customWidth="1"/>
    <col min="15622" max="15622" width="12.44140625" style="2946" customWidth="1"/>
    <col min="15623" max="15623" width="7.88671875" style="2946" customWidth="1"/>
    <col min="15624" max="15624" width="9" style="2946" customWidth="1"/>
    <col min="15625" max="15626" width="10.6640625" style="2946" customWidth="1"/>
    <col min="15627" max="15627" width="14.33203125" style="2946" customWidth="1"/>
    <col min="15628" max="15628" width="6.21875" style="2946" customWidth="1"/>
    <col min="15629" max="15629" width="27.77734375" style="2946" customWidth="1"/>
    <col min="15630" max="15630" width="7.88671875" style="2946" customWidth="1"/>
    <col min="15631" max="15872" width="9" style="2946"/>
    <col min="15873" max="15873" width="21.109375" style="2946" customWidth="1"/>
    <col min="15874" max="15874" width="6.21875" style="2946" customWidth="1"/>
    <col min="15875" max="15875" width="11.77734375" style="2946" customWidth="1"/>
    <col min="15876" max="15877" width="13.88671875" style="2946" customWidth="1"/>
    <col min="15878" max="15878" width="12.44140625" style="2946" customWidth="1"/>
    <col min="15879" max="15879" width="7.88671875" style="2946" customWidth="1"/>
    <col min="15880" max="15880" width="9" style="2946" customWidth="1"/>
    <col min="15881" max="15882" width="10.6640625" style="2946" customWidth="1"/>
    <col min="15883" max="15883" width="14.33203125" style="2946" customWidth="1"/>
    <col min="15884" max="15884" width="6.21875" style="2946" customWidth="1"/>
    <col min="15885" max="15885" width="27.77734375" style="2946" customWidth="1"/>
    <col min="15886" max="15886" width="7.88671875" style="2946" customWidth="1"/>
    <col min="15887" max="16128" width="9" style="2946"/>
    <col min="16129" max="16129" width="21.109375" style="2946" customWidth="1"/>
    <col min="16130" max="16130" width="6.21875" style="2946" customWidth="1"/>
    <col min="16131" max="16131" width="11.77734375" style="2946" customWidth="1"/>
    <col min="16132" max="16133" width="13.88671875" style="2946" customWidth="1"/>
    <col min="16134" max="16134" width="12.44140625" style="2946" customWidth="1"/>
    <col min="16135" max="16135" width="7.88671875" style="2946" customWidth="1"/>
    <col min="16136" max="16136" width="9" style="2946" customWidth="1"/>
    <col min="16137" max="16138" width="10.6640625" style="2946" customWidth="1"/>
    <col min="16139" max="16139" width="14.33203125" style="2946" customWidth="1"/>
    <col min="16140" max="16140" width="6.21875" style="2946" customWidth="1"/>
    <col min="16141" max="16141" width="27.77734375" style="2946" customWidth="1"/>
    <col min="16142" max="16142" width="7.88671875" style="2946" customWidth="1"/>
    <col min="16143" max="16384" width="9" style="2946"/>
  </cols>
  <sheetData>
    <row r="1" spans="1:14">
      <c r="A1" s="2946" t="s">
        <v>3044</v>
      </c>
      <c r="B1" s="2946" t="s">
        <v>3045</v>
      </c>
      <c r="C1" s="2946" t="s">
        <v>3046</v>
      </c>
      <c r="D1" s="2946" t="s">
        <v>3047</v>
      </c>
      <c r="E1" s="2946" t="s">
        <v>3048</v>
      </c>
      <c r="F1" s="2946" t="s">
        <v>3049</v>
      </c>
      <c r="G1" s="2946" t="s">
        <v>3050</v>
      </c>
      <c r="H1" s="2946" t="s">
        <v>3051</v>
      </c>
      <c r="I1" s="2946" t="s">
        <v>3052</v>
      </c>
      <c r="J1" s="2946" t="s">
        <v>3053</v>
      </c>
      <c r="K1" s="2946" t="s">
        <v>3054</v>
      </c>
      <c r="L1" s="2946" t="s">
        <v>3055</v>
      </c>
      <c r="M1" s="2946" t="s">
        <v>3056</v>
      </c>
      <c r="N1" s="2946" t="s">
        <v>3057</v>
      </c>
    </row>
    <row r="2" spans="1:14" s="2943" customFormat="1">
      <c r="A2" s="2943" t="s">
        <v>3095</v>
      </c>
      <c r="B2" s="2943" t="s">
        <v>3058</v>
      </c>
      <c r="C2" s="2943" t="s">
        <v>3096</v>
      </c>
      <c r="D2" s="2943">
        <v>4865</v>
      </c>
      <c r="E2" s="2943">
        <v>4059.2</v>
      </c>
      <c r="F2" s="2943" t="s">
        <v>3097</v>
      </c>
      <c r="G2" s="2943" t="s">
        <v>3059</v>
      </c>
      <c r="H2" s="2943" t="s">
        <v>3098</v>
      </c>
      <c r="I2" s="2943">
        <v>1300</v>
      </c>
      <c r="J2" s="2943">
        <v>1300</v>
      </c>
      <c r="K2" s="2943">
        <v>3202.59</v>
      </c>
      <c r="L2" s="2943">
        <v>0</v>
      </c>
      <c r="M2" s="2943" t="s">
        <v>3099</v>
      </c>
      <c r="N2" s="2943" t="s">
        <v>3060</v>
      </c>
    </row>
    <row r="3" spans="1:14" s="2943" customFormat="1">
      <c r="A3" s="2943" t="s">
        <v>3100</v>
      </c>
      <c r="B3" s="2943" t="s">
        <v>3058</v>
      </c>
      <c r="C3" s="2943" t="s">
        <v>3096</v>
      </c>
      <c r="D3" s="2943">
        <v>1887.6</v>
      </c>
      <c r="E3" s="2943">
        <v>4530.24</v>
      </c>
      <c r="F3" s="2943" t="s">
        <v>3082</v>
      </c>
      <c r="G3" s="2943" t="s">
        <v>3059</v>
      </c>
      <c r="H3" s="2943" t="s">
        <v>3081</v>
      </c>
      <c r="I3" s="2943">
        <v>1880</v>
      </c>
      <c r="J3" s="2943">
        <v>1880</v>
      </c>
      <c r="K3" s="2943">
        <v>4149.8900000000003</v>
      </c>
      <c r="L3" s="2943">
        <v>0</v>
      </c>
      <c r="M3" s="2943" t="s">
        <v>3101</v>
      </c>
      <c r="N3" s="2943" t="s">
        <v>3060</v>
      </c>
    </row>
    <row r="4" spans="1:14">
      <c r="A4" s="2946" t="s">
        <v>3102</v>
      </c>
      <c r="B4" s="2946" t="s">
        <v>3058</v>
      </c>
      <c r="C4" s="2946" t="s">
        <v>3096</v>
      </c>
      <c r="D4" s="2946">
        <v>16530</v>
      </c>
      <c r="E4" s="2946">
        <v>45457.5</v>
      </c>
      <c r="F4" s="2946" t="s">
        <v>3103</v>
      </c>
      <c r="G4" s="2946" t="s">
        <v>3059</v>
      </c>
      <c r="H4" s="2946" t="s">
        <v>3104</v>
      </c>
      <c r="I4" s="2946">
        <v>3300</v>
      </c>
      <c r="J4" s="2946">
        <v>6090</v>
      </c>
      <c r="K4" s="2946">
        <v>1339.71</v>
      </c>
      <c r="L4" s="2946">
        <v>84.55</v>
      </c>
      <c r="M4" s="2946" t="s">
        <v>3105</v>
      </c>
      <c r="N4" s="2946" t="s">
        <v>3060</v>
      </c>
    </row>
    <row r="5" spans="1:14">
      <c r="A5" s="2946" t="s">
        <v>3106</v>
      </c>
      <c r="B5" s="2946" t="s">
        <v>3058</v>
      </c>
      <c r="C5" s="2946" t="s">
        <v>3096</v>
      </c>
      <c r="D5" s="2946">
        <v>19615</v>
      </c>
      <c r="E5" s="2946">
        <v>68652.5</v>
      </c>
      <c r="F5" s="2946" t="s">
        <v>3107</v>
      </c>
      <c r="G5" s="2946" t="s">
        <v>3059</v>
      </c>
      <c r="H5" s="2946" t="s">
        <v>3104</v>
      </c>
      <c r="I5" s="2946">
        <v>6800</v>
      </c>
      <c r="J5" s="2946">
        <v>7050</v>
      </c>
      <c r="K5" s="2946">
        <v>1026.9100000000001</v>
      </c>
      <c r="L5" s="2946">
        <v>3.68</v>
      </c>
      <c r="M5" s="2946" t="s">
        <v>3108</v>
      </c>
      <c r="N5" s="2946" t="s">
        <v>3060</v>
      </c>
    </row>
    <row r="6" spans="1:14" s="2943" customFormat="1">
      <c r="A6" s="2943" t="s">
        <v>3166</v>
      </c>
      <c r="B6" s="2943" t="s">
        <v>3058</v>
      </c>
      <c r="C6" s="2943" t="s">
        <v>3096</v>
      </c>
      <c r="D6" s="2943">
        <v>13203</v>
      </c>
      <c r="E6" s="2943">
        <v>8581.9500000000007</v>
      </c>
      <c r="F6" s="2943" t="s">
        <v>3109</v>
      </c>
      <c r="G6" s="2943" t="s">
        <v>3059</v>
      </c>
      <c r="H6" s="2943" t="s">
        <v>3104</v>
      </c>
      <c r="I6" s="2943">
        <v>2900</v>
      </c>
      <c r="J6" s="2943">
        <v>2900</v>
      </c>
      <c r="K6" s="2943">
        <v>3379.19</v>
      </c>
      <c r="L6" s="2943">
        <v>0</v>
      </c>
      <c r="M6" s="2943" t="s">
        <v>3110</v>
      </c>
      <c r="N6" s="2943" t="s">
        <v>3060</v>
      </c>
    </row>
    <row r="7" spans="1:14">
      <c r="A7" s="2946" t="s">
        <v>3111</v>
      </c>
      <c r="B7" s="2946" t="s">
        <v>3058</v>
      </c>
      <c r="C7" s="2946" t="s">
        <v>3096</v>
      </c>
      <c r="D7" s="2946">
        <v>5507</v>
      </c>
      <c r="E7" s="2946">
        <v>11124.14</v>
      </c>
      <c r="F7" s="2946" t="s">
        <v>3112</v>
      </c>
      <c r="G7" s="2946" t="s">
        <v>3059</v>
      </c>
      <c r="H7" s="2946" t="s">
        <v>3104</v>
      </c>
      <c r="I7" s="2946">
        <v>4500</v>
      </c>
      <c r="J7" s="2946">
        <v>4550</v>
      </c>
      <c r="K7" s="2946">
        <v>4090.19</v>
      </c>
      <c r="L7" s="2946">
        <v>1.1100000000000001</v>
      </c>
      <c r="M7" s="2946" t="s">
        <v>3113</v>
      </c>
      <c r="N7" s="2946" t="s">
        <v>3083</v>
      </c>
    </row>
    <row r="8" spans="1:14">
      <c r="A8" s="2946" t="s">
        <v>3114</v>
      </c>
      <c r="B8" s="2946" t="s">
        <v>3058</v>
      </c>
      <c r="C8" s="2946" t="s">
        <v>3096</v>
      </c>
      <c r="D8" s="2946">
        <v>12497</v>
      </c>
      <c r="E8" s="2946">
        <v>31242.5</v>
      </c>
      <c r="F8" s="2946" t="s">
        <v>3084</v>
      </c>
      <c r="G8" s="2946" t="s">
        <v>3059</v>
      </c>
      <c r="H8" s="2946" t="s">
        <v>3104</v>
      </c>
      <c r="I8" s="2946">
        <v>6300</v>
      </c>
      <c r="J8" s="2946">
        <v>10000</v>
      </c>
      <c r="K8" s="2946">
        <v>3200.76</v>
      </c>
      <c r="L8" s="2946">
        <v>58.73</v>
      </c>
      <c r="M8" s="2946" t="s">
        <v>3115</v>
      </c>
      <c r="N8" s="2946" t="s">
        <v>3060</v>
      </c>
    </row>
    <row r="9" spans="1:14">
      <c r="A9" s="2946" t="s">
        <v>3116</v>
      </c>
      <c r="B9" s="2946" t="s">
        <v>3058</v>
      </c>
      <c r="C9" s="2946" t="s">
        <v>3096</v>
      </c>
      <c r="D9" s="2946">
        <v>8018</v>
      </c>
      <c r="E9" s="2946">
        <v>9621.6</v>
      </c>
      <c r="F9" s="2946" t="s">
        <v>3117</v>
      </c>
      <c r="G9" s="2946" t="s">
        <v>3059</v>
      </c>
      <c r="H9" s="2946" t="s">
        <v>3118</v>
      </c>
      <c r="I9" s="2946">
        <v>4070</v>
      </c>
      <c r="J9" s="2946">
        <v>6770</v>
      </c>
      <c r="K9" s="2946">
        <v>7036.25</v>
      </c>
      <c r="L9" s="2946">
        <v>66.34</v>
      </c>
      <c r="M9" s="2946" t="s">
        <v>3119</v>
      </c>
      <c r="N9" s="2946" t="s">
        <v>3060</v>
      </c>
    </row>
  </sheetData>
  <phoneticPr fontId="143" type="noConversion"/>
  <pageMargins left="0.75" right="0.75" top="1" bottom="1" header="0.5" footer="0.5"/>
  <pageSetup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F56" sqref="F5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3826</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2" t="s">
        <v>2631</v>
      </c>
      <c r="AC4" s="3171" t="s">
        <v>2632</v>
      </c>
    </row>
    <row r="5" spans="1:30">
      <c r="A5" s="404"/>
      <c r="B5" s="405"/>
      <c r="C5" s="3191" t="s">
        <v>2525</v>
      </c>
      <c r="D5" s="3192"/>
      <c r="E5" s="3198" t="str">
        <f>Sheet0!A2</f>
        <v>2019-1-3(R1903)</v>
      </c>
      <c r="F5" s="3199"/>
      <c r="G5" s="3191" t="str">
        <f>Sheet0!A3</f>
        <v>2018-5-7原食品公司地块</v>
      </c>
      <c r="H5" s="3192"/>
      <c r="I5" s="3191" t="str">
        <f>Sheet0!A6</f>
        <v>铭东路以北,慈行路以西</v>
      </c>
      <c r="J5" s="3192"/>
      <c r="K5" s="610"/>
      <c r="L5" s="1127"/>
      <c r="M5" s="1128"/>
      <c r="N5" s="1128"/>
      <c r="O5" s="1128"/>
      <c r="P5" s="3179"/>
      <c r="Q5" s="3180"/>
      <c r="R5" s="3185"/>
      <c r="S5" s="3186"/>
      <c r="T5" s="3185"/>
      <c r="U5" s="3186"/>
      <c r="V5" s="3170"/>
      <c r="W5" s="3170"/>
      <c r="X5" s="1808"/>
      <c r="Y5" s="3185"/>
      <c r="Z5" s="3186"/>
      <c r="AA5" s="3172"/>
      <c r="AB5" s="3172"/>
      <c r="AC5" s="3172"/>
    </row>
    <row r="6" spans="1:30" ht="15" thickBot="1">
      <c r="A6" s="406"/>
      <c r="B6" s="407"/>
      <c r="C6" s="3189" t="s">
        <v>2529</v>
      </c>
      <c r="D6" s="3190"/>
      <c r="E6" s="3196" t="s">
        <v>2529</v>
      </c>
      <c r="F6" s="3197"/>
      <c r="G6" s="3189" t="s">
        <v>2529</v>
      </c>
      <c r="H6" s="3190"/>
      <c r="I6" s="3189" t="s">
        <v>2529</v>
      </c>
      <c r="J6" s="3190"/>
      <c r="K6" s="610" t="s">
        <v>2530</v>
      </c>
      <c r="L6" s="1127"/>
      <c r="M6" s="1128"/>
      <c r="N6" s="1128"/>
      <c r="O6" s="1128"/>
      <c r="P6" s="3181"/>
      <c r="Q6" s="3182"/>
      <c r="R6" s="3185"/>
      <c r="S6" s="3186"/>
      <c r="T6" s="3187"/>
      <c r="U6" s="3188"/>
      <c r="V6" s="3170"/>
      <c r="W6" s="3170"/>
      <c r="X6" s="1808"/>
      <c r="Y6" s="3187"/>
      <c r="Z6" s="3188"/>
      <c r="AA6" s="3173"/>
      <c r="AB6" s="3173"/>
      <c r="AC6" s="3173"/>
    </row>
    <row r="7" spans="1:30" s="117" customFormat="1" ht="15" thickBot="1">
      <c r="A7" s="408" t="s">
        <v>2531</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93" t="s">
        <v>2532</v>
      </c>
      <c r="Q7" s="3195"/>
      <c r="R7" s="770" t="s">
        <v>17</v>
      </c>
      <c r="S7" s="771">
        <f t="shared" ref="S7:S15" si="0">F7</f>
        <v>99.5</v>
      </c>
      <c r="T7" s="770" t="s">
        <v>17</v>
      </c>
      <c r="U7" s="771">
        <f t="shared" ref="U7:U15" si="1">H7</f>
        <v>98.5</v>
      </c>
      <c r="V7" s="770" t="s">
        <v>17</v>
      </c>
      <c r="W7" s="771">
        <f t="shared" ref="W7:W15" si="2">J7</f>
        <v>97.5</v>
      </c>
      <c r="X7" s="772"/>
      <c r="Y7" s="3193" t="s">
        <v>2532</v>
      </c>
      <c r="Z7" s="3194"/>
      <c r="AA7" s="773">
        <f>D7/F7</f>
        <v>1.0050251256281406</v>
      </c>
      <c r="AB7" s="773">
        <f>D7/H7</f>
        <v>1.015228426395939</v>
      </c>
      <c r="AC7" s="773">
        <f>D7/J7</f>
        <v>1.0256410256410255</v>
      </c>
    </row>
    <row r="8" spans="1:30" s="117" customFormat="1" ht="15" thickBot="1">
      <c r="A8" s="408" t="s">
        <v>2533</v>
      </c>
      <c r="B8" s="409"/>
      <c r="C8" s="414" t="s">
        <v>2534</v>
      </c>
      <c r="D8" s="411">
        <v>100</v>
      </c>
      <c r="E8" s="414" t="s">
        <v>3068</v>
      </c>
      <c r="F8" s="413">
        <f>SUMIF(73:73,E8,74:74)-SUMIF(73:73,C8,74:74)+100</f>
        <v>100</v>
      </c>
      <c r="G8" s="414" t="s">
        <v>3068</v>
      </c>
      <c r="H8" s="411">
        <f>SUMIF(73:73,G8,74:74)-SUMIF(73:73,C8,74:74)+100</f>
        <v>100</v>
      </c>
      <c r="I8" s="414" t="s">
        <v>3068</v>
      </c>
      <c r="J8" s="411">
        <f>SUMIF(73:73,I8,74:74)-SUMIF(73:73,C8,74:74)+100</f>
        <v>100</v>
      </c>
      <c r="K8" s="611"/>
      <c r="L8" s="1129"/>
      <c r="M8" s="1130"/>
      <c r="N8" s="1130"/>
      <c r="O8" s="1130"/>
      <c r="P8" s="3193" t="s">
        <v>2535</v>
      </c>
      <c r="Q8" s="3194"/>
      <c r="R8" s="770" t="s">
        <v>17</v>
      </c>
      <c r="S8" s="771">
        <f t="shared" si="0"/>
        <v>100</v>
      </c>
      <c r="T8" s="770" t="s">
        <v>17</v>
      </c>
      <c r="U8" s="771">
        <f t="shared" si="1"/>
        <v>100</v>
      </c>
      <c r="V8" s="770" t="s">
        <v>17</v>
      </c>
      <c r="W8" s="771">
        <f t="shared" si="2"/>
        <v>100</v>
      </c>
      <c r="X8" s="772"/>
      <c r="Y8" s="3193" t="s">
        <v>2535</v>
      </c>
      <c r="Z8" s="3194"/>
      <c r="AA8" s="773">
        <f t="shared" ref="AA8:AA45" si="3">D8/F8</f>
        <v>1</v>
      </c>
      <c r="AB8" s="773">
        <f t="shared" ref="AB8:AB45" si="4">D8/H8</f>
        <v>1</v>
      </c>
      <c r="AC8" s="773">
        <f t="shared" ref="AC8:AC45" si="5">D8/J8</f>
        <v>1</v>
      </c>
    </row>
    <row r="9" spans="1:30" s="117" customFormat="1" ht="14.4">
      <c r="A9" s="415" t="s">
        <v>2536</v>
      </c>
      <c r="B9" s="71" t="s">
        <v>2537</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64"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30" s="427" customFormat="1" ht="28.8">
      <c r="A10" s="421"/>
      <c r="B10" s="422" t="s">
        <v>2540</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64"/>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30" ht="15">
      <c r="A11" s="428"/>
      <c r="B11" s="422" t="s">
        <v>2541</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64"/>
      <c r="Q11" s="1790" t="str">
        <f t="shared" si="6"/>
        <v>容积率</v>
      </c>
      <c r="R11" s="770" t="s">
        <v>17</v>
      </c>
      <c r="S11" s="771">
        <f t="shared" si="0"/>
        <v>100</v>
      </c>
      <c r="T11" s="770" t="s">
        <v>17</v>
      </c>
      <c r="U11" s="771">
        <f t="shared" si="1"/>
        <v>90</v>
      </c>
      <c r="V11" s="770" t="s">
        <v>17</v>
      </c>
      <c r="W11" s="771">
        <f t="shared" si="2"/>
        <v>100</v>
      </c>
      <c r="X11" s="772"/>
      <c r="Y11" s="3012"/>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4"/>
      <c r="Q12" s="1790">
        <f t="shared" si="6"/>
        <v>0</v>
      </c>
      <c r="R12" s="770" t="s">
        <v>17</v>
      </c>
      <c r="S12" s="771">
        <f t="shared" si="0"/>
        <v>100</v>
      </c>
      <c r="T12" s="770" t="s">
        <v>17</v>
      </c>
      <c r="U12" s="771">
        <f t="shared" si="1"/>
        <v>100</v>
      </c>
      <c r="V12" s="770" t="s">
        <v>17</v>
      </c>
      <c r="W12" s="771">
        <f t="shared" si="2"/>
        <v>100</v>
      </c>
      <c r="X12" s="772"/>
      <c r="Y12" s="3012"/>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4"/>
      <c r="Q13" s="1790">
        <f t="shared" si="6"/>
        <v>0</v>
      </c>
      <c r="R13" s="770" t="s">
        <v>17</v>
      </c>
      <c r="S13" s="771">
        <f t="shared" si="0"/>
        <v>100</v>
      </c>
      <c r="T13" s="770" t="s">
        <v>17</v>
      </c>
      <c r="U13" s="771">
        <f t="shared" si="1"/>
        <v>100</v>
      </c>
      <c r="V13" s="770" t="s">
        <v>17</v>
      </c>
      <c r="W13" s="771">
        <f t="shared" si="2"/>
        <v>100</v>
      </c>
      <c r="X13" s="772"/>
      <c r="Y13" s="3012"/>
      <c r="Z13" s="55">
        <f t="shared" si="7"/>
        <v>0</v>
      </c>
      <c r="AA13" s="773">
        <f>D13/F13</f>
        <v>1</v>
      </c>
      <c r="AB13" s="773">
        <f>D13/H13</f>
        <v>1</v>
      </c>
      <c r="AC13" s="773">
        <f>D13/J13</f>
        <v>1</v>
      </c>
    </row>
    <row r="14" spans="1:30" ht="15.6"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4"/>
      <c r="Q14" s="1790">
        <f t="shared" si="6"/>
        <v>0</v>
      </c>
      <c r="R14" s="770" t="s">
        <v>17</v>
      </c>
      <c r="S14" s="771">
        <f t="shared" si="0"/>
        <v>100</v>
      </c>
      <c r="T14" s="770" t="s">
        <v>17</v>
      </c>
      <c r="U14" s="771">
        <f t="shared" si="1"/>
        <v>100</v>
      </c>
      <c r="V14" s="770" t="s">
        <v>17</v>
      </c>
      <c r="W14" s="771">
        <f t="shared" si="2"/>
        <v>100</v>
      </c>
      <c r="X14" s="772"/>
      <c r="Y14" s="3012"/>
      <c r="Z14" s="55">
        <f t="shared" si="7"/>
        <v>0</v>
      </c>
      <c r="AA14" s="773">
        <f>D14/F14</f>
        <v>1</v>
      </c>
      <c r="AB14" s="773">
        <f>D14/H14</f>
        <v>1</v>
      </c>
      <c r="AC14" s="773">
        <f>D14/J14</f>
        <v>1</v>
      </c>
    </row>
    <row r="15" spans="1:30" ht="15" hidden="1">
      <c r="A15" s="440" t="s">
        <v>2542</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66" t="s">
        <v>2543</v>
      </c>
      <c r="Q15" s="1805" t="str">
        <f t="shared" si="6"/>
        <v>居住社区成熟度</v>
      </c>
      <c r="R15" s="774" t="s">
        <v>17</v>
      </c>
      <c r="S15" s="775">
        <f t="shared" si="0"/>
        <v>100</v>
      </c>
      <c r="T15" s="774" t="s">
        <v>17</v>
      </c>
      <c r="U15" s="775">
        <f t="shared" si="1"/>
        <v>100</v>
      </c>
      <c r="V15" s="774" t="s">
        <v>17</v>
      </c>
      <c r="W15" s="775">
        <f t="shared" si="2"/>
        <v>100</v>
      </c>
      <c r="X15" s="1808"/>
      <c r="Y15" s="3166" t="s">
        <v>2543</v>
      </c>
      <c r="Z15" s="1809" t="str">
        <f t="shared" si="7"/>
        <v>居住社区成熟度</v>
      </c>
      <c r="AA15" s="1806">
        <f t="shared" si="3"/>
        <v>1</v>
      </c>
      <c r="AB15" s="1806">
        <f t="shared" si="4"/>
        <v>1</v>
      </c>
      <c r="AC15" s="1806">
        <f t="shared" si="5"/>
        <v>1</v>
      </c>
    </row>
    <row r="16" spans="1:30" ht="15" hidden="1">
      <c r="A16" s="428"/>
      <c r="B16" s="446"/>
      <c r="C16" s="447" t="s">
        <v>3066</v>
      </c>
      <c r="D16" s="448"/>
      <c r="E16" s="447" t="s">
        <v>3066</v>
      </c>
      <c r="F16" s="448"/>
      <c r="G16" s="447" t="s">
        <v>3066</v>
      </c>
      <c r="H16" s="450"/>
      <c r="I16" s="447" t="s">
        <v>3066</v>
      </c>
      <c r="J16" s="448"/>
      <c r="K16" s="672"/>
      <c r="L16" s="1137"/>
      <c r="M16" s="1128"/>
      <c r="N16" s="1128"/>
      <c r="O16" s="1136"/>
      <c r="P16" s="3167"/>
      <c r="Q16" s="1805"/>
      <c r="R16" s="774"/>
      <c r="S16" s="775"/>
      <c r="T16" s="774"/>
      <c r="U16" s="775"/>
      <c r="V16" s="774"/>
      <c r="W16" s="775"/>
      <c r="X16" s="1808"/>
      <c r="Y16" s="3167"/>
      <c r="Z16" s="1809"/>
      <c r="AA16" s="1806">
        <v>1</v>
      </c>
      <c r="AB16" s="1806">
        <v>1</v>
      </c>
      <c r="AC16" s="1806">
        <v>1</v>
      </c>
    </row>
    <row r="17" spans="1:29" ht="15">
      <c r="A17" s="428"/>
      <c r="B17" s="451" t="s">
        <v>2636</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67"/>
      <c r="Q17" s="1805" t="str">
        <f>B17</f>
        <v>商业繁华度</v>
      </c>
      <c r="R17" s="774" t="s">
        <v>17</v>
      </c>
      <c r="S17" s="775">
        <f>F17</f>
        <v>100</v>
      </c>
      <c r="T17" s="774" t="s">
        <v>17</v>
      </c>
      <c r="U17" s="775">
        <f>H17</f>
        <v>100</v>
      </c>
      <c r="V17" s="774" t="s">
        <v>17</v>
      </c>
      <c r="W17" s="775">
        <f>J17</f>
        <v>100</v>
      </c>
      <c r="X17" s="1808"/>
      <c r="Y17" s="3167"/>
      <c r="Z17" s="1809" t="str">
        <f>Q17</f>
        <v>商业繁华度</v>
      </c>
      <c r="AA17" s="1806">
        <f t="shared" si="3"/>
        <v>1</v>
      </c>
      <c r="AB17" s="1806">
        <f t="shared" si="4"/>
        <v>1</v>
      </c>
      <c r="AC17" s="1806">
        <f t="shared" si="5"/>
        <v>1</v>
      </c>
    </row>
    <row r="18" spans="1:29" ht="15">
      <c r="A18" s="428"/>
      <c r="B18" s="456"/>
      <c r="C18" s="447" t="s">
        <v>3066</v>
      </c>
      <c r="D18" s="450"/>
      <c r="E18" s="447" t="s">
        <v>3066</v>
      </c>
      <c r="F18" s="450"/>
      <c r="G18" s="447" t="s">
        <v>3066</v>
      </c>
      <c r="H18" s="448"/>
      <c r="I18" s="447" t="s">
        <v>3066</v>
      </c>
      <c r="J18" s="448"/>
      <c r="K18" s="672"/>
      <c r="L18" s="1137"/>
      <c r="M18" s="1128"/>
      <c r="N18" s="1128"/>
      <c r="O18" s="1136"/>
      <c r="P18" s="3167"/>
      <c r="Q18" s="1805"/>
      <c r="R18" s="774"/>
      <c r="S18" s="775"/>
      <c r="T18" s="774"/>
      <c r="U18" s="775"/>
      <c r="V18" s="774"/>
      <c r="W18" s="775"/>
      <c r="X18" s="1808"/>
      <c r="Y18" s="3167"/>
      <c r="Z18" s="1809"/>
      <c r="AA18" s="1806">
        <v>1</v>
      </c>
      <c r="AB18" s="1806">
        <v>1</v>
      </c>
      <c r="AC18" s="1806">
        <v>1</v>
      </c>
    </row>
    <row r="19" spans="1:29" ht="15" hidden="1">
      <c r="A19" s="428"/>
      <c r="B19" s="451" t="s">
        <v>2670</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67"/>
      <c r="Q19" s="1805" t="str">
        <f>B19</f>
        <v>办公集聚程度</v>
      </c>
      <c r="R19" s="774" t="s">
        <v>17</v>
      </c>
      <c r="S19" s="775">
        <f>F19</f>
        <v>100</v>
      </c>
      <c r="T19" s="774" t="s">
        <v>17</v>
      </c>
      <c r="U19" s="775">
        <f>H19</f>
        <v>100</v>
      </c>
      <c r="V19" s="774" t="s">
        <v>17</v>
      </c>
      <c r="W19" s="775">
        <f>J19</f>
        <v>100</v>
      </c>
      <c r="X19" s="1808"/>
      <c r="Y19" s="3167"/>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67"/>
      <c r="Q20" s="1805"/>
      <c r="R20" s="774"/>
      <c r="S20" s="775"/>
      <c r="T20" s="774"/>
      <c r="U20" s="775"/>
      <c r="V20" s="774"/>
      <c r="W20" s="775"/>
      <c r="X20" s="1808"/>
      <c r="Y20" s="3167"/>
      <c r="Z20" s="1809"/>
      <c r="AA20" s="1806">
        <v>1</v>
      </c>
      <c r="AB20" s="1806">
        <v>1</v>
      </c>
      <c r="AC20" s="1806">
        <v>1</v>
      </c>
    </row>
    <row r="21" spans="1:29" ht="15">
      <c r="A21" s="428"/>
      <c r="B21" s="451" t="s">
        <v>2692</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67"/>
      <c r="Q21" s="1805" t="str">
        <f>B21</f>
        <v>交通便捷度</v>
      </c>
      <c r="R21" s="774" t="s">
        <v>17</v>
      </c>
      <c r="S21" s="775">
        <f>F21</f>
        <v>100</v>
      </c>
      <c r="T21" s="774" t="s">
        <v>17</v>
      </c>
      <c r="U21" s="775">
        <f>H21</f>
        <v>100</v>
      </c>
      <c r="V21" s="774" t="s">
        <v>17</v>
      </c>
      <c r="W21" s="775">
        <f>J21</f>
        <v>100</v>
      </c>
      <c r="X21" s="1808"/>
      <c r="Y21" s="3167"/>
      <c r="Z21" s="1809" t="str">
        <f>Q21</f>
        <v>交通便捷度</v>
      </c>
      <c r="AA21" s="1806">
        <f t="shared" si="3"/>
        <v>1</v>
      </c>
      <c r="AB21" s="1806">
        <f t="shared" si="4"/>
        <v>1</v>
      </c>
      <c r="AC21" s="1806">
        <f t="shared" si="5"/>
        <v>1</v>
      </c>
    </row>
    <row r="22" spans="1:29" ht="15">
      <c r="A22" s="428"/>
      <c r="B22" s="1381"/>
      <c r="C22" s="447" t="s">
        <v>3066</v>
      </c>
      <c r="D22" s="450"/>
      <c r="E22" s="447" t="s">
        <v>3066</v>
      </c>
      <c r="F22" s="448"/>
      <c r="G22" s="447" t="s">
        <v>3066</v>
      </c>
      <c r="H22" s="448"/>
      <c r="I22" s="447" t="s">
        <v>3066</v>
      </c>
      <c r="J22" s="448"/>
      <c r="K22" s="672"/>
      <c r="L22" s="1137"/>
      <c r="M22" s="1128"/>
      <c r="N22" s="1128"/>
      <c r="O22" s="1136"/>
      <c r="P22" s="3167"/>
      <c r="Q22" s="1805"/>
      <c r="R22" s="774"/>
      <c r="S22" s="775"/>
      <c r="T22" s="774"/>
      <c r="U22" s="775"/>
      <c r="V22" s="774"/>
      <c r="W22" s="775"/>
      <c r="X22" s="1808"/>
      <c r="Y22" s="3167"/>
      <c r="Z22" s="1809"/>
      <c r="AA22" s="1806">
        <v>1</v>
      </c>
      <c r="AB22" s="1806">
        <v>1</v>
      </c>
      <c r="AC22" s="1806">
        <v>1</v>
      </c>
    </row>
    <row r="23" spans="1:29" ht="28.8">
      <c r="A23" s="404"/>
      <c r="B23" s="451" t="s">
        <v>2730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167"/>
      <c r="Q23" s="1805" t="str">
        <f t="shared" ref="Q23:Q37" si="8">B23</f>
        <v>区域土地利用方向</v>
      </c>
      <c r="R23" s="774" t="s">
        <v>17</v>
      </c>
      <c r="S23" s="775">
        <f>F23</f>
        <v>100</v>
      </c>
      <c r="T23" s="774" t="s">
        <v>17</v>
      </c>
      <c r="U23" s="775">
        <f>H23</f>
        <v>100</v>
      </c>
      <c r="V23" s="774" t="s">
        <v>17</v>
      </c>
      <c r="W23" s="775">
        <f>J23</f>
        <v>100</v>
      </c>
      <c r="X23" s="1808"/>
      <c r="Y23" s="3167"/>
      <c r="Z23" s="1809" t="str">
        <f>Q23</f>
        <v>区域土地利用方向</v>
      </c>
      <c r="AA23" s="1806">
        <f t="shared" si="3"/>
        <v>1</v>
      </c>
      <c r="AB23" s="1806">
        <f t="shared" si="4"/>
        <v>1</v>
      </c>
      <c r="AC23" s="1806">
        <f t="shared" si="5"/>
        <v>1</v>
      </c>
    </row>
    <row r="24" spans="1:29" ht="15">
      <c r="A24" s="404"/>
      <c r="B24" s="456"/>
      <c r="C24" s="447" t="s">
        <v>3066</v>
      </c>
      <c r="D24" s="448"/>
      <c r="E24" s="447" t="s">
        <v>3066</v>
      </c>
      <c r="F24" s="448"/>
      <c r="G24" s="447" t="s">
        <v>3066</v>
      </c>
      <c r="H24" s="448"/>
      <c r="I24" s="447" t="s">
        <v>3066</v>
      </c>
      <c r="J24" s="448"/>
      <c r="K24" s="809"/>
      <c r="L24" s="1137"/>
      <c r="M24" s="1128"/>
      <c r="N24" s="1128"/>
      <c r="O24" s="1136"/>
      <c r="P24" s="3167"/>
      <c r="Q24" s="1805"/>
      <c r="R24" s="774"/>
      <c r="S24" s="775"/>
      <c r="T24" s="774"/>
      <c r="U24" s="775"/>
      <c r="V24" s="774"/>
      <c r="W24" s="775"/>
      <c r="X24" s="1808"/>
      <c r="Y24" s="3167"/>
      <c r="Z24" s="1809"/>
      <c r="AA24" s="1806"/>
      <c r="AB24" s="1806"/>
      <c r="AC24" s="1806"/>
    </row>
    <row r="25" spans="1:29" ht="28.8">
      <c r="A25" s="404"/>
      <c r="B25" s="1381" t="s">
        <v>2731</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37"/>
      <c r="M25" s="1128"/>
      <c r="N25" s="1128"/>
      <c r="O25" s="1136"/>
      <c r="P25" s="3167"/>
      <c r="Q25" s="1805" t="str">
        <f t="shared" si="8"/>
        <v>自然及人文环境状况</v>
      </c>
      <c r="R25" s="774" t="s">
        <v>17</v>
      </c>
      <c r="S25" s="775">
        <f>F25</f>
        <v>100</v>
      </c>
      <c r="T25" s="774" t="s">
        <v>17</v>
      </c>
      <c r="U25" s="775">
        <f>H25</f>
        <v>100</v>
      </c>
      <c r="V25" s="774" t="s">
        <v>17</v>
      </c>
      <c r="W25" s="775">
        <f>J25</f>
        <v>100</v>
      </c>
      <c r="X25" s="1808"/>
      <c r="Y25" s="3167"/>
      <c r="Z25" s="1809" t="str">
        <f>Q25</f>
        <v>自然及人文环境状况</v>
      </c>
      <c r="AA25" s="1806">
        <f t="shared" si="3"/>
        <v>1</v>
      </c>
      <c r="AB25" s="1806">
        <f t="shared" si="4"/>
        <v>1</v>
      </c>
      <c r="AC25" s="1806">
        <f t="shared" si="5"/>
        <v>1</v>
      </c>
    </row>
    <row r="26" spans="1:29" ht="15">
      <c r="A26" s="404"/>
      <c r="B26" s="456"/>
      <c r="C26" s="447" t="s">
        <v>3066</v>
      </c>
      <c r="D26" s="448"/>
      <c r="E26" s="447" t="s">
        <v>3066</v>
      </c>
      <c r="F26" s="448"/>
      <c r="G26" s="447" t="s">
        <v>3066</v>
      </c>
      <c r="H26" s="448"/>
      <c r="I26" s="447" t="s">
        <v>3066</v>
      </c>
      <c r="J26" s="448"/>
      <c r="K26" s="672"/>
      <c r="L26" s="1137"/>
      <c r="M26" s="1128"/>
      <c r="N26" s="1128"/>
      <c r="O26" s="1136"/>
      <c r="P26" s="3167"/>
      <c r="Q26" s="1805"/>
      <c r="R26" s="774"/>
      <c r="S26" s="775"/>
      <c r="T26" s="774"/>
      <c r="U26" s="775"/>
      <c r="V26" s="774"/>
      <c r="W26" s="775"/>
      <c r="X26" s="1808"/>
      <c r="Y26" s="3167"/>
      <c r="Z26" s="1809"/>
      <c r="AA26" s="1806">
        <v>1</v>
      </c>
      <c r="AB26" s="1806">
        <v>1</v>
      </c>
      <c r="AC26" s="1806">
        <v>1</v>
      </c>
    </row>
    <row r="27" spans="1:29" s="117" customFormat="1" ht="15">
      <c r="A27" s="649"/>
      <c r="B27" s="1381" t="s">
        <v>2637</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29"/>
      <c r="M27" s="1130"/>
      <c r="N27" s="1130"/>
      <c r="O27" s="1131"/>
      <c r="P27" s="3167"/>
      <c r="Q27" s="1790" t="str">
        <f t="shared" si="8"/>
        <v>公共配套设施</v>
      </c>
      <c r="R27" s="770" t="s">
        <v>17</v>
      </c>
      <c r="S27" s="771">
        <f>F27</f>
        <v>100</v>
      </c>
      <c r="T27" s="770" t="s">
        <v>17</v>
      </c>
      <c r="U27" s="771">
        <f>H27</f>
        <v>100</v>
      </c>
      <c r="V27" s="770" t="s">
        <v>17</v>
      </c>
      <c r="W27" s="771">
        <f>J27</f>
        <v>100</v>
      </c>
      <c r="X27" s="772"/>
      <c r="Y27" s="3167"/>
      <c r="Z27" s="55" t="str">
        <f>Q27</f>
        <v>公共配套设施</v>
      </c>
      <c r="AA27" s="1806">
        <f>D27/F27</f>
        <v>1</v>
      </c>
      <c r="AB27" s="1806">
        <f>D27/H27</f>
        <v>1</v>
      </c>
      <c r="AC27" s="1806">
        <f>D27/J27</f>
        <v>1</v>
      </c>
    </row>
    <row r="28" spans="1:29" s="117" customFormat="1" ht="15">
      <c r="A28" s="649"/>
      <c r="B28" s="456"/>
      <c r="C28" s="447" t="s">
        <v>3066</v>
      </c>
      <c r="D28" s="448"/>
      <c r="E28" s="447" t="s">
        <v>3066</v>
      </c>
      <c r="F28" s="448"/>
      <c r="G28" s="447" t="s">
        <v>3066</v>
      </c>
      <c r="H28" s="448"/>
      <c r="I28" s="447" t="s">
        <v>3066</v>
      </c>
      <c r="J28" s="448"/>
      <c r="K28" s="672"/>
      <c r="L28" s="1129"/>
      <c r="M28" s="1130"/>
      <c r="N28" s="1130"/>
      <c r="O28" s="1131"/>
      <c r="P28" s="3167"/>
      <c r="Q28" s="1790"/>
      <c r="R28" s="770"/>
      <c r="S28" s="771"/>
      <c r="T28" s="770"/>
      <c r="U28" s="771"/>
      <c r="V28" s="770"/>
      <c r="W28" s="771"/>
      <c r="X28" s="772"/>
      <c r="Y28" s="3167"/>
      <c r="Z28" s="55"/>
      <c r="AA28" s="1806">
        <v>1</v>
      </c>
      <c r="AB28" s="1806">
        <v>1</v>
      </c>
      <c r="AC28" s="1806">
        <v>1</v>
      </c>
    </row>
    <row r="29" spans="1:29" s="117" customFormat="1" ht="15">
      <c r="A29" s="649"/>
      <c r="B29" s="1381" t="s">
        <v>2638</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67"/>
      <c r="Q29" s="1790" t="str">
        <f t="shared" ref="Q29" si="9">B29</f>
        <v>基础设施水平</v>
      </c>
      <c r="R29" s="770" t="s">
        <v>17</v>
      </c>
      <c r="S29" s="771">
        <f>F29</f>
        <v>100</v>
      </c>
      <c r="T29" s="770" t="s">
        <v>17</v>
      </c>
      <c r="U29" s="771">
        <f>H29</f>
        <v>100</v>
      </c>
      <c r="V29" s="770" t="s">
        <v>17</v>
      </c>
      <c r="W29" s="771">
        <f>J29</f>
        <v>100</v>
      </c>
      <c r="X29" s="772"/>
      <c r="Y29" s="3167"/>
      <c r="Z29" s="55" t="str">
        <f>Q29</f>
        <v>基础设施水平</v>
      </c>
      <c r="AA29" s="1806">
        <f>D29/F29</f>
        <v>1</v>
      </c>
      <c r="AB29" s="1806">
        <f>D29/H29</f>
        <v>1</v>
      </c>
      <c r="AC29" s="1806">
        <f>D29/J29</f>
        <v>1</v>
      </c>
    </row>
    <row r="30" spans="1:29" s="117" customFormat="1" ht="15.6" thickBot="1">
      <c r="A30" s="649"/>
      <c r="B30" s="456"/>
      <c r="C30" s="2693" t="s">
        <v>3088</v>
      </c>
      <c r="D30" s="448"/>
      <c r="E30" s="2693" t="s">
        <v>3088</v>
      </c>
      <c r="F30" s="448"/>
      <c r="G30" s="2693" t="s">
        <v>3088</v>
      </c>
      <c r="H30" s="448"/>
      <c r="I30" s="2693" t="s">
        <v>3088</v>
      </c>
      <c r="J30" s="448"/>
      <c r="K30" s="672"/>
      <c r="L30" s="1129"/>
      <c r="M30" s="1130"/>
      <c r="N30" s="1130"/>
      <c r="O30" s="1131"/>
      <c r="P30" s="3167"/>
      <c r="Q30" s="1790"/>
      <c r="R30" s="770"/>
      <c r="S30" s="771"/>
      <c r="T30" s="770"/>
      <c r="U30" s="771"/>
      <c r="V30" s="770"/>
      <c r="W30" s="771"/>
      <c r="X30" s="772"/>
      <c r="Y30" s="3167"/>
      <c r="Z30" s="55"/>
      <c r="AA30" s="1806">
        <v>1</v>
      </c>
      <c r="AB30" s="1806">
        <v>1</v>
      </c>
      <c r="AC30" s="1806">
        <v>1</v>
      </c>
    </row>
    <row r="31" spans="1:29" ht="15" hidden="1">
      <c r="A31" s="428"/>
      <c r="B31" s="456" t="s">
        <v>2639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67"/>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67"/>
      <c r="Z31" s="1809" t="str">
        <f t="shared" ref="Z31:Z45" si="13">Q31</f>
        <v>临街状况</v>
      </c>
      <c r="AA31" s="1806">
        <f t="shared" si="3"/>
        <v>1</v>
      </c>
      <c r="AB31" s="1806">
        <f t="shared" si="4"/>
        <v>1</v>
      </c>
      <c r="AC31" s="1806">
        <f t="shared" si="5"/>
        <v>1</v>
      </c>
    </row>
    <row r="32" spans="1:29" ht="28.8" hidden="1">
      <c r="A32" s="428"/>
      <c r="B32" s="1381"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67"/>
      <c r="Q32" s="1805" t="str">
        <f t="shared" si="8"/>
        <v>毗邻道路的类型与等级</v>
      </c>
      <c r="R32" s="774" t="s">
        <v>17</v>
      </c>
      <c r="S32" s="775">
        <f t="shared" si="10"/>
        <v>100</v>
      </c>
      <c r="T32" s="774" t="s">
        <v>17</v>
      </c>
      <c r="U32" s="775">
        <f t="shared" si="11"/>
        <v>100</v>
      </c>
      <c r="V32" s="774" t="s">
        <v>17</v>
      </c>
      <c r="W32" s="775">
        <f t="shared" si="12"/>
        <v>100</v>
      </c>
      <c r="X32" s="1808"/>
      <c r="Y32" s="3167"/>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67"/>
      <c r="Q33" s="1805"/>
      <c r="R33" s="774"/>
      <c r="S33" s="775"/>
      <c r="T33" s="774"/>
      <c r="U33" s="775"/>
      <c r="V33" s="774"/>
      <c r="W33" s="775"/>
      <c r="X33" s="1808"/>
      <c r="Y33" s="3167"/>
      <c r="Z33" s="1809"/>
      <c r="AA33" s="1806">
        <v>1</v>
      </c>
      <c r="AB33" s="1806">
        <v>1</v>
      </c>
      <c r="AC33" s="1806">
        <v>1</v>
      </c>
    </row>
    <row r="34" spans="1:29" ht="15.6" hidden="1" thickBot="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67"/>
      <c r="Q34" s="1805" t="str">
        <f t="shared" si="8"/>
        <v>土地级别</v>
      </c>
      <c r="R34" s="774" t="s">
        <v>17</v>
      </c>
      <c r="S34" s="775">
        <f t="shared" si="10"/>
        <v>100</v>
      </c>
      <c r="T34" s="774" t="s">
        <v>17</v>
      </c>
      <c r="U34" s="775">
        <f t="shared" si="11"/>
        <v>100</v>
      </c>
      <c r="V34" s="774" t="s">
        <v>17</v>
      </c>
      <c r="W34" s="775">
        <f t="shared" si="12"/>
        <v>100</v>
      </c>
      <c r="X34" s="1808"/>
      <c r="Y34" s="3167"/>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67"/>
      <c r="Q35" s="1805">
        <f t="shared" si="8"/>
        <v>0</v>
      </c>
      <c r="R35" s="774" t="s">
        <v>17</v>
      </c>
      <c r="S35" s="775">
        <f t="shared" si="10"/>
        <v>100</v>
      </c>
      <c r="T35" s="774" t="s">
        <v>17</v>
      </c>
      <c r="U35" s="775">
        <f t="shared" si="11"/>
        <v>100</v>
      </c>
      <c r="V35" s="774" t="s">
        <v>17</v>
      </c>
      <c r="W35" s="775">
        <f t="shared" si="12"/>
        <v>100</v>
      </c>
      <c r="X35" s="1808"/>
      <c r="Y35" s="3167"/>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68" t="s">
        <v>2548</v>
      </c>
      <c r="Q36" s="1805">
        <f t="shared" si="8"/>
        <v>0</v>
      </c>
      <c r="R36" s="774" t="s">
        <v>17</v>
      </c>
      <c r="S36" s="775">
        <f t="shared" si="10"/>
        <v>100</v>
      </c>
      <c r="T36" s="774" t="s">
        <v>17</v>
      </c>
      <c r="U36" s="775">
        <f t="shared" si="11"/>
        <v>100</v>
      </c>
      <c r="V36" s="774" t="s">
        <v>17</v>
      </c>
      <c r="W36" s="775">
        <f t="shared" si="12"/>
        <v>100</v>
      </c>
      <c r="X36" s="1808"/>
      <c r="Y36" s="3169" t="s">
        <v>2548</v>
      </c>
      <c r="Z36" s="1809">
        <f t="shared" si="13"/>
        <v>0</v>
      </c>
      <c r="AA36" s="1806">
        <f t="shared" si="3"/>
        <v>1</v>
      </c>
      <c r="AB36" s="1806">
        <f t="shared" si="4"/>
        <v>1</v>
      </c>
      <c r="AC36" s="1806">
        <f t="shared" si="5"/>
        <v>1</v>
      </c>
    </row>
    <row r="37" spans="1:29" s="471" customFormat="1" ht="15.6"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69"/>
      <c r="Q37" s="1805">
        <f t="shared" si="8"/>
        <v>0</v>
      </c>
      <c r="R37" s="777" t="s">
        <v>17</v>
      </c>
      <c r="S37" s="778">
        <f t="shared" si="10"/>
        <v>100</v>
      </c>
      <c r="T37" s="777" t="s">
        <v>17</v>
      </c>
      <c r="U37" s="778">
        <f t="shared" si="11"/>
        <v>100</v>
      </c>
      <c r="V37" s="777" t="s">
        <v>17</v>
      </c>
      <c r="W37" s="778">
        <f t="shared" si="12"/>
        <v>100</v>
      </c>
      <c r="X37" s="779"/>
      <c r="Y37" s="3169"/>
      <c r="Z37" s="780">
        <f t="shared" si="13"/>
        <v>0</v>
      </c>
      <c r="AA37" s="1806">
        <f t="shared" si="3"/>
        <v>1</v>
      </c>
      <c r="AB37" s="1806">
        <f t="shared" si="4"/>
        <v>1</v>
      </c>
      <c r="AC37" s="1806">
        <f t="shared" si="5"/>
        <v>1</v>
      </c>
    </row>
    <row r="38" spans="1:29" ht="15.6">
      <c r="A38" s="472" t="s">
        <v>2546</v>
      </c>
      <c r="B38" s="456" t="s">
        <v>2733</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69"/>
      <c r="Q38" s="1805" t="str">
        <f>B38</f>
        <v>宗地面积</v>
      </c>
      <c r="R38" s="774" t="s">
        <v>17</v>
      </c>
      <c r="S38" s="775">
        <f t="shared" si="10"/>
        <v>99</v>
      </c>
      <c r="T38" s="774" t="s">
        <v>17</v>
      </c>
      <c r="U38" s="775">
        <f t="shared" si="11"/>
        <v>99</v>
      </c>
      <c r="V38" s="774" t="s">
        <v>17</v>
      </c>
      <c r="W38" s="775">
        <f t="shared" si="12"/>
        <v>99</v>
      </c>
      <c r="X38" s="1808"/>
      <c r="Y38" s="3169"/>
      <c r="Z38" s="1809" t="str">
        <f t="shared" si="13"/>
        <v>宗地面积</v>
      </c>
      <c r="AA38" s="1806">
        <f t="shared" si="3"/>
        <v>1.0101010101010102</v>
      </c>
      <c r="AB38" s="1806">
        <f t="shared" si="4"/>
        <v>1.0101010101010102</v>
      </c>
      <c r="AC38" s="1806">
        <f t="shared" si="5"/>
        <v>1.0101010101010102</v>
      </c>
    </row>
    <row r="39" spans="1:29" ht="15">
      <c r="A39" s="472"/>
      <c r="B39" s="422" t="s">
        <v>2734</v>
      </c>
      <c r="C39" s="2606" t="s">
        <v>3062</v>
      </c>
      <c r="D39" s="435">
        <v>100</v>
      </c>
      <c r="E39" s="2606" t="s">
        <v>3062</v>
      </c>
      <c r="F39" s="435">
        <f>SUMIF(119:119,E39,120:120)-SUMIF(119:119,C39,120:120)+100</f>
        <v>100</v>
      </c>
      <c r="G39" s="2606" t="s">
        <v>3062</v>
      </c>
      <c r="H39" s="435">
        <f>SUMIF(119:119,G39,120:120)-SUMIF(119:119,C39,120:120)+100</f>
        <v>100</v>
      </c>
      <c r="I39" s="2606" t="s">
        <v>3062</v>
      </c>
      <c r="J39" s="435">
        <f>SUMIF(119:119,I39,120:120)-SUMIF(119:119,C39,120:120)+100</f>
        <v>100</v>
      </c>
      <c r="K39" s="612">
        <v>1</v>
      </c>
      <c r="L39" s="1137"/>
      <c r="M39" s="1128"/>
      <c r="N39" s="1128"/>
      <c r="O39" s="1136"/>
      <c r="P39" s="3169"/>
      <c r="Q39" s="1805" t="str">
        <f t="shared" ref="Q39:Q45" si="14">B39</f>
        <v>宗地形状</v>
      </c>
      <c r="R39" s="774" t="s">
        <v>17</v>
      </c>
      <c r="S39" s="775">
        <f t="shared" si="10"/>
        <v>100</v>
      </c>
      <c r="T39" s="774" t="s">
        <v>17</v>
      </c>
      <c r="U39" s="775">
        <f t="shared" si="11"/>
        <v>100</v>
      </c>
      <c r="V39" s="774" t="s">
        <v>17</v>
      </c>
      <c r="W39" s="775">
        <f t="shared" si="12"/>
        <v>100</v>
      </c>
      <c r="X39" s="1808"/>
      <c r="Y39" s="3169"/>
      <c r="Z39" s="1809" t="str">
        <f t="shared" si="13"/>
        <v>宗地形状</v>
      </c>
      <c r="AA39" s="1806">
        <f t="shared" si="3"/>
        <v>1</v>
      </c>
      <c r="AB39" s="1806">
        <f t="shared" si="4"/>
        <v>1</v>
      </c>
      <c r="AC39" s="1806">
        <f t="shared" si="5"/>
        <v>1</v>
      </c>
    </row>
    <row r="40" spans="1:29" ht="15">
      <c r="A40" s="472"/>
      <c r="B40" s="422" t="s">
        <v>2735</v>
      </c>
      <c r="C40" s="2606" t="s">
        <v>3086</v>
      </c>
      <c r="D40" s="435">
        <v>100</v>
      </c>
      <c r="E40" s="2606" t="s">
        <v>3086</v>
      </c>
      <c r="F40" s="435">
        <f>SUMIF(121:121,E40,122:122)-SUMIF(121:121,C40,122:122)+100</f>
        <v>100</v>
      </c>
      <c r="G40" s="2606" t="s">
        <v>3086</v>
      </c>
      <c r="H40" s="435">
        <f>SUMIF(121:121,G40,122:122)-SUMIF(121:121,C40,122:122)+100</f>
        <v>100</v>
      </c>
      <c r="I40" s="2606" t="s">
        <v>3086</v>
      </c>
      <c r="J40" s="435">
        <f>SUMIF(121:121,I40,122:122)-SUMIF(121:121,C40,122:122)+100</f>
        <v>100</v>
      </c>
      <c r="K40" s="612">
        <v>1</v>
      </c>
      <c r="L40" s="1137"/>
      <c r="M40" s="1128"/>
      <c r="N40" s="1128"/>
      <c r="O40" s="1136"/>
      <c r="P40" s="3169"/>
      <c r="Q40" s="1805" t="str">
        <f t="shared" si="14"/>
        <v>临街宽度及深度</v>
      </c>
      <c r="R40" s="774" t="s">
        <v>17</v>
      </c>
      <c r="S40" s="775">
        <f t="shared" si="10"/>
        <v>100</v>
      </c>
      <c r="T40" s="774" t="s">
        <v>17</v>
      </c>
      <c r="U40" s="775">
        <f t="shared" si="11"/>
        <v>100</v>
      </c>
      <c r="V40" s="774" t="s">
        <v>17</v>
      </c>
      <c r="W40" s="775">
        <f t="shared" si="12"/>
        <v>100</v>
      </c>
      <c r="X40" s="1808"/>
      <c r="Y40" s="3169"/>
      <c r="Z40" s="1809" t="str">
        <f t="shared" si="13"/>
        <v>临街宽度及深度</v>
      </c>
      <c r="AA40" s="1806">
        <f t="shared" si="3"/>
        <v>1</v>
      </c>
      <c r="AB40" s="1806">
        <f t="shared" si="4"/>
        <v>1</v>
      </c>
      <c r="AC40" s="1806">
        <f t="shared" si="5"/>
        <v>1</v>
      </c>
    </row>
    <row r="41" spans="1:29" s="117" customFormat="1" ht="15">
      <c r="A41" s="473"/>
      <c r="B41" s="422" t="s">
        <v>2736</v>
      </c>
      <c r="C41" s="2694" t="s">
        <v>3088</v>
      </c>
      <c r="D41" s="136">
        <v>100</v>
      </c>
      <c r="E41" s="2694" t="s">
        <v>3088</v>
      </c>
      <c r="F41" s="435">
        <f>SUMIF(123:123,E41,124:124)-SUMIF(123:123,C41,124:124)+100</f>
        <v>100</v>
      </c>
      <c r="G41" s="2694" t="s">
        <v>3088</v>
      </c>
      <c r="H41" s="435">
        <f>SUMIF(123:123,G41,124:124)-SUMIF(123:123,C41,124:124)+100</f>
        <v>100</v>
      </c>
      <c r="I41" s="2694" t="s">
        <v>3088</v>
      </c>
      <c r="J41" s="435">
        <f>SUMIF(123:123,I41,124:124)-SUMIF(123:123,C41,124:124)+100</f>
        <v>100</v>
      </c>
      <c r="K41" s="612">
        <v>1</v>
      </c>
      <c r="L41" s="1129"/>
      <c r="M41" s="1130"/>
      <c r="N41" s="1130"/>
      <c r="O41" s="1131"/>
      <c r="P41" s="3169"/>
      <c r="Q41" s="1805" t="str">
        <f t="shared" si="14"/>
        <v>宗地开发程度</v>
      </c>
      <c r="R41" s="770" t="s">
        <v>17</v>
      </c>
      <c r="S41" s="771">
        <f t="shared" si="10"/>
        <v>100</v>
      </c>
      <c r="T41" s="770" t="s">
        <v>17</v>
      </c>
      <c r="U41" s="771">
        <f t="shared" si="11"/>
        <v>100</v>
      </c>
      <c r="V41" s="770" t="s">
        <v>17</v>
      </c>
      <c r="W41" s="771">
        <f t="shared" si="12"/>
        <v>100</v>
      </c>
      <c r="X41" s="772"/>
      <c r="Y41" s="3169"/>
      <c r="Z41" s="55" t="str">
        <f t="shared" si="13"/>
        <v>宗地开发程度</v>
      </c>
      <c r="AA41" s="773">
        <f t="shared" si="3"/>
        <v>1</v>
      </c>
      <c r="AB41" s="773">
        <f t="shared" si="4"/>
        <v>1</v>
      </c>
      <c r="AC41" s="773">
        <f t="shared" si="5"/>
        <v>1</v>
      </c>
    </row>
    <row r="42" spans="1:29" ht="15.6" thickBot="1">
      <c r="A42" s="472"/>
      <c r="B42" s="422" t="s">
        <v>2737</v>
      </c>
      <c r="C42" s="2606" t="s">
        <v>3066</v>
      </c>
      <c r="D42" s="435">
        <v>100</v>
      </c>
      <c r="E42" s="2606" t="s">
        <v>3066</v>
      </c>
      <c r="F42" s="435">
        <f>SUMIF(125:125,E42,126:126)-SUMIF(125:125,C42,126:126)+100</f>
        <v>100</v>
      </c>
      <c r="G42" s="2606" t="s">
        <v>3066</v>
      </c>
      <c r="H42" s="435">
        <f>SUMIF(125:125,G42,126:126)-SUMIF(125:125,C42,126:126)+100</f>
        <v>100</v>
      </c>
      <c r="I42" s="2606" t="s">
        <v>3066</v>
      </c>
      <c r="J42" s="435">
        <f>SUMIF(125:125,I42,126:126)-SUMIF(125:125,C42,126:126)+100</f>
        <v>100</v>
      </c>
      <c r="K42" s="612">
        <v>1</v>
      </c>
      <c r="L42" s="1137"/>
      <c r="M42" s="1128"/>
      <c r="N42" s="1128"/>
      <c r="O42" s="1136"/>
      <c r="P42" s="3169" t="s">
        <v>2548</v>
      </c>
      <c r="Q42" s="1805" t="str">
        <f t="shared" si="14"/>
        <v>工程地质条件</v>
      </c>
      <c r="R42" s="774" t="s">
        <v>17</v>
      </c>
      <c r="S42" s="775">
        <f t="shared" si="10"/>
        <v>100</v>
      </c>
      <c r="T42" s="774" t="s">
        <v>17</v>
      </c>
      <c r="U42" s="775">
        <f t="shared" si="11"/>
        <v>100</v>
      </c>
      <c r="V42" s="774" t="s">
        <v>17</v>
      </c>
      <c r="W42" s="775">
        <f t="shared" si="12"/>
        <v>100</v>
      </c>
      <c r="X42" s="1808"/>
      <c r="Y42" s="3169" t="s">
        <v>2548</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69"/>
      <c r="Q43" s="1805">
        <f t="shared" si="14"/>
        <v>0</v>
      </c>
      <c r="R43" s="774" t="s">
        <v>17</v>
      </c>
      <c r="S43" s="775">
        <f t="shared" si="10"/>
        <v>100</v>
      </c>
      <c r="T43" s="774" t="s">
        <v>17</v>
      </c>
      <c r="U43" s="775">
        <f t="shared" si="11"/>
        <v>100</v>
      </c>
      <c r="V43" s="774" t="s">
        <v>17</v>
      </c>
      <c r="W43" s="775">
        <f t="shared" si="12"/>
        <v>100</v>
      </c>
      <c r="X43" s="1808"/>
      <c r="Y43" s="3169"/>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69"/>
      <c r="Q44" s="1805">
        <f t="shared" si="14"/>
        <v>0</v>
      </c>
      <c r="R44" s="774" t="s">
        <v>17</v>
      </c>
      <c r="S44" s="775">
        <f t="shared" si="10"/>
        <v>100</v>
      </c>
      <c r="T44" s="774" t="s">
        <v>17</v>
      </c>
      <c r="U44" s="775">
        <f t="shared" si="11"/>
        <v>100</v>
      </c>
      <c r="V44" s="774" t="s">
        <v>17</v>
      </c>
      <c r="W44" s="775">
        <f t="shared" si="12"/>
        <v>100</v>
      </c>
      <c r="X44" s="1808"/>
      <c r="Y44" s="3169"/>
      <c r="Z44" s="1809">
        <f t="shared" si="13"/>
        <v>0</v>
      </c>
      <c r="AA44" s="1806">
        <f t="shared" si="3"/>
        <v>1</v>
      </c>
      <c r="AB44" s="1806">
        <f t="shared" si="4"/>
        <v>1</v>
      </c>
      <c r="AC44" s="1806">
        <f t="shared" si="5"/>
        <v>1</v>
      </c>
    </row>
    <row r="45" spans="1:29" s="471" customFormat="1" ht="15.6"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69"/>
      <c r="Q45" s="1805">
        <f t="shared" si="14"/>
        <v>0</v>
      </c>
      <c r="R45" s="777" t="s">
        <v>17</v>
      </c>
      <c r="S45" s="778">
        <f t="shared" si="10"/>
        <v>100</v>
      </c>
      <c r="T45" s="777" t="s">
        <v>17</v>
      </c>
      <c r="U45" s="778">
        <f t="shared" si="11"/>
        <v>100</v>
      </c>
      <c r="V45" s="777" t="s">
        <v>17</v>
      </c>
      <c r="W45" s="778">
        <f t="shared" si="12"/>
        <v>100</v>
      </c>
      <c r="X45" s="779"/>
      <c r="Y45" s="3169"/>
      <c r="Z45" s="780">
        <f t="shared" si="13"/>
        <v>0</v>
      </c>
      <c r="AA45" s="1806">
        <f t="shared" si="3"/>
        <v>1</v>
      </c>
      <c r="AB45" s="1806">
        <f t="shared" si="4"/>
        <v>1</v>
      </c>
      <c r="AC45" s="1806">
        <f t="shared" si="5"/>
        <v>1</v>
      </c>
    </row>
    <row r="46" spans="1:29" ht="14.4">
      <c r="A46" s="479" t="s">
        <v>2703</v>
      </c>
      <c r="B46" s="2696" t="s">
        <v>2738</v>
      </c>
      <c r="C46" s="682" t="s">
        <v>1</v>
      </c>
      <c r="D46" s="481"/>
      <c r="E46" s="482">
        <f>ROUNDDOWN(Sheet0!K2,0)</f>
        <v>3202</v>
      </c>
      <c r="F46" s="483"/>
      <c r="G46" s="484">
        <f>ROUNDDOWN(Sheet0!K3,0)</f>
        <v>4149</v>
      </c>
      <c r="H46" s="485"/>
      <c r="I46" s="482">
        <f>ROUNDDOWN(Sheet0!K6,0)</f>
        <v>3379</v>
      </c>
      <c r="J46" s="485"/>
      <c r="K46" s="783"/>
      <c r="L46" s="1140"/>
      <c r="M46" s="1141"/>
      <c r="N46" s="1128"/>
      <c r="O46" s="1141"/>
      <c r="P46" s="3164" t="str">
        <f>A46</f>
        <v>成交单价</v>
      </c>
      <c r="Q46" s="3164"/>
      <c r="R46" s="3170">
        <f>E46</f>
        <v>3202</v>
      </c>
      <c r="S46" s="3170"/>
      <c r="T46" s="3170">
        <f>G46</f>
        <v>4149</v>
      </c>
      <c r="U46" s="3170"/>
      <c r="V46" s="3170">
        <f>I46</f>
        <v>3379</v>
      </c>
      <c r="W46" s="3170"/>
      <c r="X46" s="759"/>
      <c r="Y46" s="781"/>
      <c r="Z46" s="759"/>
      <c r="AA46" s="759"/>
      <c r="AB46" s="759"/>
      <c r="AC46" s="759"/>
    </row>
    <row r="47" spans="1:29" ht="15" thickBot="1">
      <c r="A47" s="486" t="s">
        <v>2652</v>
      </c>
      <c r="B47" s="683"/>
      <c r="C47" s="490">
        <f>R48</f>
        <v>3826</v>
      </c>
      <c r="D47" s="489"/>
      <c r="E47" s="490">
        <f>R47</f>
        <v>3251</v>
      </c>
      <c r="F47" s="491"/>
      <c r="G47" s="488">
        <f>T47</f>
        <v>4727</v>
      </c>
      <c r="H47" s="489"/>
      <c r="I47" s="490">
        <f>V47</f>
        <v>3501</v>
      </c>
      <c r="J47" s="489"/>
      <c r="K47" s="784"/>
      <c r="L47" s="1140"/>
      <c r="M47" s="1141"/>
      <c r="N47" s="1141"/>
      <c r="O47" s="1141"/>
      <c r="P47" s="3164" t="str">
        <f>A47</f>
        <v>比较价值（元/平方米）</v>
      </c>
      <c r="Q47" s="3164"/>
      <c r="R47" s="3157">
        <f>ROUND(PRODUCT(R46,AA7:AA45),0)</f>
        <v>3251</v>
      </c>
      <c r="S47" s="3157"/>
      <c r="T47" s="3157">
        <f>ROUND(PRODUCT(T46,AB7:AB45),0)</f>
        <v>4727</v>
      </c>
      <c r="U47" s="3157"/>
      <c r="V47" s="3157">
        <f>ROUND(PRODUCT(V46,AC7:AC45),0)</f>
        <v>3501</v>
      </c>
      <c r="W47" s="3157"/>
      <c r="X47" s="759"/>
      <c r="Y47" s="759"/>
      <c r="Z47" s="759"/>
      <c r="AA47" s="759"/>
      <c r="AB47" s="759"/>
      <c r="AC47" s="759"/>
    </row>
    <row r="48" spans="1:29" ht="15" thickBot="1">
      <c r="A48" s="492" t="s">
        <v>2739</v>
      </c>
      <c r="B48" s="493"/>
      <c r="C48" s="494">
        <f>R48</f>
        <v>3826</v>
      </c>
      <c r="D48" s="494"/>
      <c r="E48" s="494"/>
      <c r="F48" s="494"/>
      <c r="G48" s="494"/>
      <c r="H48" s="494"/>
      <c r="I48" s="494"/>
      <c r="J48" s="494"/>
      <c r="K48" s="785"/>
      <c r="L48" s="1140"/>
      <c r="M48" s="1141"/>
      <c r="N48" s="1141"/>
      <c r="O48" s="1141"/>
      <c r="P48" s="3158" t="str">
        <f>A48</f>
        <v>估价对象XX用房的比较价值（楼面单价，元/平方米）</v>
      </c>
      <c r="Q48" s="3159"/>
      <c r="R48" s="3160">
        <f>ROUND(AVERAGE(R47:V47),0)</f>
        <v>3826</v>
      </c>
      <c r="S48" s="3160"/>
      <c r="T48" s="3160"/>
      <c r="U48" s="3160"/>
      <c r="V48" s="3160"/>
      <c r="W48" s="3160"/>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2654</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2655</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2656</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2740</v>
      </c>
      <c r="B55" s="685" t="s">
        <v>2741</v>
      </c>
      <c r="C55" s="2697" t="s">
        <v>2742</v>
      </c>
      <c r="D55" s="2698" t="s">
        <v>2743</v>
      </c>
      <c r="E55" s="686" t="s">
        <v>2744</v>
      </c>
      <c r="F55" s="1104" t="s">
        <v>2745</v>
      </c>
      <c r="G55" s="3161" t="s">
        <v>2746</v>
      </c>
      <c r="H55" s="3162"/>
      <c r="I55" s="144" t="s">
        <v>2747</v>
      </c>
      <c r="J55" s="2699" t="str">
        <f>项目基本情况!F35</f>
        <v>江苏省镇江市</v>
      </c>
      <c r="K55" s="2700" t="s">
        <v>2748</v>
      </c>
      <c r="L55" s="1103"/>
      <c r="M55" s="1141"/>
      <c r="N55" s="1141"/>
      <c r="O55" s="1141"/>
    </row>
    <row r="56" spans="1:15" s="692" customFormat="1">
      <c r="A56" s="688" t="s">
        <v>2749</v>
      </c>
      <c r="B56" s="689">
        <f>C48</f>
        <v>3826</v>
      </c>
      <c r="C56" s="690">
        <v>1</v>
      </c>
      <c r="D56" s="1160">
        <v>1</v>
      </c>
      <c r="E56" s="690">
        <f>'数据-汇总表'!E8+'数据-汇总表'!E9</f>
        <v>32125.14</v>
      </c>
      <c r="F56" s="1100">
        <f t="shared" ref="F56:F65" si="15">ROUND(B56*E56/10000,0)</f>
        <v>12291</v>
      </c>
      <c r="G56" s="3163"/>
      <c r="H56" s="3164"/>
      <c r="I56" s="1105">
        <v>1</v>
      </c>
      <c r="J56" s="1108">
        <v>1</v>
      </c>
      <c r="K56" s="1142"/>
      <c r="L56" s="938"/>
      <c r="M56" s="938"/>
      <c r="N56" s="938"/>
      <c r="O56" s="938"/>
    </row>
    <row r="57" spans="1:15" s="692" customFormat="1">
      <c r="A57" s="693" t="s">
        <v>2750</v>
      </c>
      <c r="B57" s="262">
        <f>ROUND($C$48*C57*D57,0)</f>
        <v>0</v>
      </c>
      <c r="C57" s="200">
        <f t="shared" ref="C57:C65" si="16">IF($C$55="北京市系数",I57,J57)</f>
        <v>0</v>
      </c>
      <c r="D57" s="1161">
        <v>0.25</v>
      </c>
      <c r="E57" s="694"/>
      <c r="F57" s="1100">
        <f t="shared" si="15"/>
        <v>0</v>
      </c>
      <c r="G57" s="3165" t="s">
        <v>2751</v>
      </c>
      <c r="H57" s="1101">
        <f>项目基本情况!B37</f>
        <v>0</v>
      </c>
      <c r="I57" s="1105">
        <f>SUMIF(修正!A45:A56,H57,修正!B45:B56)</f>
        <v>0</v>
      </c>
      <c r="J57" s="1109"/>
      <c r="K57" s="1141"/>
      <c r="L57" s="938"/>
      <c r="M57" s="938"/>
      <c r="N57" s="938"/>
      <c r="O57" s="938"/>
    </row>
    <row r="58" spans="1:15" s="692" customFormat="1">
      <c r="A58" s="693" t="s">
        <v>2752</v>
      </c>
      <c r="B58" s="262">
        <f t="shared" ref="B58:B65" si="17">ROUND($C$48*C58*D58,0)</f>
        <v>0</v>
      </c>
      <c r="C58" s="200">
        <f t="shared" si="16"/>
        <v>0</v>
      </c>
      <c r="D58" s="1161">
        <v>0.25</v>
      </c>
      <c r="E58" s="694"/>
      <c r="F58" s="1100">
        <f t="shared" si="15"/>
        <v>0</v>
      </c>
      <c r="G58" s="3165"/>
      <c r="H58" s="1101">
        <f>项目基本情况!B37</f>
        <v>0</v>
      </c>
      <c r="I58" s="1105">
        <f>SUMIF(修正!A45:A56,H58,修正!C45:C56)</f>
        <v>0</v>
      </c>
      <c r="J58" s="1109"/>
      <c r="K58" s="1142"/>
      <c r="L58" s="938"/>
      <c r="M58" s="938"/>
      <c r="N58" s="938"/>
      <c r="O58" s="938"/>
    </row>
    <row r="59" spans="1:15" s="692" customFormat="1">
      <c r="A59" s="693" t="s">
        <v>2753</v>
      </c>
      <c r="B59" s="262">
        <f t="shared" si="17"/>
        <v>0</v>
      </c>
      <c r="C59" s="200">
        <f t="shared" si="16"/>
        <v>0</v>
      </c>
      <c r="D59" s="1161">
        <v>0.25</v>
      </c>
      <c r="E59" s="694"/>
      <c r="F59" s="1100">
        <f t="shared" si="15"/>
        <v>0</v>
      </c>
      <c r="G59" s="3165"/>
      <c r="H59" s="1101">
        <f>项目基本情况!B37</f>
        <v>0</v>
      </c>
      <c r="I59" s="1105">
        <f>SUMIF(修正!A45:A56,H59,修正!D45:D56)</f>
        <v>0</v>
      </c>
      <c r="J59" s="1109"/>
      <c r="K59" s="1141"/>
      <c r="L59" s="938"/>
      <c r="M59" s="938"/>
      <c r="N59" s="938"/>
      <c r="O59" s="938"/>
    </row>
    <row r="60" spans="1:15" s="692" customFormat="1">
      <c r="A60" s="693" t="s">
        <v>2754</v>
      </c>
      <c r="B60" s="262">
        <f t="shared" si="17"/>
        <v>0</v>
      </c>
      <c r="C60" s="200">
        <f t="shared" si="16"/>
        <v>0</v>
      </c>
      <c r="D60" s="1161">
        <v>0.25</v>
      </c>
      <c r="E60" s="694"/>
      <c r="F60" s="1100">
        <f t="shared" si="15"/>
        <v>0</v>
      </c>
      <c r="G60" s="3165"/>
      <c r="H60" s="1101">
        <f>项目基本情况!B37</f>
        <v>0</v>
      </c>
      <c r="I60" s="1105">
        <f>SUMIF(修正!A45:A56,H60,修正!E45:E56)</f>
        <v>0</v>
      </c>
      <c r="J60" s="1109"/>
      <c r="K60" s="1142"/>
      <c r="L60" s="938"/>
      <c r="M60" s="938"/>
      <c r="N60" s="938"/>
      <c r="O60" s="938"/>
    </row>
    <row r="61" spans="1:15" s="692" customFormat="1">
      <c r="A61" s="693" t="s">
        <v>2755</v>
      </c>
      <c r="B61" s="262">
        <f t="shared" si="17"/>
        <v>0</v>
      </c>
      <c r="C61" s="200">
        <f t="shared" si="16"/>
        <v>0</v>
      </c>
      <c r="D61" s="1161">
        <v>0.25</v>
      </c>
      <c r="E61" s="261">
        <f>'数据-汇总表'!E11</f>
        <v>0</v>
      </c>
      <c r="F61" s="1100">
        <f t="shared" si="15"/>
        <v>0</v>
      </c>
      <c r="G61" s="2701" t="s">
        <v>2756</v>
      </c>
      <c r="H61" s="1101">
        <f>项目基本情况!C37</f>
        <v>0</v>
      </c>
      <c r="I61" s="1105">
        <f>SUMIF(修正!A45:A56,H61,修正!F45:F56)</f>
        <v>0</v>
      </c>
      <c r="J61" s="1109"/>
      <c r="K61" s="1141"/>
      <c r="L61" s="938"/>
      <c r="M61" s="938"/>
      <c r="N61" s="938"/>
      <c r="O61" s="938"/>
    </row>
    <row r="62" spans="1:15" s="692" customFormat="1">
      <c r="A62" s="693" t="s">
        <v>2757</v>
      </c>
      <c r="B62" s="262">
        <f t="shared" si="17"/>
        <v>0</v>
      </c>
      <c r="C62" s="200">
        <f t="shared" si="16"/>
        <v>0</v>
      </c>
      <c r="D62" s="1161">
        <v>0.25</v>
      </c>
      <c r="E62" s="261">
        <f>'数据-汇总表'!E12</f>
        <v>0</v>
      </c>
      <c r="F62" s="1100">
        <f t="shared" si="15"/>
        <v>0</v>
      </c>
      <c r="G62" s="1106" t="s">
        <v>2758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2759</v>
      </c>
      <c r="B63" s="262">
        <f t="shared" si="17"/>
        <v>0</v>
      </c>
      <c r="C63" s="200">
        <f t="shared" si="16"/>
        <v>0</v>
      </c>
      <c r="D63" s="1161">
        <v>0.25</v>
      </c>
      <c r="E63" s="261">
        <f>'数据-汇总表'!E13</f>
        <v>0</v>
      </c>
      <c r="F63" s="1100">
        <f t="shared" si="15"/>
        <v>0</v>
      </c>
      <c r="G63" s="1106" t="s">
        <v>2760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2761</v>
      </c>
      <c r="B64" s="262">
        <f t="shared" si="17"/>
        <v>0</v>
      </c>
      <c r="C64" s="200">
        <f t="shared" si="16"/>
        <v>0</v>
      </c>
      <c r="D64" s="1161">
        <v>0.25</v>
      </c>
      <c r="E64" s="261">
        <f>'数据-汇总表'!E14</f>
        <v>0</v>
      </c>
      <c r="F64" s="1100">
        <f t="shared" si="15"/>
        <v>0</v>
      </c>
      <c r="G64" s="2701" t="s">
        <v>2751</v>
      </c>
      <c r="H64" s="1101">
        <f>项目基本情况!B37</f>
        <v>0</v>
      </c>
      <c r="I64" s="1105">
        <f>SUMIF(修正!A45:A56,H64,修正!H45:H56)</f>
        <v>0</v>
      </c>
      <c r="J64" s="1109"/>
      <c r="K64" s="1142"/>
      <c r="L64" s="938"/>
      <c r="M64" s="938"/>
      <c r="N64" s="938"/>
      <c r="O64" s="938"/>
    </row>
    <row r="65" spans="1:17" s="692" customFormat="1" ht="14.4" thickBot="1">
      <c r="A65" s="693" t="s">
        <v>2762</v>
      </c>
      <c r="B65" s="262">
        <f t="shared" si="17"/>
        <v>0</v>
      </c>
      <c r="C65" s="200">
        <f t="shared" si="16"/>
        <v>0</v>
      </c>
      <c r="D65" s="1161">
        <v>0.25</v>
      </c>
      <c r="E65" s="261">
        <f>'数据-汇总表'!E15</f>
        <v>0</v>
      </c>
      <c r="F65" s="1100">
        <f t="shared" si="15"/>
        <v>0</v>
      </c>
      <c r="G65" s="2702" t="s">
        <v>2756</v>
      </c>
      <c r="H65" s="1111">
        <f>项目基本情况!C37</f>
        <v>0</v>
      </c>
      <c r="I65" s="1107">
        <f>SUMIF(修正!A45:A56,H65,修正!H45:H56)</f>
        <v>0</v>
      </c>
      <c r="J65" s="1110"/>
      <c r="K65" s="1141"/>
      <c r="L65" s="938"/>
      <c r="M65" s="938"/>
      <c r="N65" s="938"/>
      <c r="O65" s="938"/>
    </row>
    <row r="66" spans="1:17" s="692" customFormat="1" thickBot="1">
      <c r="A66" s="695" t="s">
        <v>2763</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2657</v>
      </c>
      <c r="B69" s="759"/>
      <c r="C69" s="764"/>
      <c r="D69" s="764"/>
      <c r="E69" s="764"/>
      <c r="F69" s="765"/>
      <c r="G69" s="765"/>
      <c r="H69" s="764"/>
      <c r="I69" s="764"/>
      <c r="J69" s="1156"/>
      <c r="K69" s="1157"/>
      <c r="L69" s="1158"/>
      <c r="M69" s="1156"/>
      <c r="N69" s="1156"/>
      <c r="O69" s="1156"/>
      <c r="P69" s="503"/>
      <c r="Q69" s="504"/>
    </row>
    <row r="70" spans="1:17" s="508" customFormat="1" ht="14.4">
      <c r="A70" s="2703" t="s">
        <v>2764</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2765</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2568</v>
      </c>
      <c r="B72" s="516"/>
      <c r="C72" s="517"/>
      <c r="D72" s="518"/>
      <c r="E72" s="518"/>
      <c r="F72" s="518"/>
      <c r="G72" s="518"/>
      <c r="H72" s="518"/>
      <c r="I72" s="518"/>
      <c r="J72" s="518"/>
      <c r="K72" s="518"/>
      <c r="L72" s="518"/>
      <c r="M72" s="519"/>
      <c r="N72" s="518"/>
      <c r="O72" s="1159"/>
      <c r="P72" s="504"/>
      <c r="Q72" s="504"/>
    </row>
    <row r="73" spans="1:17" s="117" customFormat="1" ht="14.4">
      <c r="A73" s="521" t="s">
        <v>2533</v>
      </c>
      <c r="B73" s="510"/>
      <c r="C73" s="522" t="s">
        <v>2635</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2571</v>
      </c>
      <c r="B75" s="528" t="s">
        <v>2537</v>
      </c>
      <c r="C75" s="2944" t="s">
        <v>3143</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2540</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2541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4.4"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4.4" thickTop="1">
      <c r="A82" s="553"/>
      <c r="B82" s="538">
        <f>B12</f>
        <v>0</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0</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0</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2542</v>
      </c>
      <c r="B88" s="528" t="s">
        <v>2579</v>
      </c>
      <c r="C88" s="573" t="s">
        <v>2580</v>
      </c>
      <c r="D88" s="573" t="s">
        <v>2581</v>
      </c>
      <c r="E88" s="573" t="s">
        <v>2582</v>
      </c>
      <c r="F88" s="573" t="s">
        <v>2583</v>
      </c>
      <c r="G88" s="573" t="s">
        <v>2584</v>
      </c>
      <c r="H88" s="529"/>
      <c r="I88" s="529"/>
      <c r="J88" s="529"/>
      <c r="K88" s="574"/>
      <c r="L88" s="575"/>
      <c r="M88" s="576"/>
      <c r="N88" s="1149"/>
      <c r="O88" s="1149"/>
      <c r="P88" s="577"/>
      <c r="Q88" s="504"/>
    </row>
    <row r="89" spans="1:17" ht="14.4"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 thickTop="1">
      <c r="A90" s="534"/>
      <c r="B90" s="538" t="s">
        <v>2766</v>
      </c>
      <c r="C90" s="578" t="s">
        <v>2580</v>
      </c>
      <c r="D90" s="578" t="s">
        <v>2581</v>
      </c>
      <c r="E90" s="578" t="s">
        <v>2582</v>
      </c>
      <c r="F90" s="578" t="s">
        <v>2583</v>
      </c>
      <c r="G90" s="578" t="s">
        <v>2584</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2680</v>
      </c>
      <c r="C92" s="578" t="s">
        <v>2580</v>
      </c>
      <c r="D92" s="578" t="s">
        <v>2581</v>
      </c>
      <c r="E92" s="578" t="s">
        <v>2582</v>
      </c>
      <c r="F92" s="578" t="s">
        <v>2583</v>
      </c>
      <c r="G92" s="578" t="s">
        <v>2584</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2585</v>
      </c>
      <c r="C94" s="578" t="s">
        <v>2580</v>
      </c>
      <c r="D94" s="578" t="s">
        <v>2581</v>
      </c>
      <c r="E94" s="578" t="s">
        <v>2582</v>
      </c>
      <c r="F94" s="578" t="s">
        <v>2583</v>
      </c>
      <c r="G94" s="578" t="s">
        <v>2584</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2767</v>
      </c>
      <c r="C96" s="578" t="s">
        <v>2580</v>
      </c>
      <c r="D96" s="578" t="s">
        <v>2581</v>
      </c>
      <c r="E96" s="578" t="s">
        <v>2582</v>
      </c>
      <c r="F96" s="578" t="s">
        <v>2583</v>
      </c>
      <c r="G96" s="578" t="s">
        <v>2584</v>
      </c>
      <c r="H96" s="578"/>
      <c r="I96" s="578"/>
      <c r="J96" s="578"/>
      <c r="K96" s="578"/>
      <c r="L96" s="698"/>
      <c r="M96" s="622"/>
      <c r="N96" s="1148"/>
      <c r="O96" s="1148"/>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9.4" thickTop="1">
      <c r="A98" s="579"/>
      <c r="B98" s="538" t="s">
        <v>2768</v>
      </c>
      <c r="C98" s="573" t="s">
        <v>2580</v>
      </c>
      <c r="D98" s="573" t="s">
        <v>2581</v>
      </c>
      <c r="E98" s="573" t="s">
        <v>2582</v>
      </c>
      <c r="F98" s="573" t="s">
        <v>2583</v>
      </c>
      <c r="G98" s="573" t="s">
        <v>2584</v>
      </c>
      <c r="H98" s="578"/>
      <c r="I98" s="578"/>
      <c r="J98" s="578"/>
      <c r="K98" s="578"/>
      <c r="L98" s="578"/>
      <c r="M98" s="622"/>
      <c r="N98" s="1148"/>
      <c r="O98" s="1148"/>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 thickTop="1">
      <c r="A100" s="553"/>
      <c r="B100" s="538" t="s">
        <v>2637</v>
      </c>
      <c r="C100" s="573" t="s">
        <v>2580</v>
      </c>
      <c r="D100" s="573" t="s">
        <v>2581</v>
      </c>
      <c r="E100" s="573" t="s">
        <v>2582</v>
      </c>
      <c r="F100" s="573" t="s">
        <v>2583</v>
      </c>
      <c r="G100" s="573" t="s">
        <v>2584</v>
      </c>
      <c r="H100" s="600"/>
      <c r="I100" s="600"/>
      <c r="J100" s="600"/>
      <c r="K100" s="600"/>
      <c r="L100" s="601"/>
      <c r="M100" s="602"/>
      <c r="N100" s="1151"/>
      <c r="O100" s="1151"/>
      <c r="P100" s="558"/>
      <c r="Q100" s="559"/>
    </row>
    <row r="101" spans="1:17" s="471" customFormat="1" ht="14.4"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 thickTop="1">
      <c r="A102" s="553"/>
      <c r="B102" s="546" t="s">
        <v>2638</v>
      </c>
      <c r="C102" s="660" t="s">
        <v>2658</v>
      </c>
      <c r="D102" s="660" t="s">
        <v>2659</v>
      </c>
      <c r="E102" s="660" t="s">
        <v>2660</v>
      </c>
      <c r="F102" s="660" t="s">
        <v>2661</v>
      </c>
      <c r="G102" s="660" t="s">
        <v>2662</v>
      </c>
      <c r="H102" s="600"/>
      <c r="I102" s="600"/>
      <c r="J102" s="600"/>
      <c r="K102" s="600"/>
      <c r="L102" s="600"/>
      <c r="M102" s="1382"/>
      <c r="N102" s="1151"/>
      <c r="O102" s="1151"/>
      <c r="P102" s="558"/>
      <c r="Q102" s="559"/>
    </row>
    <row r="103" spans="1:17" s="471" customFormat="1" ht="14.4"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 thickTop="1">
      <c r="A104" s="534"/>
      <c r="B104" s="538" t="str">
        <f>B31</f>
        <v>临街状况</v>
      </c>
      <c r="C104" s="539" t="s">
        <v>2769</v>
      </c>
      <c r="D104" s="539" t="s">
        <v>2770</v>
      </c>
      <c r="E104" s="539" t="s">
        <v>2771</v>
      </c>
      <c r="F104" s="539" t="s">
        <v>2772</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2674</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2732</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0</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0</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2546</v>
      </c>
      <c r="B116" s="528" t="s">
        <v>2773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2774</v>
      </c>
      <c r="C119" s="2942" t="s">
        <v>3085</v>
      </c>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2775</v>
      </c>
      <c r="C121" s="2945" t="s">
        <v>3087</v>
      </c>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2776</v>
      </c>
      <c r="C123" s="2945" t="s">
        <v>3089</v>
      </c>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2777</v>
      </c>
      <c r="C125" s="2945" t="s">
        <v>3090</v>
      </c>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4.4" thickTop="1">
      <c r="A127" s="599"/>
      <c r="B127" s="538">
        <f>B43</f>
        <v>0</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0</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#REF!</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2" t="s">
        <v>2631</v>
      </c>
      <c r="AC4" s="3171" t="s">
        <v>2632</v>
      </c>
    </row>
    <row r="5" spans="1:29">
      <c r="A5" s="404"/>
      <c r="B5" s="405"/>
      <c r="C5" s="3191" t="s">
        <v>2525</v>
      </c>
      <c r="D5" s="3192"/>
      <c r="E5" s="3198" t="e">
        <f>#REF!</f>
        <v>#REF!</v>
      </c>
      <c r="F5" s="3199"/>
      <c r="G5" s="3191" t="e">
        <f>#REF!</f>
        <v>#REF!</v>
      </c>
      <c r="H5" s="3192"/>
      <c r="I5" s="3191" t="e">
        <f>#REF!</f>
        <v>#REF!</v>
      </c>
      <c r="J5" s="3192"/>
      <c r="K5" s="610"/>
      <c r="L5" s="1127"/>
      <c r="M5" s="1128"/>
      <c r="N5" s="1128"/>
      <c r="O5" s="1128"/>
      <c r="P5" s="3179"/>
      <c r="Q5" s="3180"/>
      <c r="R5" s="3185"/>
      <c r="S5" s="3186"/>
      <c r="T5" s="3185"/>
      <c r="U5" s="3186"/>
      <c r="V5" s="3170"/>
      <c r="W5" s="3170"/>
      <c r="X5" s="1808"/>
      <c r="Y5" s="3185"/>
      <c r="Z5" s="3186"/>
      <c r="AA5" s="3172"/>
      <c r="AB5" s="3172"/>
      <c r="AC5" s="3172"/>
    </row>
    <row r="6" spans="1:29" ht="15" thickBot="1">
      <c r="A6" s="406"/>
      <c r="B6" s="407"/>
      <c r="C6" s="3200" t="s">
        <v>2779</v>
      </c>
      <c r="D6" s="3201"/>
      <c r="E6" s="3202" t="s">
        <v>2779</v>
      </c>
      <c r="F6" s="3203"/>
      <c r="G6" s="3200" t="s">
        <v>2779</v>
      </c>
      <c r="H6" s="3201"/>
      <c r="I6" s="3200" t="s">
        <v>2779</v>
      </c>
      <c r="J6" s="3201"/>
      <c r="K6" s="610" t="s">
        <v>2530</v>
      </c>
      <c r="L6" s="1127"/>
      <c r="M6" s="1128"/>
      <c r="N6" s="1128"/>
      <c r="O6" s="1128"/>
      <c r="P6" s="3181"/>
      <c r="Q6" s="3182"/>
      <c r="R6" s="3185"/>
      <c r="S6" s="3186"/>
      <c r="T6" s="3187"/>
      <c r="U6" s="3188"/>
      <c r="V6" s="3170"/>
      <c r="W6" s="3170"/>
      <c r="X6" s="1808"/>
      <c r="Y6" s="3187"/>
      <c r="Z6" s="3188"/>
      <c r="AA6" s="3173"/>
      <c r="AB6" s="3173"/>
      <c r="AC6" s="3173"/>
    </row>
    <row r="7" spans="1:29" s="117" customFormat="1" ht="15" thickBot="1">
      <c r="A7" s="408" t="s">
        <v>2531</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93" t="s">
        <v>2532</v>
      </c>
      <c r="Q7" s="3195"/>
      <c r="R7" s="770" t="s">
        <v>17</v>
      </c>
      <c r="S7" s="771">
        <f t="shared" ref="S7:S15" si="0">F7</f>
        <v>0</v>
      </c>
      <c r="T7" s="770" t="s">
        <v>17</v>
      </c>
      <c r="U7" s="771">
        <f t="shared" ref="U7:U15" si="1">H7</f>
        <v>0</v>
      </c>
      <c r="V7" s="770" t="s">
        <v>17</v>
      </c>
      <c r="W7" s="771">
        <f t="shared" ref="W7:W15" si="2">J7</f>
        <v>0</v>
      </c>
      <c r="X7" s="772"/>
      <c r="Y7" s="3193" t="s">
        <v>2532</v>
      </c>
      <c r="Z7" s="3194"/>
      <c r="AA7" s="773" t="e">
        <f>D7/F7</f>
        <v>#DIV/0!</v>
      </c>
      <c r="AB7" s="773" t="e">
        <f>D7/H7</f>
        <v>#DIV/0!</v>
      </c>
      <c r="AC7" s="773" t="e">
        <f>D7/J7</f>
        <v>#DIV/0!</v>
      </c>
    </row>
    <row r="8" spans="1:29" s="117" customFormat="1" ht="15" thickBot="1">
      <c r="A8" s="408" t="s">
        <v>2533</v>
      </c>
      <c r="B8" s="409"/>
      <c r="C8" s="414" t="s">
        <v>2534</v>
      </c>
      <c r="D8" s="411">
        <v>100</v>
      </c>
      <c r="E8" s="414" t="s">
        <v>3068</v>
      </c>
      <c r="F8" s="413">
        <f>SUMIF(68:68,E8,69:69)-SUMIF(68:68,C8,69:69)+100</f>
        <v>100</v>
      </c>
      <c r="G8" s="414" t="s">
        <v>3068</v>
      </c>
      <c r="H8" s="411">
        <f>SUMIF(68:68,G8,69:69)-SUMIF(68:68,C8,69:69)+100</f>
        <v>100</v>
      </c>
      <c r="I8" s="414" t="s">
        <v>3068</v>
      </c>
      <c r="J8" s="411">
        <f>SUMIF(68:68,I8,69:69)-SUMIF(68:68,C8,69:69)+100</f>
        <v>100</v>
      </c>
      <c r="K8" s="611"/>
      <c r="L8" s="1129"/>
      <c r="M8" s="1130"/>
      <c r="N8" s="1130"/>
      <c r="O8" s="1130"/>
      <c r="P8" s="3193" t="s">
        <v>2535</v>
      </c>
      <c r="Q8" s="3194"/>
      <c r="R8" s="770" t="s">
        <v>17</v>
      </c>
      <c r="S8" s="771">
        <f t="shared" si="0"/>
        <v>100</v>
      </c>
      <c r="T8" s="770" t="s">
        <v>17</v>
      </c>
      <c r="U8" s="771">
        <f t="shared" si="1"/>
        <v>100</v>
      </c>
      <c r="V8" s="770" t="s">
        <v>17</v>
      </c>
      <c r="W8" s="771">
        <f t="shared" si="2"/>
        <v>100</v>
      </c>
      <c r="X8" s="772"/>
      <c r="Y8" s="3193" t="s">
        <v>2535</v>
      </c>
      <c r="Z8" s="3194"/>
      <c r="AA8" s="773">
        <f t="shared" ref="AA8:AA40" si="3">D8/F8</f>
        <v>1</v>
      </c>
      <c r="AB8" s="773">
        <f t="shared" ref="AB8:AB40" si="4">D8/H8</f>
        <v>1</v>
      </c>
      <c r="AC8" s="773">
        <f t="shared" ref="AC8:AC40" si="5">D8/J8</f>
        <v>1</v>
      </c>
    </row>
    <row r="9" spans="1:29" s="117" customFormat="1" ht="14.4">
      <c r="A9" s="415" t="s">
        <v>2536</v>
      </c>
      <c r="B9" s="71" t="s">
        <v>2537</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64"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8.8">
      <c r="A10" s="421"/>
      <c r="B10" s="422" t="s">
        <v>2540</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64"/>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6" thickBot="1">
      <c r="A11" s="428"/>
      <c r="B11" s="422" t="s">
        <v>2541</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64"/>
      <c r="Q11" s="1790" t="str">
        <f t="shared" si="6"/>
        <v>容积率</v>
      </c>
      <c r="R11" s="770" t="s">
        <v>17</v>
      </c>
      <c r="S11" s="771">
        <f t="shared" si="0"/>
        <v>98</v>
      </c>
      <c r="T11" s="770" t="s">
        <v>17</v>
      </c>
      <c r="U11" s="771">
        <f t="shared" si="1"/>
        <v>98</v>
      </c>
      <c r="V11" s="770" t="s">
        <v>17</v>
      </c>
      <c r="W11" s="771">
        <f t="shared" si="2"/>
        <v>98</v>
      </c>
      <c r="X11" s="772"/>
      <c r="Y11" s="3012"/>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4"/>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4"/>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6"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4"/>
      <c r="Q14" s="1790">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2542</v>
      </c>
      <c r="B15" s="629" t="s">
        <v>2780</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66" t="s">
        <v>2543</v>
      </c>
      <c r="Q15" s="1805" t="str">
        <f t="shared" si="6"/>
        <v>产业集聚程度</v>
      </c>
      <c r="R15" s="774" t="s">
        <v>17</v>
      </c>
      <c r="S15" s="775">
        <f t="shared" si="0"/>
        <v>100</v>
      </c>
      <c r="T15" s="774" t="s">
        <v>17</v>
      </c>
      <c r="U15" s="775">
        <f t="shared" si="1"/>
        <v>100</v>
      </c>
      <c r="V15" s="774" t="s">
        <v>17</v>
      </c>
      <c r="W15" s="775">
        <f t="shared" si="2"/>
        <v>100</v>
      </c>
      <c r="X15" s="1808"/>
      <c r="Y15" s="3166" t="s">
        <v>2543</v>
      </c>
      <c r="Z15" s="1809" t="str">
        <f t="shared" si="7"/>
        <v>产业集聚程度</v>
      </c>
      <c r="AA15" s="1806">
        <f t="shared" si="3"/>
        <v>1</v>
      </c>
      <c r="AB15" s="1806">
        <f t="shared" si="4"/>
        <v>1</v>
      </c>
      <c r="AC15" s="1806">
        <f t="shared" si="5"/>
        <v>1</v>
      </c>
    </row>
    <row r="16" spans="1:29" ht="15">
      <c r="A16" s="428"/>
      <c r="B16" s="630"/>
      <c r="C16" s="447" t="s">
        <v>3066</v>
      </c>
      <c r="D16" s="448"/>
      <c r="E16" s="447" t="s">
        <v>3066</v>
      </c>
      <c r="F16" s="448"/>
      <c r="G16" s="447" t="s">
        <v>3066</v>
      </c>
      <c r="H16" s="450"/>
      <c r="I16" s="447" t="s">
        <v>3066</v>
      </c>
      <c r="J16" s="448"/>
      <c r="K16" s="672"/>
      <c r="L16" s="1137"/>
      <c r="M16" s="1128"/>
      <c r="N16" s="1128"/>
      <c r="O16" s="1136"/>
      <c r="P16" s="3167"/>
      <c r="Q16" s="1805"/>
      <c r="R16" s="774"/>
      <c r="S16" s="775"/>
      <c r="T16" s="774"/>
      <c r="U16" s="775"/>
      <c r="V16" s="774"/>
      <c r="W16" s="775"/>
      <c r="X16" s="1808"/>
      <c r="Y16" s="3167"/>
      <c r="Z16" s="1809"/>
      <c r="AA16" s="1806">
        <v>1</v>
      </c>
      <c r="AB16" s="1806">
        <v>1</v>
      </c>
      <c r="AC16" s="1806">
        <v>1</v>
      </c>
    </row>
    <row r="17" spans="1:29" ht="15">
      <c r="A17" s="428"/>
      <c r="B17" s="631" t="s">
        <v>2692</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67"/>
      <c r="Q17" s="1805" t="str">
        <f>B17</f>
        <v>交通便捷度</v>
      </c>
      <c r="R17" s="774" t="s">
        <v>17</v>
      </c>
      <c r="S17" s="775">
        <f>F17</f>
        <v>100</v>
      </c>
      <c r="T17" s="774" t="s">
        <v>17</v>
      </c>
      <c r="U17" s="775">
        <f>H17</f>
        <v>100</v>
      </c>
      <c r="V17" s="774" t="s">
        <v>17</v>
      </c>
      <c r="W17" s="775">
        <f>J17</f>
        <v>100</v>
      </c>
      <c r="X17" s="1808"/>
      <c r="Y17" s="3167"/>
      <c r="Z17" s="1809" t="str">
        <f>Q17</f>
        <v>交通便捷度</v>
      </c>
      <c r="AA17" s="1806">
        <f t="shared" si="3"/>
        <v>1</v>
      </c>
      <c r="AB17" s="1806">
        <f t="shared" si="4"/>
        <v>1</v>
      </c>
      <c r="AC17" s="1806">
        <f t="shared" si="5"/>
        <v>1</v>
      </c>
    </row>
    <row r="18" spans="1:29" ht="15">
      <c r="A18" s="428"/>
      <c r="B18" s="632"/>
      <c r="C18" s="447" t="s">
        <v>3069</v>
      </c>
      <c r="D18" s="448"/>
      <c r="E18" s="447" t="s">
        <v>3069</v>
      </c>
      <c r="F18" s="448"/>
      <c r="G18" s="447" t="s">
        <v>3069</v>
      </c>
      <c r="H18" s="448"/>
      <c r="I18" s="447" t="s">
        <v>3069</v>
      </c>
      <c r="J18" s="448"/>
      <c r="K18" s="672"/>
      <c r="L18" s="1137"/>
      <c r="M18" s="1128"/>
      <c r="N18" s="1128"/>
      <c r="O18" s="1136"/>
      <c r="P18" s="3167"/>
      <c r="Q18" s="1805"/>
      <c r="R18" s="774"/>
      <c r="S18" s="775"/>
      <c r="T18" s="774"/>
      <c r="U18" s="775"/>
      <c r="V18" s="774"/>
      <c r="W18" s="775"/>
      <c r="X18" s="1808"/>
      <c r="Y18" s="3167"/>
      <c r="Z18" s="1809"/>
      <c r="AA18" s="1806">
        <v>1</v>
      </c>
      <c r="AB18" s="1806">
        <v>1</v>
      </c>
      <c r="AC18" s="1806">
        <v>1</v>
      </c>
    </row>
    <row r="19" spans="1:29" ht="28.8">
      <c r="A19" s="428"/>
      <c r="B19" s="631" t="s">
        <v>2730</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67"/>
      <c r="Q19" s="1805" t="str">
        <f t="shared" ref="Q19:Q33" si="8">B19</f>
        <v>区域土地利用方向</v>
      </c>
      <c r="R19" s="774" t="s">
        <v>17</v>
      </c>
      <c r="S19" s="775">
        <f>F19</f>
        <v>100</v>
      </c>
      <c r="T19" s="774" t="s">
        <v>17</v>
      </c>
      <c r="U19" s="775">
        <f>H19</f>
        <v>100</v>
      </c>
      <c r="V19" s="774" t="s">
        <v>17</v>
      </c>
      <c r="W19" s="775">
        <f>J19</f>
        <v>100</v>
      </c>
      <c r="X19" s="1808"/>
      <c r="Y19" s="3167"/>
      <c r="Z19" s="1809" t="str">
        <f>Q19</f>
        <v>区域土地利用方向</v>
      </c>
      <c r="AA19" s="1806">
        <f t="shared" si="3"/>
        <v>1</v>
      </c>
      <c r="AB19" s="1806">
        <f t="shared" si="4"/>
        <v>1</v>
      </c>
      <c r="AC19" s="1806">
        <f t="shared" si="5"/>
        <v>1</v>
      </c>
    </row>
    <row r="20" spans="1:29" ht="15">
      <c r="A20" s="404"/>
      <c r="B20" s="632"/>
      <c r="C20" s="447" t="s">
        <v>3066</v>
      </c>
      <c r="D20" s="448"/>
      <c r="E20" s="447" t="s">
        <v>3066</v>
      </c>
      <c r="F20" s="448"/>
      <c r="G20" s="447" t="s">
        <v>3066</v>
      </c>
      <c r="H20" s="448"/>
      <c r="I20" s="447" t="s">
        <v>3066</v>
      </c>
      <c r="J20" s="448"/>
      <c r="K20" s="809"/>
      <c r="L20" s="1137"/>
      <c r="M20" s="1128"/>
      <c r="N20" s="1128"/>
      <c r="O20" s="1136"/>
      <c r="P20" s="3167"/>
      <c r="Q20" s="1805"/>
      <c r="R20" s="774"/>
      <c r="S20" s="775"/>
      <c r="T20" s="774"/>
      <c r="U20" s="775"/>
      <c r="V20" s="774"/>
      <c r="W20" s="775"/>
      <c r="X20" s="1808"/>
      <c r="Y20" s="3167"/>
      <c r="Z20" s="1809"/>
      <c r="AA20" s="1806"/>
      <c r="AB20" s="1806"/>
      <c r="AC20" s="1806"/>
    </row>
    <row r="21" spans="1:29" ht="15">
      <c r="A21" s="404"/>
      <c r="B21" s="631" t="s">
        <v>2781</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67"/>
      <c r="Q21" s="1805" t="str">
        <f t="shared" si="8"/>
        <v>环境状况</v>
      </c>
      <c r="R21" s="774" t="s">
        <v>17</v>
      </c>
      <c r="S21" s="775">
        <f>F21</f>
        <v>100</v>
      </c>
      <c r="T21" s="774" t="s">
        <v>17</v>
      </c>
      <c r="U21" s="775">
        <f>H21</f>
        <v>100</v>
      </c>
      <c r="V21" s="774" t="s">
        <v>17</v>
      </c>
      <c r="W21" s="775">
        <f>J21</f>
        <v>100</v>
      </c>
      <c r="X21" s="1808"/>
      <c r="Y21" s="3167"/>
      <c r="Z21" s="1809" t="str">
        <f>Q21</f>
        <v>环境状况</v>
      </c>
      <c r="AA21" s="1806">
        <f t="shared" si="3"/>
        <v>1</v>
      </c>
      <c r="AB21" s="1806">
        <f t="shared" si="4"/>
        <v>1</v>
      </c>
      <c r="AC21" s="1806">
        <f t="shared" si="5"/>
        <v>1</v>
      </c>
    </row>
    <row r="22" spans="1:29" ht="15">
      <c r="A22" s="404"/>
      <c r="B22" s="632"/>
      <c r="C22" s="447" t="s">
        <v>3069</v>
      </c>
      <c r="D22" s="448"/>
      <c r="E22" s="447" t="s">
        <v>3069</v>
      </c>
      <c r="F22" s="448"/>
      <c r="G22" s="447" t="s">
        <v>3069</v>
      </c>
      <c r="H22" s="448"/>
      <c r="I22" s="447" t="s">
        <v>3069</v>
      </c>
      <c r="J22" s="448"/>
      <c r="K22" s="672"/>
      <c r="L22" s="1137"/>
      <c r="M22" s="1128"/>
      <c r="N22" s="1128"/>
      <c r="O22" s="1136"/>
      <c r="P22" s="3167"/>
      <c r="Q22" s="1805"/>
      <c r="R22" s="774"/>
      <c r="S22" s="775"/>
      <c r="T22" s="774"/>
      <c r="U22" s="775"/>
      <c r="V22" s="774"/>
      <c r="W22" s="775"/>
      <c r="X22" s="1808"/>
      <c r="Y22" s="3167"/>
      <c r="Z22" s="1809"/>
      <c r="AA22" s="1806">
        <v>1</v>
      </c>
      <c r="AB22" s="1806">
        <v>1</v>
      </c>
      <c r="AC22" s="1806">
        <v>1</v>
      </c>
    </row>
    <row r="23" spans="1:29" s="117" customFormat="1" ht="15">
      <c r="A23" s="649"/>
      <c r="B23" s="633" t="s">
        <v>2637</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67"/>
      <c r="Q23" s="1790" t="str">
        <f t="shared" si="8"/>
        <v>公共配套设施</v>
      </c>
      <c r="R23" s="770" t="s">
        <v>17</v>
      </c>
      <c r="S23" s="771">
        <f>F23</f>
        <v>100</v>
      </c>
      <c r="T23" s="770" t="s">
        <v>17</v>
      </c>
      <c r="U23" s="771">
        <f>H23</f>
        <v>100</v>
      </c>
      <c r="V23" s="770" t="s">
        <v>17</v>
      </c>
      <c r="W23" s="771">
        <f>J23</f>
        <v>100</v>
      </c>
      <c r="X23" s="772"/>
      <c r="Y23" s="3167"/>
      <c r="Z23" s="55" t="str">
        <f>Q23</f>
        <v>公共配套设施</v>
      </c>
      <c r="AA23" s="1806">
        <f>D23/F23</f>
        <v>1</v>
      </c>
      <c r="AB23" s="1806">
        <f>D23/H23</f>
        <v>1</v>
      </c>
      <c r="AC23" s="1806">
        <f>D23/J23</f>
        <v>1</v>
      </c>
    </row>
    <row r="24" spans="1:29" s="117" customFormat="1" ht="15">
      <c r="A24" s="649"/>
      <c r="B24" s="632"/>
      <c r="C24" s="447" t="s">
        <v>3069</v>
      </c>
      <c r="D24" s="448"/>
      <c r="E24" s="447" t="s">
        <v>3069</v>
      </c>
      <c r="F24" s="448"/>
      <c r="G24" s="447" t="s">
        <v>3069</v>
      </c>
      <c r="H24" s="448"/>
      <c r="I24" s="447" t="s">
        <v>3069</v>
      </c>
      <c r="J24" s="448"/>
      <c r="K24" s="672"/>
      <c r="L24" s="1129"/>
      <c r="M24" s="1130"/>
      <c r="N24" s="1130"/>
      <c r="O24" s="1131"/>
      <c r="P24" s="3167"/>
      <c r="Q24" s="1790"/>
      <c r="R24" s="770"/>
      <c r="S24" s="771"/>
      <c r="T24" s="770"/>
      <c r="U24" s="771"/>
      <c r="V24" s="770"/>
      <c r="W24" s="771"/>
      <c r="X24" s="772"/>
      <c r="Y24" s="3167"/>
      <c r="Z24" s="55"/>
      <c r="AA24" s="773">
        <v>1</v>
      </c>
      <c r="AB24" s="773">
        <v>1</v>
      </c>
      <c r="AC24" s="773">
        <v>1</v>
      </c>
    </row>
    <row r="25" spans="1:29" s="117" customFormat="1" ht="15">
      <c r="A25" s="649"/>
      <c r="B25" s="633" t="s">
        <v>2638</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67"/>
      <c r="Q25" s="1790" t="str">
        <f t="shared" ref="Q25" si="9">B25</f>
        <v>基础设施水平</v>
      </c>
      <c r="R25" s="770" t="s">
        <v>17</v>
      </c>
      <c r="S25" s="771">
        <f>F25</f>
        <v>100</v>
      </c>
      <c r="T25" s="770" t="s">
        <v>17</v>
      </c>
      <c r="U25" s="771">
        <f>H25</f>
        <v>100</v>
      </c>
      <c r="V25" s="770" t="s">
        <v>17</v>
      </c>
      <c r="W25" s="771">
        <f>J25</f>
        <v>100</v>
      </c>
      <c r="X25" s="772"/>
      <c r="Y25" s="3167"/>
      <c r="Z25" s="55" t="str">
        <f>Q25</f>
        <v>基础设施水平</v>
      </c>
      <c r="AA25" s="1806">
        <f>D25/F25</f>
        <v>1</v>
      </c>
      <c r="AB25" s="1806">
        <f>D25/H25</f>
        <v>1</v>
      </c>
      <c r="AC25" s="1806">
        <f>D25/J25</f>
        <v>1</v>
      </c>
    </row>
    <row r="26" spans="1:29" s="117" customFormat="1" ht="15.6" thickBot="1">
      <c r="A26" s="649"/>
      <c r="B26" s="632"/>
      <c r="C26" s="447" t="s">
        <v>3064</v>
      </c>
      <c r="D26" s="448"/>
      <c r="E26" s="447" t="s">
        <v>3064</v>
      </c>
      <c r="F26" s="448"/>
      <c r="G26" s="447" t="s">
        <v>3064</v>
      </c>
      <c r="H26" s="448"/>
      <c r="I26" s="447" t="s">
        <v>3064</v>
      </c>
      <c r="J26" s="448"/>
      <c r="K26" s="672"/>
      <c r="L26" s="1129"/>
      <c r="M26" s="1130"/>
      <c r="N26" s="1130"/>
      <c r="O26" s="1131"/>
      <c r="P26" s="3167"/>
      <c r="Q26" s="1790"/>
      <c r="R26" s="770"/>
      <c r="S26" s="771"/>
      <c r="T26" s="770"/>
      <c r="U26" s="771"/>
      <c r="V26" s="770"/>
      <c r="W26" s="771"/>
      <c r="X26" s="772"/>
      <c r="Y26" s="3167"/>
      <c r="Z26" s="55"/>
      <c r="AA26" s="773">
        <v>1</v>
      </c>
      <c r="AB26" s="773">
        <v>1</v>
      </c>
      <c r="AC26" s="773">
        <v>1</v>
      </c>
    </row>
    <row r="27" spans="1:29" ht="15" hidden="1">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67"/>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67"/>
      <c r="Z27" s="1809" t="str">
        <f t="shared" ref="Z27:Z40" si="13">Q27</f>
        <v>临街状况</v>
      </c>
      <c r="AA27" s="1806">
        <f t="shared" si="3"/>
        <v>1</v>
      </c>
      <c r="AB27" s="1806">
        <f t="shared" si="4"/>
        <v>1</v>
      </c>
      <c r="AC27" s="1806">
        <f t="shared" si="5"/>
        <v>1</v>
      </c>
    </row>
    <row r="28" spans="1:29" ht="28.8" hidden="1">
      <c r="A28" s="428"/>
      <c r="B28" s="633" t="s">
        <v>2674</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67"/>
      <c r="Q28" s="1805" t="str">
        <f t="shared" si="8"/>
        <v>毗邻道路的类型与等级</v>
      </c>
      <c r="R28" s="774" t="s">
        <v>17</v>
      </c>
      <c r="S28" s="775">
        <f t="shared" si="10"/>
        <v>100</v>
      </c>
      <c r="T28" s="774" t="s">
        <v>17</v>
      </c>
      <c r="U28" s="775">
        <f t="shared" si="11"/>
        <v>100</v>
      </c>
      <c r="V28" s="774" t="s">
        <v>17</v>
      </c>
      <c r="W28" s="775">
        <f t="shared" si="12"/>
        <v>100</v>
      </c>
      <c r="X28" s="1808"/>
      <c r="Y28" s="3167"/>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67"/>
      <c r="Q29" s="1805"/>
      <c r="R29" s="774"/>
      <c r="S29" s="775"/>
      <c r="T29" s="774"/>
      <c r="U29" s="775"/>
      <c r="V29" s="774"/>
      <c r="W29" s="775"/>
      <c r="X29" s="1808"/>
      <c r="Y29" s="3167"/>
      <c r="Z29" s="1809"/>
      <c r="AA29" s="1806">
        <v>1</v>
      </c>
      <c r="AB29" s="1806">
        <v>1</v>
      </c>
      <c r="AC29" s="1806">
        <v>1</v>
      </c>
    </row>
    <row r="30" spans="1:29" ht="15" hidden="1">
      <c r="A30" s="428"/>
      <c r="B30" s="654" t="s">
        <v>2732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67"/>
      <c r="Q30" s="1805" t="str">
        <f t="shared" si="8"/>
        <v>土地级别</v>
      </c>
      <c r="R30" s="774" t="s">
        <v>17</v>
      </c>
      <c r="S30" s="775">
        <f t="shared" si="10"/>
        <v>100</v>
      </c>
      <c r="T30" s="774" t="s">
        <v>17</v>
      </c>
      <c r="U30" s="775">
        <f t="shared" si="11"/>
        <v>100</v>
      </c>
      <c r="V30" s="774" t="s">
        <v>17</v>
      </c>
      <c r="W30" s="775">
        <f t="shared" si="12"/>
        <v>100</v>
      </c>
      <c r="X30" s="1808"/>
      <c r="Y30" s="3167"/>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67"/>
      <c r="Q31" s="1805">
        <f t="shared" si="8"/>
        <v>111</v>
      </c>
      <c r="R31" s="774" t="s">
        <v>17</v>
      </c>
      <c r="S31" s="775">
        <f t="shared" si="10"/>
        <v>100</v>
      </c>
      <c r="T31" s="774" t="s">
        <v>17</v>
      </c>
      <c r="U31" s="775">
        <f t="shared" si="11"/>
        <v>100</v>
      </c>
      <c r="V31" s="774" t="s">
        <v>17</v>
      </c>
      <c r="W31" s="775">
        <f t="shared" si="12"/>
        <v>100</v>
      </c>
      <c r="X31" s="1808"/>
      <c r="Y31" s="3167"/>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68" t="s">
        <v>2548</v>
      </c>
      <c r="Q32" s="1805">
        <f t="shared" si="8"/>
        <v>111</v>
      </c>
      <c r="R32" s="774" t="s">
        <v>17</v>
      </c>
      <c r="S32" s="775">
        <f t="shared" si="10"/>
        <v>100</v>
      </c>
      <c r="T32" s="774" t="s">
        <v>17</v>
      </c>
      <c r="U32" s="775">
        <f t="shared" si="11"/>
        <v>100</v>
      </c>
      <c r="V32" s="774" t="s">
        <v>17</v>
      </c>
      <c r="W32" s="775">
        <f t="shared" si="12"/>
        <v>100</v>
      </c>
      <c r="X32" s="1808"/>
      <c r="Y32" s="3169" t="s">
        <v>2548</v>
      </c>
      <c r="Z32" s="1809">
        <f t="shared" si="13"/>
        <v>111</v>
      </c>
      <c r="AA32" s="1806">
        <f t="shared" si="3"/>
        <v>1</v>
      </c>
      <c r="AB32" s="1806">
        <f t="shared" si="4"/>
        <v>1</v>
      </c>
      <c r="AC32" s="1806">
        <f t="shared" si="5"/>
        <v>1</v>
      </c>
    </row>
    <row r="33" spans="1:29" s="471" customFormat="1" ht="15.6"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69"/>
      <c r="Q33" s="1805">
        <f t="shared" si="8"/>
        <v>111</v>
      </c>
      <c r="R33" s="777" t="s">
        <v>17</v>
      </c>
      <c r="S33" s="778">
        <f t="shared" si="10"/>
        <v>100</v>
      </c>
      <c r="T33" s="777" t="s">
        <v>17</v>
      </c>
      <c r="U33" s="778">
        <f t="shared" si="11"/>
        <v>100</v>
      </c>
      <c r="V33" s="777" t="s">
        <v>17</v>
      </c>
      <c r="W33" s="778">
        <f t="shared" si="12"/>
        <v>100</v>
      </c>
      <c r="X33" s="779"/>
      <c r="Y33" s="3169"/>
      <c r="Z33" s="780">
        <f t="shared" si="13"/>
        <v>111</v>
      </c>
      <c r="AA33" s="1806">
        <f t="shared" si="3"/>
        <v>1</v>
      </c>
      <c r="AB33" s="1806">
        <f t="shared" si="4"/>
        <v>1</v>
      </c>
      <c r="AC33" s="1806">
        <f t="shared" si="5"/>
        <v>1</v>
      </c>
    </row>
    <row r="34" spans="1:29" ht="15">
      <c r="A34" s="440" t="s">
        <v>2546</v>
      </c>
      <c r="B34" s="456" t="s">
        <v>2733</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69"/>
      <c r="Q34" s="1805" t="str">
        <f>B34</f>
        <v>宗地面积</v>
      </c>
      <c r="R34" s="774" t="s">
        <v>17</v>
      </c>
      <c r="S34" s="775" t="e">
        <f t="shared" si="10"/>
        <v>#REF!</v>
      </c>
      <c r="T34" s="774" t="s">
        <v>17</v>
      </c>
      <c r="U34" s="775" t="e">
        <f t="shared" si="11"/>
        <v>#REF!</v>
      </c>
      <c r="V34" s="774" t="s">
        <v>17</v>
      </c>
      <c r="W34" s="775" t="e">
        <f t="shared" si="12"/>
        <v>#REF!</v>
      </c>
      <c r="X34" s="1808"/>
      <c r="Y34" s="3169"/>
      <c r="Z34" s="1809" t="str">
        <f t="shared" si="13"/>
        <v>宗地面积</v>
      </c>
      <c r="AA34" s="1806" t="e">
        <f t="shared" si="3"/>
        <v>#REF!</v>
      </c>
      <c r="AB34" s="1806" t="e">
        <f t="shared" si="4"/>
        <v>#REF!</v>
      </c>
      <c r="AC34" s="1806" t="e">
        <f t="shared" si="5"/>
        <v>#REF!</v>
      </c>
    </row>
    <row r="35" spans="1:29" ht="15">
      <c r="A35" s="472"/>
      <c r="B35" s="422" t="s">
        <v>2734</v>
      </c>
      <c r="C35" s="2606" t="s">
        <v>3062</v>
      </c>
      <c r="D35" s="435">
        <v>100</v>
      </c>
      <c r="E35" s="2606" t="s">
        <v>3062</v>
      </c>
      <c r="F35" s="435">
        <f>SUMIF(110:110,E35,111:111)-SUMIF(110:110,C35,111:111)+100</f>
        <v>100</v>
      </c>
      <c r="G35" s="2606" t="s">
        <v>3062</v>
      </c>
      <c r="H35" s="435">
        <f>SUMIF(110:110,G35,111:111)-SUMIF(110:110,C35,111:111)+100</f>
        <v>100</v>
      </c>
      <c r="I35" s="2606" t="s">
        <v>3062</v>
      </c>
      <c r="J35" s="435">
        <f>SUMIF(110:110,I35,111:111)-SUMIF(110:110,C35,111:111)+100</f>
        <v>100</v>
      </c>
      <c r="K35" s="612">
        <v>1</v>
      </c>
      <c r="L35" s="1137"/>
      <c r="M35" s="1128"/>
      <c r="N35" s="1128"/>
      <c r="O35" s="1136"/>
      <c r="P35" s="3169"/>
      <c r="Q35" s="1805" t="str">
        <f t="shared" ref="Q35:Q40" si="14">B35</f>
        <v>宗地形状</v>
      </c>
      <c r="R35" s="774" t="s">
        <v>17</v>
      </c>
      <c r="S35" s="775">
        <f t="shared" si="10"/>
        <v>100</v>
      </c>
      <c r="T35" s="774" t="s">
        <v>17</v>
      </c>
      <c r="U35" s="775">
        <f t="shared" si="11"/>
        <v>100</v>
      </c>
      <c r="V35" s="774" t="s">
        <v>17</v>
      </c>
      <c r="W35" s="775">
        <f t="shared" si="12"/>
        <v>100</v>
      </c>
      <c r="X35" s="1808"/>
      <c r="Y35" s="3169"/>
      <c r="Z35" s="1809" t="str">
        <f t="shared" si="13"/>
        <v>宗地形状</v>
      </c>
      <c r="AA35" s="1806">
        <f t="shared" si="3"/>
        <v>1</v>
      </c>
      <c r="AB35" s="1806">
        <f t="shared" si="4"/>
        <v>1</v>
      </c>
      <c r="AC35" s="1806">
        <f t="shared" si="5"/>
        <v>1</v>
      </c>
    </row>
    <row r="36" spans="1:29" s="117" customFormat="1" ht="15">
      <c r="A36" s="473"/>
      <c r="B36" s="422" t="s">
        <v>2736</v>
      </c>
      <c r="C36" s="2694" t="s">
        <v>3064</v>
      </c>
      <c r="D36" s="136">
        <v>100</v>
      </c>
      <c r="E36" s="2694" t="s">
        <v>3064</v>
      </c>
      <c r="F36" s="435">
        <f>SUMIF(112:112,E36,113:113)-SUMIF(112:112,C36,113:113)+100</f>
        <v>100</v>
      </c>
      <c r="G36" s="2694" t="s">
        <v>3064</v>
      </c>
      <c r="H36" s="435">
        <f>SUMIF(112:112,G36,113:113)-SUMIF(112:112,C36,113:113)+100</f>
        <v>100</v>
      </c>
      <c r="I36" s="2694" t="s">
        <v>3064</v>
      </c>
      <c r="J36" s="435">
        <f>SUMIF(112:112,I36,113:113)-SUMIF(112:112,C36,113:113)+100</f>
        <v>100</v>
      </c>
      <c r="K36" s="612">
        <v>1</v>
      </c>
      <c r="L36" s="1129"/>
      <c r="M36" s="1130"/>
      <c r="N36" s="1130"/>
      <c r="O36" s="1131"/>
      <c r="P36" s="3169"/>
      <c r="Q36" s="1805" t="str">
        <f t="shared" si="14"/>
        <v>宗地开发程度</v>
      </c>
      <c r="R36" s="770" t="s">
        <v>17</v>
      </c>
      <c r="S36" s="771">
        <f t="shared" si="10"/>
        <v>100</v>
      </c>
      <c r="T36" s="770" t="s">
        <v>17</v>
      </c>
      <c r="U36" s="771">
        <f t="shared" si="11"/>
        <v>100</v>
      </c>
      <c r="V36" s="770" t="s">
        <v>17</v>
      </c>
      <c r="W36" s="771">
        <f t="shared" si="12"/>
        <v>100</v>
      </c>
      <c r="X36" s="772"/>
      <c r="Y36" s="3169"/>
      <c r="Z36" s="55" t="str">
        <f t="shared" si="13"/>
        <v>宗地开发程度</v>
      </c>
      <c r="AA36" s="773">
        <f t="shared" si="3"/>
        <v>1</v>
      </c>
      <c r="AB36" s="773">
        <f t="shared" si="4"/>
        <v>1</v>
      </c>
      <c r="AC36" s="773">
        <f t="shared" si="5"/>
        <v>1</v>
      </c>
    </row>
    <row r="37" spans="1:29" ht="15.6" thickBot="1">
      <c r="A37" s="472"/>
      <c r="B37" s="422" t="s">
        <v>2737</v>
      </c>
      <c r="C37" s="2606" t="s">
        <v>3066</v>
      </c>
      <c r="D37" s="435">
        <v>100</v>
      </c>
      <c r="E37" s="2606" t="s">
        <v>3066</v>
      </c>
      <c r="F37" s="435">
        <f>SUMIF(114:114,E37,115:115)-SUMIF(114:114,C37,115:115)+100</f>
        <v>100</v>
      </c>
      <c r="G37" s="2606" t="s">
        <v>3066</v>
      </c>
      <c r="H37" s="435">
        <f>SUMIF(114:114,G37,115:115)-SUMIF(114:114,C37,115:115)+100</f>
        <v>100</v>
      </c>
      <c r="I37" s="2606" t="s">
        <v>3066</v>
      </c>
      <c r="J37" s="435">
        <f>SUMIF(114:114,I37,115:115)-SUMIF(114:114,C37,115:115)+100</f>
        <v>100</v>
      </c>
      <c r="K37" s="612">
        <v>1</v>
      </c>
      <c r="L37" s="1137"/>
      <c r="M37" s="1128"/>
      <c r="N37" s="1128"/>
      <c r="O37" s="1136"/>
      <c r="P37" s="3169" t="s">
        <v>2548</v>
      </c>
      <c r="Q37" s="1805" t="str">
        <f t="shared" si="14"/>
        <v>工程地质条件</v>
      </c>
      <c r="R37" s="774" t="s">
        <v>17</v>
      </c>
      <c r="S37" s="775">
        <f t="shared" si="10"/>
        <v>100</v>
      </c>
      <c r="T37" s="774" t="s">
        <v>17</v>
      </c>
      <c r="U37" s="775">
        <f t="shared" si="11"/>
        <v>100</v>
      </c>
      <c r="V37" s="774" t="s">
        <v>17</v>
      </c>
      <c r="W37" s="775">
        <f t="shared" si="12"/>
        <v>100</v>
      </c>
      <c r="X37" s="1808"/>
      <c r="Y37" s="3169" t="s">
        <v>2548</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69"/>
      <c r="Q38" s="1805">
        <f t="shared" si="14"/>
        <v>111</v>
      </c>
      <c r="R38" s="774" t="s">
        <v>17</v>
      </c>
      <c r="S38" s="775">
        <f t="shared" si="10"/>
        <v>100</v>
      </c>
      <c r="T38" s="774" t="s">
        <v>17</v>
      </c>
      <c r="U38" s="775">
        <f t="shared" si="11"/>
        <v>100</v>
      </c>
      <c r="V38" s="774" t="s">
        <v>17</v>
      </c>
      <c r="W38" s="775">
        <f t="shared" si="12"/>
        <v>100</v>
      </c>
      <c r="X38" s="1808"/>
      <c r="Y38" s="3169"/>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69"/>
      <c r="Q39" s="1805">
        <f t="shared" si="14"/>
        <v>111</v>
      </c>
      <c r="R39" s="774" t="s">
        <v>17</v>
      </c>
      <c r="S39" s="775">
        <f t="shared" si="10"/>
        <v>100</v>
      </c>
      <c r="T39" s="774" t="s">
        <v>17</v>
      </c>
      <c r="U39" s="775">
        <f t="shared" si="11"/>
        <v>100</v>
      </c>
      <c r="V39" s="774" t="s">
        <v>17</v>
      </c>
      <c r="W39" s="775">
        <f t="shared" si="12"/>
        <v>100</v>
      </c>
      <c r="X39" s="1808"/>
      <c r="Y39" s="3169"/>
      <c r="Z39" s="1809">
        <f t="shared" si="13"/>
        <v>111</v>
      </c>
      <c r="AA39" s="1806">
        <f t="shared" si="3"/>
        <v>1</v>
      </c>
      <c r="AB39" s="1806">
        <f t="shared" si="4"/>
        <v>1</v>
      </c>
      <c r="AC39" s="1806">
        <f t="shared" si="5"/>
        <v>1</v>
      </c>
    </row>
    <row r="40" spans="1:29" s="471" customFormat="1" ht="15.6"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69"/>
      <c r="Q40" s="1805">
        <f t="shared" si="14"/>
        <v>111</v>
      </c>
      <c r="R40" s="777" t="s">
        <v>17</v>
      </c>
      <c r="S40" s="778">
        <f t="shared" si="10"/>
        <v>100</v>
      </c>
      <c r="T40" s="777" t="s">
        <v>17</v>
      </c>
      <c r="U40" s="778">
        <f t="shared" si="11"/>
        <v>100</v>
      </c>
      <c r="V40" s="777" t="s">
        <v>17</v>
      </c>
      <c r="W40" s="778">
        <f t="shared" si="12"/>
        <v>100</v>
      </c>
      <c r="X40" s="779"/>
      <c r="Y40" s="3169"/>
      <c r="Z40" s="780">
        <f t="shared" si="13"/>
        <v>111</v>
      </c>
      <c r="AA40" s="1806">
        <f t="shared" si="3"/>
        <v>1</v>
      </c>
      <c r="AB40" s="1806">
        <f t="shared" si="4"/>
        <v>1</v>
      </c>
      <c r="AC40" s="1806">
        <f t="shared" si="5"/>
        <v>1</v>
      </c>
    </row>
    <row r="41" spans="1:29" ht="14.4">
      <c r="A41" s="479" t="s">
        <v>2703</v>
      </c>
      <c r="B41" s="2696" t="s">
        <v>3070</v>
      </c>
      <c r="C41" s="682" t="s">
        <v>1</v>
      </c>
      <c r="D41" s="481"/>
      <c r="E41" s="482" t="e">
        <f>#REF!</f>
        <v>#REF!</v>
      </c>
      <c r="F41" s="483"/>
      <c r="G41" s="484" t="e">
        <f>#REF!</f>
        <v>#REF!</v>
      </c>
      <c r="H41" s="485"/>
      <c r="I41" s="482" t="e">
        <f>#REF!</f>
        <v>#REF!</v>
      </c>
      <c r="J41" s="485"/>
      <c r="K41" s="783"/>
      <c r="L41" s="1140"/>
      <c r="M41" s="1128"/>
      <c r="N41" s="1128"/>
      <c r="O41" s="1141"/>
      <c r="P41" s="3164" t="str">
        <f>A41</f>
        <v>成交单价</v>
      </c>
      <c r="Q41" s="3164"/>
      <c r="R41" s="3170" t="e">
        <f>E41</f>
        <v>#REF!</v>
      </c>
      <c r="S41" s="3170"/>
      <c r="T41" s="3170" t="e">
        <f>G41</f>
        <v>#REF!</v>
      </c>
      <c r="U41" s="3170"/>
      <c r="V41" s="3170" t="e">
        <f>I41</f>
        <v>#REF!</v>
      </c>
      <c r="W41" s="3170"/>
      <c r="X41" s="759"/>
      <c r="Y41" s="781"/>
      <c r="Z41" s="759"/>
      <c r="AA41" s="759"/>
      <c r="AB41" s="759"/>
      <c r="AC41" s="759"/>
    </row>
    <row r="42" spans="1:29" ht="15" thickBot="1">
      <c r="A42" s="486" t="s">
        <v>2652</v>
      </c>
      <c r="B42" s="683"/>
      <c r="C42" s="490" t="e">
        <f>R43</f>
        <v>#REF!</v>
      </c>
      <c r="D42" s="489"/>
      <c r="E42" s="490" t="e">
        <f>R42</f>
        <v>#REF!</v>
      </c>
      <c r="F42" s="491"/>
      <c r="G42" s="488" t="e">
        <f>T42</f>
        <v>#REF!</v>
      </c>
      <c r="H42" s="489"/>
      <c r="I42" s="490" t="e">
        <f>V42</f>
        <v>#REF!</v>
      </c>
      <c r="J42" s="489"/>
      <c r="K42" s="784"/>
      <c r="L42" s="1140"/>
      <c r="M42" s="1128"/>
      <c r="N42" s="1128"/>
      <c r="O42" s="1141"/>
      <c r="P42" s="3164" t="str">
        <f>A42</f>
        <v>比较价值（元/平方米）</v>
      </c>
      <c r="Q42" s="3164"/>
      <c r="R42" s="3157" t="e">
        <f>ROUND(PRODUCT(R41,AA7:AA40),0)</f>
        <v>#REF!</v>
      </c>
      <c r="S42" s="3157"/>
      <c r="T42" s="3157" t="e">
        <f>ROUND(PRODUCT(T41,AB7:AB40),0)</f>
        <v>#REF!</v>
      </c>
      <c r="U42" s="3157"/>
      <c r="V42" s="3157" t="e">
        <f>ROUND(PRODUCT(V41,AC7:AC40),0)</f>
        <v>#REF!</v>
      </c>
      <c r="W42" s="3157"/>
      <c r="X42" s="759"/>
      <c r="Y42" s="759"/>
      <c r="Z42" s="759"/>
      <c r="AA42" s="759"/>
      <c r="AB42" s="759"/>
      <c r="AC42" s="759"/>
    </row>
    <row r="43" spans="1:29" ht="15" thickBot="1">
      <c r="A43" s="492" t="s">
        <v>2653</v>
      </c>
      <c r="B43" s="493"/>
      <c r="C43" s="494" t="e">
        <f>R43</f>
        <v>#REF!</v>
      </c>
      <c r="D43" s="494"/>
      <c r="E43" s="494"/>
      <c r="F43" s="494"/>
      <c r="G43" s="494"/>
      <c r="H43" s="494"/>
      <c r="I43" s="494"/>
      <c r="J43" s="494"/>
      <c r="K43" s="785"/>
      <c r="L43" s="1140"/>
      <c r="M43" s="1128"/>
      <c r="N43" s="1128"/>
      <c r="O43" s="1141"/>
      <c r="P43" s="3158" t="str">
        <f>A43</f>
        <v>估价对象XX用房的比较价值（楼面单价，元/平方米）</v>
      </c>
      <c r="Q43" s="3159"/>
      <c r="R43" s="3160" t="e">
        <f>ROUND(AVERAGE(R42:V42),0)</f>
        <v>#REF!</v>
      </c>
      <c r="S43" s="3160"/>
      <c r="T43" s="3160"/>
      <c r="U43" s="3160"/>
      <c r="V43" s="3160"/>
      <c r="W43" s="3160"/>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2654</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2655</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2656</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2740</v>
      </c>
      <c r="B50" s="685" t="s">
        <v>2741</v>
      </c>
      <c r="C50" s="2697" t="s">
        <v>2742</v>
      </c>
      <c r="D50" s="2698" t="s">
        <v>2743</v>
      </c>
      <c r="E50" s="686" t="s">
        <v>2744</v>
      </c>
      <c r="F50" s="687" t="s">
        <v>2745</v>
      </c>
      <c r="G50" s="3161" t="s">
        <v>2746</v>
      </c>
      <c r="H50" s="3162"/>
      <c r="I50" s="1809" t="s">
        <v>2782</v>
      </c>
      <c r="J50" s="1809" t="str">
        <f>项目基本情况!F35</f>
        <v>江苏省镇江市</v>
      </c>
      <c r="K50" s="2700" t="s">
        <v>2748</v>
      </c>
      <c r="L50" s="1103"/>
      <c r="M50" s="1141"/>
      <c r="N50" s="1141"/>
      <c r="O50" s="1141"/>
    </row>
    <row r="51" spans="1:17" s="692" customFormat="1">
      <c r="A51" s="688" t="s">
        <v>2749</v>
      </c>
      <c r="B51" s="689" t="e">
        <f>C43</f>
        <v>#REF!</v>
      </c>
      <c r="C51" s="690">
        <v>1</v>
      </c>
      <c r="D51" s="1160">
        <v>1</v>
      </c>
      <c r="E51" s="690">
        <f>'数据-汇总表'!E8+'数据-汇总表'!E9</f>
        <v>32125.14</v>
      </c>
      <c r="F51" s="691" t="e">
        <f t="shared" ref="F51:F60" si="15">ROUND(B51*E51/10000,0)</f>
        <v>#REF!</v>
      </c>
      <c r="G51" s="3163"/>
      <c r="H51" s="3164"/>
      <c r="I51" s="939">
        <v>1</v>
      </c>
      <c r="J51" s="939">
        <v>1</v>
      </c>
      <c r="K51" s="1142"/>
      <c r="L51" s="938"/>
      <c r="M51" s="938"/>
      <c r="N51" s="938"/>
      <c r="O51" s="938"/>
    </row>
    <row r="52" spans="1:17" s="692" customFormat="1">
      <c r="A52" s="693" t="s">
        <v>2750</v>
      </c>
      <c r="B52" s="262" t="e">
        <f>ROUND($C$43*C52*D52,0)</f>
        <v>#REF!</v>
      </c>
      <c r="C52" s="200">
        <f t="shared" ref="C52:C60" si="16">IF($C$50="北京市系数",I52,J52)</f>
        <v>0</v>
      </c>
      <c r="D52" s="1161">
        <v>0.25</v>
      </c>
      <c r="E52" s="694"/>
      <c r="F52" s="691" t="e">
        <f t="shared" si="15"/>
        <v>#REF!</v>
      </c>
      <c r="G52" s="3165" t="s">
        <v>2751</v>
      </c>
      <c r="H52" s="1101">
        <f>项目基本情况!B37</f>
        <v>0</v>
      </c>
      <c r="I52" s="939">
        <f>SUMIF(修正!A45:A56,H52,修正!B45:B56)</f>
        <v>0</v>
      </c>
      <c r="J52" s="940"/>
      <c r="K52" s="1141"/>
      <c r="L52" s="938"/>
      <c r="M52" s="938"/>
      <c r="N52" s="938"/>
      <c r="O52" s="938"/>
    </row>
    <row r="53" spans="1:17" s="692" customFormat="1">
      <c r="A53" s="693" t="s">
        <v>2752</v>
      </c>
      <c r="B53" s="262" t="e">
        <f t="shared" ref="B53:B60" si="17">ROUND($C$43*C53*D53,0)</f>
        <v>#REF!</v>
      </c>
      <c r="C53" s="200">
        <f t="shared" si="16"/>
        <v>0</v>
      </c>
      <c r="D53" s="1161">
        <v>0.25</v>
      </c>
      <c r="E53" s="694"/>
      <c r="F53" s="691" t="e">
        <f t="shared" si="15"/>
        <v>#REF!</v>
      </c>
      <c r="G53" s="3165"/>
      <c r="H53" s="1101">
        <f>项目基本情况!B37</f>
        <v>0</v>
      </c>
      <c r="I53" s="939">
        <f>SUMIF(修正!A45:A56,H53,修正!C45:C56)</f>
        <v>0</v>
      </c>
      <c r="J53" s="940"/>
      <c r="K53" s="1142"/>
      <c r="L53" s="938"/>
      <c r="M53" s="938"/>
      <c r="N53" s="938"/>
      <c r="O53" s="938"/>
    </row>
    <row r="54" spans="1:17" s="692" customFormat="1">
      <c r="A54" s="693" t="s">
        <v>2753</v>
      </c>
      <c r="B54" s="262" t="e">
        <f t="shared" si="17"/>
        <v>#REF!</v>
      </c>
      <c r="C54" s="200">
        <f t="shared" si="16"/>
        <v>0</v>
      </c>
      <c r="D54" s="1161">
        <v>0.25</v>
      </c>
      <c r="E54" s="694"/>
      <c r="F54" s="691" t="e">
        <f t="shared" si="15"/>
        <v>#REF!</v>
      </c>
      <c r="G54" s="3165"/>
      <c r="H54" s="1101">
        <f>项目基本情况!B37</f>
        <v>0</v>
      </c>
      <c r="I54" s="939">
        <f>SUMIF(修正!A45:A56,H54,修正!D45:D56)</f>
        <v>0</v>
      </c>
      <c r="J54" s="940"/>
      <c r="K54" s="1141"/>
      <c r="L54" s="938"/>
      <c r="M54" s="938"/>
      <c r="N54" s="938"/>
      <c r="O54" s="938"/>
    </row>
    <row r="55" spans="1:17" s="692" customFormat="1">
      <c r="A55" s="693" t="s">
        <v>2754</v>
      </c>
      <c r="B55" s="262" t="e">
        <f t="shared" si="17"/>
        <v>#REF!</v>
      </c>
      <c r="C55" s="200">
        <f t="shared" si="16"/>
        <v>0</v>
      </c>
      <c r="D55" s="1161">
        <v>0.25</v>
      </c>
      <c r="E55" s="694"/>
      <c r="F55" s="691" t="e">
        <f t="shared" si="15"/>
        <v>#REF!</v>
      </c>
      <c r="G55" s="3165"/>
      <c r="H55" s="1101">
        <f>项目基本情况!B37</f>
        <v>0</v>
      </c>
      <c r="I55" s="939">
        <f>SUMIF(修正!A45:A56,H55,修正!E45:E56)</f>
        <v>0</v>
      </c>
      <c r="J55" s="940"/>
      <c r="K55" s="1142"/>
      <c r="L55" s="938"/>
      <c r="M55" s="938"/>
      <c r="N55" s="938"/>
      <c r="O55" s="938"/>
    </row>
    <row r="56" spans="1:17" s="692" customFormat="1">
      <c r="A56" s="693" t="s">
        <v>2755</v>
      </c>
      <c r="B56" s="262" t="e">
        <f t="shared" si="17"/>
        <v>#REF!</v>
      </c>
      <c r="C56" s="200">
        <f t="shared" si="16"/>
        <v>0</v>
      </c>
      <c r="D56" s="1161">
        <v>0.25</v>
      </c>
      <c r="E56" s="261">
        <f>'数据-汇总表'!E11</f>
        <v>0</v>
      </c>
      <c r="F56" s="691" t="e">
        <f t="shared" si="15"/>
        <v>#REF!</v>
      </c>
      <c r="G56" s="2701" t="s">
        <v>2756</v>
      </c>
      <c r="H56" s="1101">
        <f>项目基本情况!C37</f>
        <v>0</v>
      </c>
      <c r="I56" s="939">
        <f>SUMIF(修正!A45:A56,H56,修正!F45:F56)</f>
        <v>0</v>
      </c>
      <c r="J56" s="940"/>
      <c r="K56" s="1141"/>
      <c r="L56" s="938"/>
      <c r="M56" s="938"/>
      <c r="N56" s="938"/>
      <c r="O56" s="938"/>
    </row>
    <row r="57" spans="1:17" s="692" customFormat="1">
      <c r="A57" s="693" t="s">
        <v>2757</v>
      </c>
      <c r="B57" s="262" t="e">
        <f t="shared" si="17"/>
        <v>#REF!</v>
      </c>
      <c r="C57" s="200">
        <f t="shared" si="16"/>
        <v>0</v>
      </c>
      <c r="D57" s="1161">
        <v>0.25</v>
      </c>
      <c r="E57" s="261">
        <f>'数据-汇总表'!E12</f>
        <v>0</v>
      </c>
      <c r="F57" s="691" t="e">
        <f t="shared" si="15"/>
        <v>#REF!</v>
      </c>
      <c r="G57" s="1106" t="s">
        <v>2758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2759</v>
      </c>
      <c r="B58" s="262" t="e">
        <f t="shared" si="17"/>
        <v>#REF!</v>
      </c>
      <c r="C58" s="200">
        <f t="shared" si="16"/>
        <v>0</v>
      </c>
      <c r="D58" s="1161">
        <v>0.25</v>
      </c>
      <c r="E58" s="261">
        <f>'数据-汇总表'!E13</f>
        <v>0</v>
      </c>
      <c r="F58" s="691" t="e">
        <f t="shared" si="15"/>
        <v>#REF!</v>
      </c>
      <c r="G58" s="1106" t="s">
        <v>2760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2761</v>
      </c>
      <c r="B59" s="262" t="e">
        <f t="shared" si="17"/>
        <v>#REF!</v>
      </c>
      <c r="C59" s="200">
        <f t="shared" si="16"/>
        <v>0</v>
      </c>
      <c r="D59" s="1161">
        <v>0.25</v>
      </c>
      <c r="E59" s="261">
        <f>'数据-汇总表'!E14</f>
        <v>0</v>
      </c>
      <c r="F59" s="691" t="e">
        <f t="shared" si="15"/>
        <v>#REF!</v>
      </c>
      <c r="G59" s="2701" t="s">
        <v>2751</v>
      </c>
      <c r="H59" s="1101">
        <f>项目基本情况!B37</f>
        <v>0</v>
      </c>
      <c r="I59" s="939">
        <f>SUMIF(修正!A45:A56,H59,修正!H45:H56)</f>
        <v>0</v>
      </c>
      <c r="J59" s="940"/>
      <c r="K59" s="1142"/>
      <c r="L59" s="938"/>
      <c r="M59" s="938"/>
      <c r="N59" s="938"/>
      <c r="O59" s="938"/>
    </row>
    <row r="60" spans="1:17" s="692" customFormat="1" ht="14.4" thickBot="1">
      <c r="A60" s="693" t="s">
        <v>2762</v>
      </c>
      <c r="B60" s="262" t="e">
        <f t="shared" si="17"/>
        <v>#REF!</v>
      </c>
      <c r="C60" s="200">
        <f t="shared" si="16"/>
        <v>0</v>
      </c>
      <c r="D60" s="1161">
        <v>0.25</v>
      </c>
      <c r="E60" s="261">
        <f>'数据-汇总表'!E15</f>
        <v>0</v>
      </c>
      <c r="F60" s="691" t="e">
        <f t="shared" si="15"/>
        <v>#REF!</v>
      </c>
      <c r="G60" s="2702" t="s">
        <v>2756</v>
      </c>
      <c r="H60" s="1111">
        <f>项目基本情况!C37</f>
        <v>0</v>
      </c>
      <c r="I60" s="939">
        <f>SUMIF(修正!A45:A56,H60,修正!H45:H56)</f>
        <v>0</v>
      </c>
      <c r="J60" s="940"/>
      <c r="K60" s="1141"/>
      <c r="L60" s="938"/>
      <c r="M60" s="938"/>
      <c r="N60" s="938"/>
      <c r="O60" s="938"/>
    </row>
    <row r="61" spans="1:17" s="692" customFormat="1" ht="14.4" thickBot="1">
      <c r="A61" s="695" t="s">
        <v>2763</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2657</v>
      </c>
      <c r="B64" s="759"/>
      <c r="C64" s="764"/>
      <c r="D64" s="764"/>
      <c r="E64" s="764"/>
      <c r="F64" s="765"/>
      <c r="G64" s="765"/>
      <c r="H64" s="764"/>
      <c r="I64" s="764"/>
      <c r="J64" s="764"/>
      <c r="K64" s="766"/>
      <c r="L64" s="767"/>
      <c r="M64" s="764"/>
      <c r="N64" s="764"/>
      <c r="O64" s="1156"/>
      <c r="P64" s="503"/>
      <c r="Q64" s="504"/>
    </row>
    <row r="65" spans="1:17" s="508" customFormat="1" ht="14.4">
      <c r="A65" s="2703" t="s">
        <v>2764</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2783</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 thickBot="1">
      <c r="A67" s="515" t="s">
        <v>2568</v>
      </c>
      <c r="B67" s="516"/>
      <c r="C67" s="517"/>
      <c r="D67" s="518"/>
      <c r="E67" s="518"/>
      <c r="F67" s="518"/>
      <c r="G67" s="518"/>
      <c r="H67" s="518"/>
      <c r="I67" s="518"/>
      <c r="J67" s="518"/>
      <c r="K67" s="518"/>
      <c r="L67" s="518"/>
      <c r="M67" s="519"/>
      <c r="N67" s="519"/>
      <c r="O67" s="520"/>
      <c r="P67" s="504"/>
      <c r="Q67" s="504"/>
    </row>
    <row r="68" spans="1:17" s="117" customFormat="1" ht="14.4">
      <c r="A68" s="521" t="s">
        <v>2533</v>
      </c>
      <c r="B68" s="510"/>
      <c r="C68" s="522" t="s">
        <v>2635</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2571</v>
      </c>
      <c r="B70" s="528" t="s">
        <v>2537</v>
      </c>
      <c r="C70" s="2944" t="s">
        <v>3061</v>
      </c>
      <c r="D70" s="530"/>
      <c r="E70" s="530"/>
      <c r="F70" s="530"/>
      <c r="G70" s="530"/>
      <c r="H70" s="530"/>
      <c r="I70" s="530"/>
      <c r="J70" s="530"/>
      <c r="K70" s="531"/>
      <c r="L70" s="532"/>
      <c r="M70" s="533"/>
      <c r="N70" s="1149"/>
      <c r="O70" s="1149"/>
      <c r="P70" s="45"/>
      <c r="Q70" s="504"/>
    </row>
    <row r="71" spans="1:17" ht="14.4" thickBot="1">
      <c r="A71" s="534"/>
      <c r="B71" s="535"/>
      <c r="C71" s="536">
        <v>100</v>
      </c>
      <c r="D71" s="536"/>
      <c r="E71" s="536"/>
      <c r="F71" s="536"/>
      <c r="G71" s="536"/>
      <c r="H71" s="536"/>
      <c r="I71" s="536"/>
      <c r="J71" s="536"/>
      <c r="K71" s="536"/>
      <c r="L71" s="536"/>
      <c r="M71" s="537"/>
      <c r="N71" s="1150"/>
      <c r="O71" s="1150"/>
      <c r="P71" s="45"/>
      <c r="Q71" s="504"/>
    </row>
    <row r="72" spans="1:17" ht="29.4" thickTop="1">
      <c r="A72" s="534"/>
      <c r="B72" s="538" t="s">
        <v>2540</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2541</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4.4"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2542</v>
      </c>
      <c r="B83" s="528" t="s">
        <v>2688</v>
      </c>
      <c r="C83" s="573" t="s">
        <v>2580</v>
      </c>
      <c r="D83" s="573" t="s">
        <v>2581</v>
      </c>
      <c r="E83" s="573" t="s">
        <v>2582</v>
      </c>
      <c r="F83" s="573" t="s">
        <v>2583</v>
      </c>
      <c r="G83" s="573" t="s">
        <v>2584</v>
      </c>
      <c r="H83" s="529"/>
      <c r="I83" s="529"/>
      <c r="J83" s="529"/>
      <c r="K83" s="574"/>
      <c r="L83" s="575"/>
      <c r="M83" s="576"/>
      <c r="N83" s="1149"/>
      <c r="O83" s="1149"/>
      <c r="P83" s="577"/>
      <c r="Q83" s="504"/>
    </row>
    <row r="84" spans="1:17" ht="14.4"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 thickTop="1">
      <c r="A85" s="534"/>
      <c r="B85" s="538" t="s">
        <v>2585</v>
      </c>
      <c r="C85" s="578" t="s">
        <v>2580</v>
      </c>
      <c r="D85" s="578" t="s">
        <v>2581</v>
      </c>
      <c r="E85" s="578" t="s">
        <v>2582</v>
      </c>
      <c r="F85" s="578" t="s">
        <v>2583</v>
      </c>
      <c r="G85" s="578" t="s">
        <v>2584</v>
      </c>
      <c r="H85" s="539"/>
      <c r="I85" s="539"/>
      <c r="J85" s="539"/>
      <c r="K85" s="540"/>
      <c r="L85" s="541"/>
      <c r="M85" s="542"/>
      <c r="N85" s="1149"/>
      <c r="O85" s="1149"/>
      <c r="P85" s="45"/>
      <c r="Q85" s="504"/>
    </row>
    <row r="86" spans="1:17" ht="14.4"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29.4" thickTop="1">
      <c r="A87" s="579"/>
      <c r="B87" s="538" t="s">
        <v>2767</v>
      </c>
      <c r="C87" s="573" t="s">
        <v>2580</v>
      </c>
      <c r="D87" s="573" t="s">
        <v>2581</v>
      </c>
      <c r="E87" s="573" t="s">
        <v>2582</v>
      </c>
      <c r="F87" s="573" t="s">
        <v>2583</v>
      </c>
      <c r="G87" s="573" t="s">
        <v>2584</v>
      </c>
      <c r="H87" s="578"/>
      <c r="I87" s="578"/>
      <c r="J87" s="578"/>
      <c r="K87" s="578"/>
      <c r="L87" s="698"/>
      <c r="M87" s="622"/>
      <c r="N87" s="1148"/>
      <c r="O87" s="1148"/>
      <c r="P87" s="45"/>
      <c r="Q87" s="504"/>
    </row>
    <row r="88" spans="1:17" s="117" customFormat="1" ht="14.4"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9.4" thickTop="1">
      <c r="A89" s="579"/>
      <c r="B89" s="538" t="s">
        <v>2768</v>
      </c>
      <c r="C89" s="573" t="s">
        <v>2580</v>
      </c>
      <c r="D89" s="573" t="s">
        <v>2581</v>
      </c>
      <c r="E89" s="573" t="s">
        <v>2582</v>
      </c>
      <c r="F89" s="573" t="s">
        <v>2583</v>
      </c>
      <c r="G89" s="573" t="s">
        <v>2584</v>
      </c>
      <c r="H89" s="578"/>
      <c r="I89" s="578"/>
      <c r="J89" s="578"/>
      <c r="K89" s="578"/>
      <c r="L89" s="578"/>
      <c r="M89" s="622"/>
      <c r="N89" s="1148"/>
      <c r="O89" s="1148"/>
      <c r="P89" s="45"/>
      <c r="Q89" s="504"/>
    </row>
    <row r="90" spans="1:17" s="117" customFormat="1" ht="14.4"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 thickTop="1">
      <c r="A91" s="553"/>
      <c r="B91" s="538" t="s">
        <v>2637</v>
      </c>
      <c r="C91" s="573" t="s">
        <v>2580</v>
      </c>
      <c r="D91" s="573" t="s">
        <v>2581</v>
      </c>
      <c r="E91" s="573" t="s">
        <v>2582</v>
      </c>
      <c r="F91" s="573" t="s">
        <v>2583</v>
      </c>
      <c r="G91" s="573" t="s">
        <v>2584</v>
      </c>
      <c r="H91" s="600"/>
      <c r="I91" s="600"/>
      <c r="J91" s="600"/>
      <c r="K91" s="600"/>
      <c r="L91" s="601"/>
      <c r="M91" s="602"/>
      <c r="N91" s="1151"/>
      <c r="O91" s="1151"/>
      <c r="P91" s="558"/>
      <c r="Q91" s="559"/>
    </row>
    <row r="92" spans="1:17" s="471" customFormat="1" ht="14.4"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 thickTop="1">
      <c r="A93" s="553"/>
      <c r="B93" s="546" t="s">
        <v>2784</v>
      </c>
      <c r="C93" s="660" t="s">
        <v>2658</v>
      </c>
      <c r="D93" s="660" t="s">
        <v>2659</v>
      </c>
      <c r="E93" s="660" t="s">
        <v>2660</v>
      </c>
      <c r="F93" s="660" t="s">
        <v>2661</v>
      </c>
      <c r="G93" s="660" t="s">
        <v>2662</v>
      </c>
      <c r="H93" s="600"/>
      <c r="I93" s="600"/>
      <c r="J93" s="600"/>
      <c r="K93" s="600"/>
      <c r="L93" s="600"/>
      <c r="M93" s="602"/>
      <c r="N93" s="1151"/>
      <c r="O93" s="1151"/>
      <c r="P93" s="558"/>
      <c r="Q93" s="559"/>
    </row>
    <row r="94" spans="1:17" s="471" customFormat="1" ht="14.4"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 thickTop="1">
      <c r="A95" s="534"/>
      <c r="B95" s="538" t="str">
        <f>B27</f>
        <v>临街状况</v>
      </c>
      <c r="C95" s="539" t="s">
        <v>2769</v>
      </c>
      <c r="D95" s="539" t="s">
        <v>2770</v>
      </c>
      <c r="E95" s="539" t="s">
        <v>2771</v>
      </c>
      <c r="F95" s="539" t="s">
        <v>2772</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2674</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2732</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27.6">
      <c r="A107" s="527" t="s">
        <v>2546</v>
      </c>
      <c r="B107" s="528" t="s">
        <v>2773</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4.4"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2774</v>
      </c>
      <c r="C110" s="2942" t="s">
        <v>3063</v>
      </c>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2776</v>
      </c>
      <c r="C112" s="2945" t="s">
        <v>3065</v>
      </c>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2777</v>
      </c>
      <c r="C114" s="2945" t="s">
        <v>3067</v>
      </c>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3094</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6" t="s">
        <v>1399</v>
      </c>
      <c r="C6" s="1293">
        <f ca="1">ROUND(F6*F8*F7*(1-F9)/10000,0)</f>
        <v>2111</v>
      </c>
      <c r="D6" s="164" t="s">
        <v>3014</v>
      </c>
      <c r="E6" s="347" t="s">
        <v>1401</v>
      </c>
      <c r="F6" s="348">
        <f ca="1">INDIRECT("'数据-取费表'!u"&amp;$G$1)</f>
        <v>2</v>
      </c>
      <c r="G6" s="1846"/>
      <c r="H6" s="1288" t="s">
        <v>1032</v>
      </c>
      <c r="I6" s="3206" t="s">
        <v>1399</v>
      </c>
      <c r="J6" s="346">
        <f ca="1">ROUND(M6*M8*M7*(1-M9)/10000,0)</f>
        <v>0</v>
      </c>
      <c r="K6" s="164" t="s">
        <v>3013</v>
      </c>
      <c r="L6" s="347" t="s">
        <v>1401</v>
      </c>
      <c r="M6" s="348">
        <f ca="1">INDIRECT("'数据-取费表'!z"&amp;$G$1)</f>
        <v>0</v>
      </c>
    </row>
    <row r="7" spans="1:37" ht="18" customHeight="1">
      <c r="A7" s="1292"/>
      <c r="B7" s="3207"/>
      <c r="C7" s="1294"/>
      <c r="D7" s="352"/>
      <c r="E7" s="1295" t="s">
        <v>1402</v>
      </c>
      <c r="F7" s="348">
        <f ca="1">IF(INDIRECT("'数据-取费表'!ah"&amp;$G$1)="",INDIRECT("'数据-取费表'!k"&amp;$G$1),INDIRECT("'数据-取费表'!ah"&amp;$G$1))</f>
        <v>32125.14</v>
      </c>
      <c r="G7" s="1846"/>
      <c r="H7" s="349"/>
      <c r="I7" s="3207"/>
      <c r="J7" s="351"/>
      <c r="K7" s="352"/>
      <c r="L7" s="347" t="s">
        <v>1402</v>
      </c>
      <c r="M7" s="348">
        <f ca="1">F7</f>
        <v>32125.14</v>
      </c>
    </row>
    <row r="8" spans="1:37" ht="18" customHeight="1">
      <c r="A8" s="349"/>
      <c r="B8" s="3207"/>
      <c r="C8" s="351"/>
      <c r="D8" s="352"/>
      <c r="E8" s="347" t="s">
        <v>1403</v>
      </c>
      <c r="F8" s="348">
        <f ca="1">INDIRECT("'数据-取费表'!ai"&amp;$G$1)</f>
        <v>365</v>
      </c>
      <c r="G8" s="1846"/>
      <c r="H8" s="349"/>
      <c r="I8" s="3207"/>
      <c r="J8" s="351"/>
      <c r="K8" s="352"/>
      <c r="L8" s="347" t="s">
        <v>1403</v>
      </c>
      <c r="M8" s="348">
        <f ca="1">INDIRECT("'数据-取费表'!ai"&amp;$G$1)</f>
        <v>365</v>
      </c>
    </row>
    <row r="9" spans="1:37" ht="18" customHeight="1">
      <c r="A9" s="349"/>
      <c r="B9" s="3208"/>
      <c r="C9" s="351"/>
      <c r="D9" s="352"/>
      <c r="E9" s="347" t="s">
        <v>1404</v>
      </c>
      <c r="F9" s="357">
        <f ca="1">INDIRECT("'数据-取费表'!w"&amp;$G$1)</f>
        <v>0.1</v>
      </c>
      <c r="G9" s="1846"/>
      <c r="H9" s="349"/>
      <c r="I9" s="3208"/>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3023</v>
      </c>
      <c r="E10" s="358" t="s">
        <v>1406</v>
      </c>
      <c r="F10" s="1363" t="s">
        <v>3040</v>
      </c>
      <c r="G10" s="1846"/>
      <c r="H10" s="1288" t="s">
        <v>1036</v>
      </c>
      <c r="I10" s="1818" t="s">
        <v>1405</v>
      </c>
      <c r="J10" s="346">
        <f ca="1">ROUND(IF(M10="押一",J6/12*M11,IF(M10="押二",J6/12*2*M11,IF(M10="押三",J6/12*3*M11,J11*M11))),0)</f>
        <v>0</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3041</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40.200000000000003" thickBot="1">
      <c r="A48" s="1357" t="s">
        <v>1132</v>
      </c>
      <c r="B48" s="345" t="s">
        <v>1397</v>
      </c>
      <c r="C48" s="1812">
        <f ca="1">C49+C53+C55</f>
        <v>0</v>
      </c>
      <c r="D48" s="1359"/>
      <c r="E48" s="1360"/>
      <c r="F48" s="1178"/>
      <c r="G48" s="792"/>
      <c r="H48" s="793"/>
      <c r="I48" s="1882" t="s">
        <v>1525</v>
      </c>
      <c r="J48" s="1883" t="s">
        <v>3043</v>
      </c>
      <c r="K48" s="1884" t="s">
        <v>1526</v>
      </c>
      <c r="L48" s="1885">
        <f ca="1">INDIRECT("'数据-取费表'!f"&amp;$G$1)</f>
        <v>40</v>
      </c>
      <c r="O48" s="1879" t="s">
        <v>1038</v>
      </c>
      <c r="P48" s="1880" t="s">
        <v>1527</v>
      </c>
      <c r="Q48" s="1881">
        <f ca="1">J60</f>
        <v>220</v>
      </c>
      <c r="R48" s="1881" t="s">
        <v>1528</v>
      </c>
    </row>
    <row r="49" spans="1:18" s="1837" customFormat="1" ht="13.8" thickBot="1">
      <c r="A49" s="1191" t="s">
        <v>1133</v>
      </c>
      <c r="B49" s="1824" t="s">
        <v>1485</v>
      </c>
      <c r="C49" s="1361">
        <f ca="1">ROUND(F49*F51*F50*(1-F52)/10000,0)</f>
        <v>0</v>
      </c>
      <c r="D49" s="1273" t="s">
        <v>3015</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8"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8"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204" t="s">
        <v>1543</v>
      </c>
      <c r="L53" s="3205"/>
      <c r="O53" s="1879" t="s">
        <v>1043</v>
      </c>
      <c r="P53" s="1880" t="s">
        <v>1544</v>
      </c>
      <c r="Q53" s="1881">
        <f ca="1">Q47+Q48</f>
        <v>38322</v>
      </c>
      <c r="R53" s="1881" t="s">
        <v>1044</v>
      </c>
    </row>
    <row r="54" spans="1:18" s="1837" customFormat="1" ht="24.6"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6"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6"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6"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2"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8"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8"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8"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2"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24.6"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2"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8"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8" thickBot="1">
      <c r="A70" s="1170"/>
      <c r="B70" s="1171"/>
      <c r="C70" s="355"/>
      <c r="D70" s="1182"/>
      <c r="E70" s="1166" t="s">
        <v>1472</v>
      </c>
      <c r="F70" s="1272"/>
      <c r="O70" s="1889" t="s">
        <v>1046</v>
      </c>
      <c r="P70" s="1929" t="s">
        <v>1580</v>
      </c>
      <c r="Q70" s="1881">
        <f ca="1">C13</f>
        <v>15580</v>
      </c>
      <c r="R70" s="1881" t="s">
        <v>1524</v>
      </c>
    </row>
    <row r="71" spans="1:18" s="1837" customFormat="1" ht="13.8"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f ca="1">L58</f>
        <v>1</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8"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3079</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6" t="s">
        <v>1399</v>
      </c>
      <c r="C6" s="1293" t="e">
        <f ca="1">ROUND(F6*F8*F7*(1-F9)/10000,0)</f>
        <v>#N/A</v>
      </c>
      <c r="D6" s="164" t="s">
        <v>3014</v>
      </c>
      <c r="E6" s="347" t="s">
        <v>1401</v>
      </c>
      <c r="F6" s="348" t="e">
        <f ca="1">INDIRECT("'数据-取费表'!u"&amp;$G$1)</f>
        <v>#N/A</v>
      </c>
      <c r="G6" s="1846"/>
      <c r="H6" s="1288" t="s">
        <v>1032</v>
      </c>
      <c r="I6" s="3206" t="s">
        <v>1399</v>
      </c>
      <c r="J6" s="346" t="e">
        <f ca="1">ROUND(M6*M8*M7*(1-M9)/10000,0)</f>
        <v>#N/A</v>
      </c>
      <c r="K6" s="164" t="s">
        <v>3013</v>
      </c>
      <c r="L6" s="347" t="s">
        <v>1401</v>
      </c>
      <c r="M6" s="348" t="e">
        <f ca="1">INDIRECT("'数据-取费表'!z"&amp;$G$1)</f>
        <v>#N/A</v>
      </c>
    </row>
    <row r="7" spans="1:37" ht="18" customHeight="1">
      <c r="A7" s="1292"/>
      <c r="B7" s="3207"/>
      <c r="C7" s="1294"/>
      <c r="D7" s="352"/>
      <c r="E7" s="2956"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3080</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6" t="s">
        <v>1399</v>
      </c>
      <c r="C6" s="1293" t="e">
        <f ca="1">ROUND(F6*F8*F7*(1-F9)/10000,0)</f>
        <v>#N/A</v>
      </c>
      <c r="D6" s="164" t="s">
        <v>3014</v>
      </c>
      <c r="E6" s="347" t="s">
        <v>1401</v>
      </c>
      <c r="F6" s="348" t="e">
        <f ca="1">INDIRECT("'数据-取费表'!u"&amp;$G$1)</f>
        <v>#N/A</v>
      </c>
      <c r="G6" s="1846"/>
      <c r="H6" s="1288" t="s">
        <v>1032</v>
      </c>
      <c r="I6" s="3206" t="s">
        <v>1399</v>
      </c>
      <c r="J6" s="346" t="e">
        <f ca="1">ROUND(M6*M8*M7*(1-M9)/10000,0)</f>
        <v>#N/A</v>
      </c>
      <c r="K6" s="164" t="s">
        <v>3013</v>
      </c>
      <c r="L6" s="347" t="s">
        <v>1401</v>
      </c>
      <c r="M6" s="348" t="e">
        <f ca="1">INDIRECT("'数据-取费表'!z"&amp;$G$1)</f>
        <v>#N/A</v>
      </c>
    </row>
    <row r="7" spans="1:37" ht="18" customHeight="1">
      <c r="A7" s="1292"/>
      <c r="B7" s="3207"/>
      <c r="C7" s="1294"/>
      <c r="D7" s="352"/>
      <c r="E7" s="2956"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3075</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6" t="s">
        <v>1399</v>
      </c>
      <c r="C6" s="1293" t="e">
        <f ca="1">ROUND(F6*F8*F7*(1-F9),0)</f>
        <v>#N/A</v>
      </c>
      <c r="D6" s="164" t="s">
        <v>3011</v>
      </c>
      <c r="E6" s="347" t="s">
        <v>1401</v>
      </c>
      <c r="F6" s="348" t="e">
        <f ca="1">INDIRECT("'数据-取费表'!u"&amp;$G$1)</f>
        <v>#N/A</v>
      </c>
      <c r="G6" s="1846"/>
      <c r="H6" s="1288" t="s">
        <v>1032</v>
      </c>
      <c r="I6" s="3206" t="s">
        <v>1399</v>
      </c>
      <c r="J6" s="346" t="e">
        <f ca="1">ROUND(M6*M8*M7*(1-M9),0)</f>
        <v>#N/A</v>
      </c>
      <c r="K6" s="1829" t="s">
        <v>3012</v>
      </c>
      <c r="L6" s="347" t="s">
        <v>1401</v>
      </c>
      <c r="M6" s="348" t="e">
        <f ca="1">INDIRECT("'数据-取费表'!z"&amp;$G$1)</f>
        <v>#N/A</v>
      </c>
    </row>
    <row r="7" spans="1:37" ht="18" customHeight="1">
      <c r="A7" s="1292"/>
      <c r="B7" s="3207"/>
      <c r="C7" s="1294"/>
      <c r="D7" s="352"/>
      <c r="E7" s="1295"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f ca="1">ROUND(IF(M10="押一",J6/12*M11,IF(M10="押二",J6/12*2*M11,IF(M10="押三",J6/12*3*M11,J11*M11))),0)</f>
        <v>0</v>
      </c>
      <c r="K10" s="1830" t="s">
        <v>3024</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8"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19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1812"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3025</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13.8"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2"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8"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2"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t="e">
        <f ca="1">F42</f>
        <v>#N/A</v>
      </c>
      <c r="O70" s="1889" t="s">
        <v>1046</v>
      </c>
      <c r="P70" s="1929" t="s">
        <v>1580</v>
      </c>
      <c r="Q70" s="1881" t="e">
        <f ca="1">C13</f>
        <v>#N/A</v>
      </c>
      <c r="R70" s="1881" t="s">
        <v>1524</v>
      </c>
    </row>
    <row r="71" spans="1:18" s="1837" customFormat="1" ht="13.8"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1606</v>
      </c>
    </row>
    <row r="2" spans="1:1">
      <c r="A2" s="1941"/>
    </row>
    <row r="3" spans="1:1" ht="17.399999999999999">
      <c r="A3" s="1942" t="str">
        <f>项目基本情况!B5&amp;"："</f>
        <v>中信信托有限责任公司：</v>
      </c>
    </row>
    <row r="4" spans="1:1" ht="34.799999999999997">
      <c r="A4" s="1943" t="str">
        <f>"受贵公司委托，我公司对"&amp;项目基本情况!S1&amp;"进行了预评估。"</f>
        <v>受贵公司委托，我公司对江苏省镇江市京口区镇江新区大港镇通港路东房地产抵押价值进行了预评估。</v>
      </c>
    </row>
    <row r="5" spans="1:1" ht="17.399999999999999">
      <c r="A5" s="1944" t="s">
        <v>1607</v>
      </c>
    </row>
    <row r="6" spans="1:1" ht="17.399999999999999">
      <c r="A6" s="1945" t="s">
        <v>1608</v>
      </c>
    </row>
    <row r="7" spans="1:1" ht="69.59999999999999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4.6">
      <c r="A8" s="1946" t="s">
        <v>1609</v>
      </c>
    </row>
    <row r="9" spans="1:1" ht="17.399999999999999">
      <c r="A9" s="1945" t="s">
        <v>1610</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2">
      <c r="A11" s="1946" t="s">
        <v>1611</v>
      </c>
    </row>
    <row r="12" spans="1:1" ht="17.399999999999999">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8" t="s">
        <v>1613</v>
      </c>
    </row>
    <row r="15" spans="1:1" ht="17.399999999999999">
      <c r="A15" s="1949" t="str">
        <f>TEXT(项目基本情况!D3,"yyyy年m月d日;;")&amp;IF(项目基本情况!D3=项目基本情况!B3,"（评估专业人员实地查勘之日）","")</f>
        <v>2019年4月29日（评估专业人员实地查勘之日）</v>
      </c>
    </row>
    <row r="16" spans="1:1" ht="17.399999999999999">
      <c r="A16" s="1948" t="s">
        <v>1614</v>
      </c>
    </row>
    <row r="17" spans="1:1" ht="69.599999999999994">
      <c r="A17" s="1943" t="s">
        <v>1615</v>
      </c>
    </row>
    <row r="18" spans="1:1" ht="52.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1604</v>
      </c>
    </row>
    <row r="24" spans="1:1" ht="17.399999999999999">
      <c r="A24" s="1950" t="str">
        <f>"本次评估采用的主估价方法为"&amp;结果表!K4&amp;"和"&amp;结果表!L4&amp;"。"</f>
        <v>本次评估采用的主估价方法为成本法和收益法。</v>
      </c>
    </row>
    <row r="25" spans="1:1" ht="17.399999999999999">
      <c r="A25" s="1950"/>
    </row>
    <row r="26" spans="1:1" ht="17.399999999999999">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2509</v>
      </c>
      <c r="B1" s="2555"/>
      <c r="C1" s="2555"/>
      <c r="D1" s="2555"/>
      <c r="E1" s="2556"/>
    </row>
    <row r="2" spans="1:6" ht="15.6">
      <c r="A2" s="2557" t="s">
        <v>2310</v>
      </c>
      <c r="B2" s="2558">
        <f ca="1">SUMIF(B6:B13,"&lt;&gt;#ref!",B6:B13)</f>
        <v>38322</v>
      </c>
      <c r="C2" s="2559" t="s">
        <v>2502</v>
      </c>
      <c r="D2" s="2560" t="s">
        <v>2503</v>
      </c>
      <c r="E2" s="2561">
        <f>SUM(E6:E13)</f>
        <v>32125.14</v>
      </c>
    </row>
    <row r="3" spans="1:6" ht="15.6">
      <c r="A3" s="2557" t="s">
        <v>1391</v>
      </c>
      <c r="B3" s="2558">
        <f ca="1">ROUND(B2*10000/E2,0)</f>
        <v>11929</v>
      </c>
      <c r="C3" s="2559" t="s">
        <v>2510</v>
      </c>
      <c r="D3" s="2562"/>
      <c r="E3" s="2563"/>
    </row>
    <row r="4" spans="1:6" ht="15.6">
      <c r="A4" s="2564"/>
      <c r="B4" s="2562"/>
      <c r="C4" s="2562"/>
      <c r="D4" s="2562"/>
      <c r="E4" s="2563"/>
    </row>
    <row r="5" spans="1:6" ht="14.4">
      <c r="A5" s="2565" t="s">
        <v>2504</v>
      </c>
      <c r="B5" s="3209" t="s">
        <v>2505</v>
      </c>
      <c r="C5" s="3209"/>
      <c r="D5" s="2566"/>
      <c r="E5" s="2567" t="s">
        <v>2506</v>
      </c>
      <c r="F5" s="2568" t="s">
        <v>2507</v>
      </c>
    </row>
    <row r="6" spans="1:6" ht="14.4">
      <c r="A6" s="2569" t="str">
        <f>'数据-取费表'!AN6</f>
        <v>收益法</v>
      </c>
      <c r="B6" s="2568">
        <f ca="1">IF(F6="是",'数据-取费表'!AO6,0)</f>
        <v>38322</v>
      </c>
      <c r="C6" s="2559" t="s">
        <v>2502</v>
      </c>
      <c r="D6" s="2562"/>
      <c r="E6" s="2570">
        <f>IF(OR(A6=0,F6="否"),0,'数据-取费表'!K6+'数据-取费表'!S6)</f>
        <v>32125.14</v>
      </c>
      <c r="F6" s="2571" t="s">
        <v>2508</v>
      </c>
    </row>
    <row r="7" spans="1:6" ht="14.4">
      <c r="A7" s="2569">
        <f>'数据-取费表'!AN7</f>
        <v>0</v>
      </c>
      <c r="B7" s="2568" t="e">
        <f ca="1">IF(F7="是",'数据-取费表'!AO7,0)</f>
        <v>#REF!</v>
      </c>
      <c r="C7" s="2559" t="s">
        <v>2502</v>
      </c>
      <c r="D7" s="2562"/>
      <c r="E7" s="2570">
        <f>IF(OR(A7=0,F7="否"),0,'数据-取费表'!K7+'数据-取费表'!S7)</f>
        <v>0</v>
      </c>
      <c r="F7" s="2571" t="s">
        <v>2508</v>
      </c>
    </row>
    <row r="8" spans="1:6" ht="14.4">
      <c r="A8" s="2569">
        <f>'数据-取费表'!AN8</f>
        <v>0</v>
      </c>
      <c r="B8" s="2568" t="e">
        <f ca="1">IF(F8="是",'数据-取费表'!AO8,0)</f>
        <v>#REF!</v>
      </c>
      <c r="C8" s="2559" t="s">
        <v>2502</v>
      </c>
      <c r="D8" s="2562"/>
      <c r="E8" s="2570">
        <f>IF(OR(A8=0,F8="否"),0,'数据-取费表'!K8+'数据-取费表'!S8)</f>
        <v>0</v>
      </c>
      <c r="F8" s="2571" t="s">
        <v>2508</v>
      </c>
    </row>
    <row r="9" spans="1:6" ht="14.4">
      <c r="A9" s="2569">
        <f>'数据-取费表'!AN9</f>
        <v>0</v>
      </c>
      <c r="B9" s="2568" t="e">
        <f ca="1">IF(F9="是",'数据-取费表'!AO9,0)</f>
        <v>#REF!</v>
      </c>
      <c r="C9" s="2559" t="s">
        <v>2502</v>
      </c>
      <c r="D9" s="2562"/>
      <c r="E9" s="2570">
        <f>IF(OR(A9=0,F9="否"),0,'数据-取费表'!K9+'数据-取费表'!S9)</f>
        <v>0</v>
      </c>
      <c r="F9" s="2571" t="s">
        <v>2508</v>
      </c>
    </row>
    <row r="10" spans="1:6" ht="14.4">
      <c r="A10" s="2569">
        <f>'数据-取费表'!AN10</f>
        <v>0</v>
      </c>
      <c r="B10" s="2568" t="e">
        <f ca="1">IF(F10="是",'数据-取费表'!AO10,0)</f>
        <v>#REF!</v>
      </c>
      <c r="C10" s="2559" t="s">
        <v>2502</v>
      </c>
      <c r="D10" s="2562"/>
      <c r="E10" s="2570">
        <f>IF(OR(A10=0,F10="否"),0,'数据-取费表'!K10+'数据-取费表'!S10)</f>
        <v>0</v>
      </c>
      <c r="F10" s="2571" t="s">
        <v>2508</v>
      </c>
    </row>
    <row r="11" spans="1:6" ht="14.4">
      <c r="A11" s="2569">
        <f>'数据-取费表'!AN11</f>
        <v>0</v>
      </c>
      <c r="B11" s="2568" t="e">
        <f ca="1">IF(F11="是",'数据-取费表'!AO11,0)</f>
        <v>#REF!</v>
      </c>
      <c r="C11" s="2559" t="s">
        <v>2502</v>
      </c>
      <c r="D11" s="2562"/>
      <c r="E11" s="2570">
        <f>IF(OR(A11=0,F11="否"),0,'数据-取费表'!K11+'数据-取费表'!S11)</f>
        <v>0</v>
      </c>
      <c r="F11" s="2571" t="s">
        <v>2508</v>
      </c>
    </row>
    <row r="12" spans="1:6" ht="14.4">
      <c r="A12" s="2569">
        <f>'数据-取费表'!AN12</f>
        <v>0</v>
      </c>
      <c r="B12" s="2568" t="e">
        <f ca="1">IF(F12="是",'数据-取费表'!AO12,0)</f>
        <v>#REF!</v>
      </c>
      <c r="C12" s="2559" t="s">
        <v>2502</v>
      </c>
      <c r="D12" s="2562"/>
      <c r="E12" s="2570">
        <f>IF(OR(A12=0,F12="否"),0,'数据-取费表'!K12+'数据-取费表'!S12)</f>
        <v>0</v>
      </c>
      <c r="F12" s="2571" t="s">
        <v>2508</v>
      </c>
    </row>
    <row r="13" spans="1:6" ht="15" thickBot="1">
      <c r="A13" s="2572">
        <f>'数据-取费表'!AN13</f>
        <v>0</v>
      </c>
      <c r="B13" s="2568" t="e">
        <f ca="1">IF(F13="是",'数据-取费表'!AO13,0)</f>
        <v>#REF!</v>
      </c>
      <c r="C13" s="2573" t="s">
        <v>2502</v>
      </c>
      <c r="D13" s="2574"/>
      <c r="E13" s="2570">
        <f>IF(OR(A13=0,F13="否"),0,'数据-取费表'!K13+'数据-取费表'!S13)</f>
        <v>0</v>
      </c>
      <c r="F13" s="2571"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6" t="s">
        <v>1073</v>
      </c>
      <c r="B1" s="3227"/>
      <c r="C1" s="3228"/>
      <c r="D1" s="3229">
        <f>SUM(I10,I15,I20,I21,I23)</f>
        <v>0</v>
      </c>
      <c r="E1" s="3229"/>
      <c r="F1" s="3229"/>
      <c r="G1" s="3229"/>
      <c r="H1" s="3229"/>
      <c r="I1" s="3230"/>
    </row>
    <row r="2" spans="1:9">
      <c r="A2" s="3216" t="s">
        <v>1074</v>
      </c>
      <c r="B2" s="3217" t="s">
        <v>1075</v>
      </c>
      <c r="C2" s="3217"/>
      <c r="D2" s="1298" t="s">
        <v>1076</v>
      </c>
      <c r="E2" s="1298" t="s">
        <v>1077</v>
      </c>
      <c r="F2" s="1298" t="s">
        <v>1078</v>
      </c>
      <c r="G2" s="1298" t="s">
        <v>1079</v>
      </c>
      <c r="H2" s="1298" t="s">
        <v>1080</v>
      </c>
      <c r="I2" s="1299" t="s">
        <v>1081</v>
      </c>
    </row>
    <row r="3" spans="1:9">
      <c r="A3" s="3216"/>
      <c r="B3" s="3217" t="s">
        <v>1082</v>
      </c>
      <c r="C3" s="3217"/>
      <c r="D3" s="1300"/>
      <c r="E3" s="1298"/>
      <c r="F3" s="1301"/>
      <c r="G3" s="1301"/>
      <c r="H3" s="1302"/>
      <c r="I3" s="1303">
        <f>ROUND(D3*E3*F3*G3*H3/10000,0)</f>
        <v>0</v>
      </c>
    </row>
    <row r="4" spans="1:9">
      <c r="A4" s="3216"/>
      <c r="B4" s="3217" t="s">
        <v>1083</v>
      </c>
      <c r="C4" s="3217"/>
      <c r="D4" s="1300"/>
      <c r="E4" s="1298"/>
      <c r="F4" s="1301"/>
      <c r="G4" s="1301"/>
      <c r="H4" s="1302"/>
      <c r="I4" s="1303">
        <f t="shared" ref="I4:I9" si="0">ROUND(D4*E4*F4*G4*H4/10000,0)</f>
        <v>0</v>
      </c>
    </row>
    <row r="5" spans="1:9">
      <c r="A5" s="3216"/>
      <c r="B5" s="3217" t="s">
        <v>1084</v>
      </c>
      <c r="C5" s="3217"/>
      <c r="D5" s="1300"/>
      <c r="E5" s="1298"/>
      <c r="F5" s="1301"/>
      <c r="G5" s="1301"/>
      <c r="H5" s="1302"/>
      <c r="I5" s="1303">
        <f t="shared" si="0"/>
        <v>0</v>
      </c>
    </row>
    <row r="6" spans="1:9">
      <c r="A6" s="3216"/>
      <c r="B6" s="3217" t="s">
        <v>1085</v>
      </c>
      <c r="C6" s="3217"/>
      <c r="D6" s="1300"/>
      <c r="E6" s="1298"/>
      <c r="F6" s="1301"/>
      <c r="G6" s="1301"/>
      <c r="H6" s="1302"/>
      <c r="I6" s="1303">
        <f t="shared" si="0"/>
        <v>0</v>
      </c>
    </row>
    <row r="7" spans="1:9">
      <c r="A7" s="3216"/>
      <c r="B7" s="3217" t="s">
        <v>1086</v>
      </c>
      <c r="C7" s="3217"/>
      <c r="D7" s="1300"/>
      <c r="E7" s="1298"/>
      <c r="F7" s="1301"/>
      <c r="G7" s="1301"/>
      <c r="H7" s="1302"/>
      <c r="I7" s="1303">
        <f t="shared" si="0"/>
        <v>0</v>
      </c>
    </row>
    <row r="8" spans="1:9">
      <c r="A8" s="3216"/>
      <c r="B8" s="3217" t="s">
        <v>1087</v>
      </c>
      <c r="C8" s="3217"/>
      <c r="D8" s="1300"/>
      <c r="E8" s="1298"/>
      <c r="F8" s="1301"/>
      <c r="G8" s="1301"/>
      <c r="H8" s="1302"/>
      <c r="I8" s="1303">
        <f t="shared" si="0"/>
        <v>0</v>
      </c>
    </row>
    <row r="9" spans="1:9">
      <c r="A9" s="3216"/>
      <c r="B9" s="3217" t="s">
        <v>1088</v>
      </c>
      <c r="C9" s="3217"/>
      <c r="D9" s="1300"/>
      <c r="E9" s="1298"/>
      <c r="F9" s="1301"/>
      <c r="G9" s="1301"/>
      <c r="H9" s="1302"/>
      <c r="I9" s="1303">
        <f t="shared" si="0"/>
        <v>0</v>
      </c>
    </row>
    <row r="10" spans="1:9">
      <c r="A10" s="3216"/>
      <c r="B10" s="3218" t="s">
        <v>1089</v>
      </c>
      <c r="C10" s="3218"/>
      <c r="D10" s="1304"/>
      <c r="E10" s="1304" t="e">
        <f>ROUND(D1*10000/D10/H9,0)</f>
        <v>#DIV/0!</v>
      </c>
      <c r="F10" s="1305"/>
      <c r="G10" s="1305"/>
      <c r="H10" s="1306"/>
      <c r="I10" s="1307">
        <f>SUM(I3:I9)</f>
        <v>0</v>
      </c>
    </row>
    <row r="11" spans="1:9" ht="15.6">
      <c r="A11" s="3216" t="s">
        <v>1090</v>
      </c>
      <c r="B11" s="3217" t="s">
        <v>1091</v>
      </c>
      <c r="C11" s="3217"/>
      <c r="D11" s="1300" t="s">
        <v>1092</v>
      </c>
      <c r="E11" s="1300" t="s">
        <v>1093</v>
      </c>
      <c r="F11" s="1301" t="s">
        <v>1094</v>
      </c>
      <c r="G11" s="1301" t="s">
        <v>1080</v>
      </c>
      <c r="H11" s="1308" t="s">
        <v>1095</v>
      </c>
      <c r="I11" s="1299" t="s">
        <v>1081</v>
      </c>
    </row>
    <row r="12" spans="1:9">
      <c r="A12" s="3216"/>
      <c r="B12" s="3217" t="s">
        <v>1096</v>
      </c>
      <c r="C12" s="3217"/>
      <c r="D12" s="1300"/>
      <c r="E12" s="1300"/>
      <c r="F12" s="1301"/>
      <c r="G12" s="1302"/>
      <c r="H12" s="1309"/>
      <c r="I12" s="1299">
        <f>ROUND(D12*E12*F12*G12/10000,0)</f>
        <v>0</v>
      </c>
    </row>
    <row r="13" spans="1:9">
      <c r="A13" s="3216"/>
      <c r="B13" s="3217" t="s">
        <v>1097</v>
      </c>
      <c r="C13" s="3217"/>
      <c r="D13" s="1300"/>
      <c r="E13" s="1300"/>
      <c r="F13" s="1301"/>
      <c r="G13" s="1302"/>
      <c r="H13" s="1309"/>
      <c r="I13" s="1299">
        <f>ROUND(D13*E13*F13*G13/10000,0)</f>
        <v>0</v>
      </c>
    </row>
    <row r="14" spans="1:9">
      <c r="A14" s="3216"/>
      <c r="B14" s="3217" t="s">
        <v>1098</v>
      </c>
      <c r="C14" s="3217"/>
      <c r="D14" s="1300"/>
      <c r="E14" s="1300"/>
      <c r="F14" s="1301"/>
      <c r="G14" s="1302"/>
      <c r="H14" s="1309"/>
      <c r="I14" s="1299">
        <f>ROUND(D14*E14*F14*G14/10000,0)</f>
        <v>0</v>
      </c>
    </row>
    <row r="15" spans="1:9">
      <c r="A15" s="3216"/>
      <c r="B15" s="3218" t="s">
        <v>1089</v>
      </c>
      <c r="C15" s="3218"/>
      <c r="D15" s="1304"/>
      <c r="E15" s="1304">
        <f>SUM(E12:E14)</f>
        <v>0</v>
      </c>
      <c r="F15" s="1305"/>
      <c r="G15" s="1302"/>
      <c r="H15" s="1309"/>
      <c r="I15" s="1310">
        <f>SUM(I12:I14)</f>
        <v>0</v>
      </c>
    </row>
    <row r="16" spans="1:9" ht="24">
      <c r="A16" s="3216" t="s">
        <v>1099</v>
      </c>
      <c r="B16" s="3217" t="s">
        <v>1100</v>
      </c>
      <c r="C16" s="3217"/>
      <c r="D16" s="1300" t="s">
        <v>1076</v>
      </c>
      <c r="E16" s="1311" t="s">
        <v>1101</v>
      </c>
      <c r="F16" s="1301" t="s">
        <v>1102</v>
      </c>
      <c r="G16" s="1302" t="s">
        <v>1080</v>
      </c>
      <c r="H16" s="1308" t="s">
        <v>1095</v>
      </c>
      <c r="I16" s="1299" t="s">
        <v>1081</v>
      </c>
    </row>
    <row r="17" spans="1:9" ht="15.6">
      <c r="A17" s="3216"/>
      <c r="B17" s="3217" t="s">
        <v>1103</v>
      </c>
      <c r="C17" s="3217"/>
      <c r="D17" s="1300"/>
      <c r="E17" s="1300"/>
      <c r="F17" s="1301"/>
      <c r="G17" s="1302"/>
      <c r="H17" s="1312"/>
      <c r="I17" s="1313">
        <f>ROUND(D17*E17*F17*G17/10000,0)</f>
        <v>0</v>
      </c>
    </row>
    <row r="18" spans="1:9" ht="15.6">
      <c r="A18" s="3216"/>
      <c r="B18" s="3217" t="s">
        <v>1104</v>
      </c>
      <c r="C18" s="3217"/>
      <c r="D18" s="1300"/>
      <c r="E18" s="1300"/>
      <c r="F18" s="1301"/>
      <c r="G18" s="1302"/>
      <c r="H18" s="1312"/>
      <c r="I18" s="1313">
        <f>ROUND(D18*E18*F18*G18/10000,0)</f>
        <v>0</v>
      </c>
    </row>
    <row r="19" spans="1:9" ht="15.6">
      <c r="A19" s="3216"/>
      <c r="B19" s="3217" t="s">
        <v>1105</v>
      </c>
      <c r="C19" s="3217"/>
      <c r="D19" s="1300"/>
      <c r="E19" s="1300"/>
      <c r="F19" s="1301"/>
      <c r="G19" s="1302"/>
      <c r="H19" s="1312"/>
      <c r="I19" s="1313">
        <f>ROUND(D19*E19*F19*G19/10000,0)</f>
        <v>0</v>
      </c>
    </row>
    <row r="20" spans="1:9">
      <c r="A20" s="3216"/>
      <c r="B20" s="3218" t="s">
        <v>1089</v>
      </c>
      <c r="C20" s="3218"/>
      <c r="D20" s="1304">
        <f>SUM(D17:D19)</f>
        <v>0</v>
      </c>
      <c r="E20" s="1304"/>
      <c r="F20" s="1305"/>
      <c r="G20" s="1302"/>
      <c r="H20" s="1309"/>
      <c r="I20" s="1310">
        <f>SUM(I17:I19)</f>
        <v>0</v>
      </c>
    </row>
    <row r="21" spans="1:9">
      <c r="A21" s="3216" t="s">
        <v>1106</v>
      </c>
      <c r="B21" s="3219"/>
      <c r="C21" s="3219"/>
      <c r="D21" s="3219"/>
      <c r="E21" s="3219"/>
      <c r="F21" s="3219"/>
      <c r="G21" s="3219"/>
      <c r="H21" s="1760">
        <v>0.1</v>
      </c>
      <c r="I21" s="1307">
        <f>ROUND(I10*H21,0)</f>
        <v>0</v>
      </c>
    </row>
    <row r="22" spans="1:9" ht="15.6">
      <c r="A22" s="3220" t="s">
        <v>1107</v>
      </c>
      <c r="B22" s="3221"/>
      <c r="C22" s="3222"/>
      <c r="D22" s="1314" t="s">
        <v>1108</v>
      </c>
      <c r="E22" s="1314" t="s">
        <v>1109</v>
      </c>
      <c r="F22" s="1315" t="s">
        <v>1110</v>
      </c>
      <c r="G22" s="1315" t="s">
        <v>1111</v>
      </c>
      <c r="H22" s="1308" t="s">
        <v>1112</v>
      </c>
      <c r="I22" s="1299" t="s">
        <v>1113</v>
      </c>
    </row>
    <row r="23" spans="1:9" ht="15" thickBot="1">
      <c r="A23" s="3223"/>
      <c r="B23" s="3224"/>
      <c r="C23" s="3225"/>
      <c r="D23" s="1316"/>
      <c r="E23" s="1316"/>
      <c r="F23" s="1316"/>
      <c r="G23" s="1317"/>
      <c r="H23" s="1318"/>
      <c r="I23" s="1319">
        <f>ROUND(E23*D23*F23*(1-G23)/10000,0)</f>
        <v>0</v>
      </c>
    </row>
    <row r="26" spans="1:9">
      <c r="A26" s="1320" t="s">
        <v>1114</v>
      </c>
      <c r="B26" s="1320"/>
      <c r="C26" s="1320"/>
      <c r="D26" s="1320"/>
      <c r="E26" s="3213">
        <f>C27-C30-C31-C32</f>
        <v>0</v>
      </c>
      <c r="F26" s="3213"/>
      <c r="G26" s="3213"/>
      <c r="H26" s="1732" t="s">
        <v>1336</v>
      </c>
    </row>
    <row r="27" spans="1:9">
      <c r="A27" s="1321">
        <v>1</v>
      </c>
      <c r="B27" s="1322" t="s">
        <v>1115</v>
      </c>
      <c r="C27" s="1322">
        <f>C28+C29</f>
        <v>0</v>
      </c>
      <c r="D27" s="1322"/>
      <c r="E27" s="3214"/>
      <c r="F27" s="3214"/>
      <c r="G27" s="3214"/>
    </row>
    <row r="28" spans="1:9">
      <c r="A28" s="1323" t="s">
        <v>1116</v>
      </c>
      <c r="B28" s="1322" t="s">
        <v>1117</v>
      </c>
      <c r="C28" s="1322"/>
      <c r="D28" s="1322"/>
      <c r="E28" s="3214"/>
      <c r="F28" s="3214"/>
      <c r="G28" s="321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5"/>
      <c r="F32" s="3215"/>
      <c r="G32" s="3215"/>
    </row>
    <row r="33" spans="1:7" hidden="1">
      <c r="A33" s="3210" t="s">
        <v>1126</v>
      </c>
      <c r="B33" s="3211"/>
      <c r="C33" s="3211"/>
      <c r="D33" s="3212"/>
      <c r="E33" s="3213"/>
      <c r="F33" s="3213"/>
      <c r="G33" s="3213"/>
    </row>
    <row r="34" spans="1:7" hidden="1">
      <c r="A34" s="1325">
        <v>1</v>
      </c>
      <c r="B34" s="1322" t="s">
        <v>1127</v>
      </c>
      <c r="C34" s="1322"/>
      <c r="D34" s="1322"/>
      <c r="E34" s="3214"/>
      <c r="F34" s="3214"/>
      <c r="G34" s="3214"/>
    </row>
    <row r="35" spans="1:7" hidden="1">
      <c r="A35" s="1325">
        <v>2</v>
      </c>
      <c r="B35" s="1322" t="s">
        <v>1128</v>
      </c>
      <c r="C35" s="1322"/>
      <c r="D35" s="1322"/>
      <c r="E35" s="3214"/>
      <c r="F35" s="3214"/>
      <c r="G35" s="3214"/>
    </row>
    <row r="36" spans="1:7" hidden="1">
      <c r="A36" s="1325">
        <v>3</v>
      </c>
      <c r="B36" s="1322" t="s">
        <v>1129</v>
      </c>
      <c r="C36" s="1322"/>
      <c r="D36" s="1322"/>
      <c r="E36" s="3214"/>
      <c r="F36" s="3214"/>
      <c r="G36" s="3214"/>
    </row>
    <row r="37" spans="1:7" hidden="1">
      <c r="A37" s="1325">
        <v>4</v>
      </c>
      <c r="B37" s="1322" t="s">
        <v>1130</v>
      </c>
      <c r="C37" s="1322"/>
      <c r="D37" s="1322"/>
      <c r="E37" s="3214"/>
      <c r="F37" s="3214"/>
      <c r="G37" s="3214"/>
    </row>
    <row r="38" spans="1:7" hidden="1">
      <c r="A38" s="3210" t="s">
        <v>1131</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575" t="s">
        <v>2512</v>
      </c>
      <c r="C1" s="1629" t="s">
        <v>2513</v>
      </c>
      <c r="D1" s="1616"/>
      <c r="E1" s="2576"/>
      <c r="F1" s="2577" t="s">
        <v>2514</v>
      </c>
      <c r="G1" s="1626" t="s">
        <v>2515</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2516</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2517</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1" t="s">
        <v>2518</v>
      </c>
      <c r="B4" s="402"/>
      <c r="C4" s="3161" t="s">
        <v>2519</v>
      </c>
      <c r="D4" s="3174"/>
      <c r="E4" s="3175" t="s">
        <v>2520</v>
      </c>
      <c r="F4" s="3176"/>
      <c r="G4" s="3161" t="s">
        <v>2521</v>
      </c>
      <c r="H4" s="3174"/>
      <c r="I4" s="3161" t="s">
        <v>2522</v>
      </c>
      <c r="J4" s="3174"/>
      <c r="K4" s="2589" t="s">
        <v>2523</v>
      </c>
      <c r="L4" s="1127"/>
      <c r="M4" s="1128"/>
      <c r="N4" s="1128"/>
      <c r="O4" s="1128"/>
      <c r="P4" s="3177" t="s">
        <v>2524</v>
      </c>
      <c r="Q4" s="3178"/>
      <c r="R4" s="3183" t="s">
        <v>2520</v>
      </c>
      <c r="S4" s="3184"/>
      <c r="T4" s="3183" t="s">
        <v>2521</v>
      </c>
      <c r="U4" s="3184"/>
      <c r="V4" s="3170" t="s">
        <v>2522</v>
      </c>
      <c r="W4" s="3170"/>
      <c r="X4" s="1808"/>
      <c r="Y4" s="3183" t="s">
        <v>2524</v>
      </c>
      <c r="Z4" s="3184"/>
      <c r="AA4" s="3171" t="s">
        <v>2520</v>
      </c>
      <c r="AB4" s="3171" t="s">
        <v>2521</v>
      </c>
      <c r="AC4" s="3171" t="s">
        <v>2522</v>
      </c>
    </row>
    <row r="5" spans="1:29">
      <c r="A5" s="404"/>
      <c r="B5" s="405"/>
      <c r="C5" s="3191" t="s">
        <v>2525</v>
      </c>
      <c r="D5" s="3192"/>
      <c r="E5" s="3198" t="s">
        <v>2526</v>
      </c>
      <c r="F5" s="3199"/>
      <c r="G5" s="3191" t="s">
        <v>2527</v>
      </c>
      <c r="H5" s="3192"/>
      <c r="I5" s="3191" t="s">
        <v>2528</v>
      </c>
      <c r="J5" s="3192"/>
      <c r="K5" s="2590"/>
      <c r="L5" s="1127"/>
      <c r="M5" s="1128"/>
      <c r="N5" s="1128"/>
      <c r="O5" s="1128"/>
      <c r="P5" s="3179"/>
      <c r="Q5" s="3180"/>
      <c r="R5" s="3185"/>
      <c r="S5" s="3186"/>
      <c r="T5" s="3185"/>
      <c r="U5" s="3186"/>
      <c r="V5" s="3170"/>
      <c r="W5" s="3170"/>
      <c r="X5" s="1808"/>
      <c r="Y5" s="3185"/>
      <c r="Z5" s="3186"/>
      <c r="AA5" s="3172"/>
      <c r="AB5" s="3172"/>
      <c r="AC5" s="3172"/>
    </row>
    <row r="6" spans="1:29" ht="15" thickBot="1">
      <c r="A6" s="406"/>
      <c r="B6" s="407"/>
      <c r="C6" s="3189" t="s">
        <v>2529</v>
      </c>
      <c r="D6" s="3190"/>
      <c r="E6" s="3196" t="s">
        <v>2529</v>
      </c>
      <c r="F6" s="3197"/>
      <c r="G6" s="3189" t="s">
        <v>2529</v>
      </c>
      <c r="H6" s="3190"/>
      <c r="I6" s="3189" t="s">
        <v>2529</v>
      </c>
      <c r="J6" s="3190"/>
      <c r="K6" s="2590" t="s">
        <v>2530</v>
      </c>
      <c r="L6" s="1127"/>
      <c r="M6" s="1128"/>
      <c r="N6" s="1128"/>
      <c r="O6" s="1128"/>
      <c r="P6" s="3181"/>
      <c r="Q6" s="3182"/>
      <c r="R6" s="3185"/>
      <c r="S6" s="3186"/>
      <c r="T6" s="3187"/>
      <c r="U6" s="3188"/>
      <c r="V6" s="3170"/>
      <c r="W6" s="3170"/>
      <c r="X6" s="1808"/>
      <c r="Y6" s="3187"/>
      <c r="Z6" s="3188"/>
      <c r="AA6" s="3173"/>
      <c r="AB6" s="3173"/>
      <c r="AC6" s="3173"/>
    </row>
    <row r="7" spans="1:29" s="117" customFormat="1" ht="1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93" t="s">
        <v>2532</v>
      </c>
      <c r="Q7" s="3195"/>
      <c r="R7" s="770" t="s">
        <v>23</v>
      </c>
      <c r="S7" s="771">
        <f t="shared" ref="S7:S15" si="0">F7</f>
        <v>0</v>
      </c>
      <c r="T7" s="770" t="s">
        <v>23</v>
      </c>
      <c r="U7" s="771">
        <f t="shared" ref="U7:U15" si="1">H7</f>
        <v>0</v>
      </c>
      <c r="V7" s="770" t="s">
        <v>23</v>
      </c>
      <c r="W7" s="771">
        <f t="shared" ref="W7:W15" si="2">J7</f>
        <v>0</v>
      </c>
      <c r="X7" s="772"/>
      <c r="Y7" s="3193" t="s">
        <v>2532</v>
      </c>
      <c r="Z7" s="3194"/>
      <c r="AA7" s="773" t="e">
        <f>D7/F7</f>
        <v>#DIV/0!</v>
      </c>
      <c r="AB7" s="773" t="e">
        <f>D7/H7</f>
        <v>#DIV/0!</v>
      </c>
      <c r="AC7" s="773" t="e">
        <f>D7/J7</f>
        <v>#DIV/0!</v>
      </c>
    </row>
    <row r="8" spans="1:29" s="117" customFormat="1" ht="15" thickBot="1">
      <c r="A8" s="408" t="s">
        <v>2533</v>
      </c>
      <c r="B8" s="409"/>
      <c r="C8" s="414" t="s">
        <v>2534</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93" t="s">
        <v>2535</v>
      </c>
      <c r="Q8" s="3194"/>
      <c r="R8" s="770" t="s">
        <v>23</v>
      </c>
      <c r="S8" s="771">
        <f t="shared" si="0"/>
        <v>0</v>
      </c>
      <c r="T8" s="770" t="s">
        <v>23</v>
      </c>
      <c r="U8" s="771">
        <f t="shared" si="1"/>
        <v>0</v>
      </c>
      <c r="V8" s="770" t="s">
        <v>23</v>
      </c>
      <c r="W8" s="771">
        <f t="shared" si="2"/>
        <v>0</v>
      </c>
      <c r="X8" s="772"/>
      <c r="Y8" s="3193" t="s">
        <v>2535</v>
      </c>
      <c r="Z8" s="3194"/>
      <c r="AA8" s="773" t="e">
        <f t="shared" ref="AA8:AA19" si="3">D8/F8</f>
        <v>#DIV/0!</v>
      </c>
      <c r="AB8" s="773" t="e">
        <f t="shared" ref="AB8:AB19" si="4">D8/H8</f>
        <v>#DIV/0!</v>
      </c>
      <c r="AC8" s="773" t="e">
        <f t="shared" ref="AC8:AC19" si="5">D8/J8</f>
        <v>#DIV/0!</v>
      </c>
    </row>
    <row r="9" spans="1:29" s="117" customFormat="1" ht="14.4">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63"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63"/>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63"/>
      <c r="Q11" s="1790"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63"/>
      <c r="Q12" s="1790">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63"/>
      <c r="Q13" s="1790">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63"/>
      <c r="Q14" s="1790">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2542</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7" t="s">
        <v>2543</v>
      </c>
      <c r="Q15" s="1805" t="str">
        <f t="shared" si="6"/>
        <v>居住社区成熟度</v>
      </c>
      <c r="R15" s="774" t="s">
        <v>21</v>
      </c>
      <c r="S15" s="775">
        <f t="shared" si="0"/>
        <v>100</v>
      </c>
      <c r="T15" s="774" t="s">
        <v>21</v>
      </c>
      <c r="U15" s="775">
        <f t="shared" si="1"/>
        <v>100</v>
      </c>
      <c r="V15" s="774" t="s">
        <v>21</v>
      </c>
      <c r="W15" s="775">
        <f t="shared" si="2"/>
        <v>100</v>
      </c>
      <c r="X15" s="1808"/>
      <c r="Y15" s="3166" t="s">
        <v>2543</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8"/>
      <c r="Q16" s="1805"/>
      <c r="R16" s="774"/>
      <c r="S16" s="775"/>
      <c r="T16" s="774"/>
      <c r="U16" s="775"/>
      <c r="V16" s="774"/>
      <c r="W16" s="775"/>
      <c r="X16" s="1808"/>
      <c r="Y16" s="3167"/>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8"/>
      <c r="Q17" s="1805" t="str">
        <f>B17</f>
        <v>交通便捷度</v>
      </c>
      <c r="R17" s="774" t="s">
        <v>21</v>
      </c>
      <c r="S17" s="775">
        <f>F17</f>
        <v>100</v>
      </c>
      <c r="T17" s="774" t="s">
        <v>21</v>
      </c>
      <c r="U17" s="775">
        <f>H17</f>
        <v>100</v>
      </c>
      <c r="V17" s="774" t="s">
        <v>21</v>
      </c>
      <c r="W17" s="775">
        <f>J17</f>
        <v>100</v>
      </c>
      <c r="X17" s="1808"/>
      <c r="Y17" s="3167"/>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8"/>
      <c r="Q18" s="1805"/>
      <c r="R18" s="774"/>
      <c r="S18" s="775"/>
      <c r="T18" s="774"/>
      <c r="U18" s="775"/>
      <c r="V18" s="774"/>
      <c r="W18" s="775"/>
      <c r="X18" s="1808"/>
      <c r="Y18" s="3167"/>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8"/>
      <c r="Q19" s="1805" t="str">
        <f>B19</f>
        <v>公共配套设施</v>
      </c>
      <c r="R19" s="774" t="s">
        <v>21</v>
      </c>
      <c r="S19" s="775">
        <f>F19</f>
        <v>100</v>
      </c>
      <c r="T19" s="774" t="s">
        <v>21</v>
      </c>
      <c r="U19" s="775">
        <f>H19</f>
        <v>100</v>
      </c>
      <c r="V19" s="774" t="s">
        <v>21</v>
      </c>
      <c r="W19" s="775">
        <f>J19</f>
        <v>100</v>
      </c>
      <c r="X19" s="1808"/>
      <c r="Y19" s="3167"/>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8"/>
      <c r="Q20" s="1805"/>
      <c r="R20" s="774"/>
      <c r="S20" s="775"/>
      <c r="T20" s="774"/>
      <c r="U20" s="775"/>
      <c r="V20" s="774"/>
      <c r="W20" s="775"/>
      <c r="X20" s="1808"/>
      <c r="Y20" s="3167"/>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67"/>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8"/>
      <c r="Q22" s="1805"/>
      <c r="R22" s="774"/>
      <c r="S22" s="775"/>
      <c r="T22" s="774"/>
      <c r="U22" s="775"/>
      <c r="V22" s="774"/>
      <c r="W22" s="775"/>
      <c r="X22" s="1808"/>
      <c r="Y22" s="3167"/>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8"/>
      <c r="Q23" s="1805" t="str">
        <f>B23</f>
        <v>自然及人文环境</v>
      </c>
      <c r="R23" s="774" t="s">
        <v>21</v>
      </c>
      <c r="S23" s="775">
        <f>F23</f>
        <v>100</v>
      </c>
      <c r="T23" s="774" t="s">
        <v>21</v>
      </c>
      <c r="U23" s="775">
        <f>H23</f>
        <v>100</v>
      </c>
      <c r="V23" s="774" t="s">
        <v>21</v>
      </c>
      <c r="W23" s="775">
        <f>J23</f>
        <v>100</v>
      </c>
      <c r="X23" s="1808"/>
      <c r="Y23" s="3167"/>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8"/>
      <c r="Q24" s="1805"/>
      <c r="R24" s="774"/>
      <c r="S24" s="775"/>
      <c r="T24" s="774"/>
      <c r="U24" s="775"/>
      <c r="V24" s="774"/>
      <c r="W24" s="775"/>
      <c r="X24" s="1808"/>
      <c r="Y24" s="3167"/>
      <c r="Z24" s="1809"/>
      <c r="AA24" s="1806">
        <v>1</v>
      </c>
      <c r="AB24" s="1806">
        <v>1</v>
      </c>
      <c r="AC24" s="1806">
        <v>1</v>
      </c>
    </row>
    <row r="25" spans="1:29" ht="15">
      <c r="A25" s="428"/>
      <c r="B25" s="422" t="s">
        <v>2544</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8"/>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67"/>
      <c r="Z25" s="1809" t="str">
        <f>Q25</f>
        <v>楼层-1</v>
      </c>
      <c r="AA25" s="1806">
        <f t="shared" ref="AA25:AA46" si="15">D25/F25</f>
        <v>1</v>
      </c>
      <c r="AB25" s="1806">
        <f t="shared" ref="AB25:AB46" si="16">D25/H25</f>
        <v>1</v>
      </c>
      <c r="AC25" s="1806">
        <f t="shared" ref="AC25:AC46" si="17">D25/J25</f>
        <v>1</v>
      </c>
    </row>
    <row r="26" spans="1:29" ht="15">
      <c r="A26" s="428"/>
      <c r="B26" s="422" t="s">
        <v>2545</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8"/>
      <c r="Q26" s="1805" t="str">
        <f t="shared" si="11"/>
        <v>朝向</v>
      </c>
      <c r="R26" s="774" t="s">
        <v>21</v>
      </c>
      <c r="S26" s="775">
        <f t="shared" si="12"/>
        <v>100</v>
      </c>
      <c r="T26" s="774" t="s">
        <v>21</v>
      </c>
      <c r="U26" s="775">
        <f t="shared" si="13"/>
        <v>100</v>
      </c>
      <c r="V26" s="774" t="s">
        <v>21</v>
      </c>
      <c r="W26" s="775">
        <f t="shared" si="14"/>
        <v>100</v>
      </c>
      <c r="X26" s="1808"/>
      <c r="Y26" s="3167"/>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8"/>
      <c r="Q27" s="1790">
        <f t="shared" si="11"/>
        <v>111</v>
      </c>
      <c r="R27" s="770" t="s">
        <v>21</v>
      </c>
      <c r="S27" s="771">
        <f t="shared" si="12"/>
        <v>100</v>
      </c>
      <c r="T27" s="770" t="s">
        <v>21</v>
      </c>
      <c r="U27" s="771">
        <f t="shared" si="13"/>
        <v>100</v>
      </c>
      <c r="V27" s="770" t="s">
        <v>21</v>
      </c>
      <c r="W27" s="771">
        <f t="shared" si="14"/>
        <v>100</v>
      </c>
      <c r="X27" s="772"/>
      <c r="Y27" s="3167"/>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8"/>
      <c r="Q28" s="1805">
        <f t="shared" si="11"/>
        <v>111</v>
      </c>
      <c r="R28" s="774" t="s">
        <v>21</v>
      </c>
      <c r="S28" s="775">
        <f t="shared" si="12"/>
        <v>100</v>
      </c>
      <c r="T28" s="774" t="s">
        <v>21</v>
      </c>
      <c r="U28" s="775">
        <f t="shared" si="13"/>
        <v>100</v>
      </c>
      <c r="V28" s="774" t="s">
        <v>21</v>
      </c>
      <c r="W28" s="775">
        <f t="shared" si="14"/>
        <v>100</v>
      </c>
      <c r="X28" s="1808"/>
      <c r="Y28" s="3167"/>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8"/>
      <c r="Q29" s="1805">
        <f t="shared" si="11"/>
        <v>111</v>
      </c>
      <c r="R29" s="774" t="s">
        <v>21</v>
      </c>
      <c r="S29" s="775">
        <f t="shared" si="12"/>
        <v>100</v>
      </c>
      <c r="T29" s="774" t="s">
        <v>21</v>
      </c>
      <c r="U29" s="775">
        <f t="shared" si="13"/>
        <v>100</v>
      </c>
      <c r="V29" s="774" t="s">
        <v>21</v>
      </c>
      <c r="W29" s="775">
        <f t="shared" si="14"/>
        <v>100</v>
      </c>
      <c r="X29" s="1808"/>
      <c r="Y29" s="3167"/>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8"/>
      <c r="Q30" s="1805">
        <f t="shared" si="11"/>
        <v>111</v>
      </c>
      <c r="R30" s="774" t="s">
        <v>21</v>
      </c>
      <c r="S30" s="775">
        <f t="shared" si="12"/>
        <v>100</v>
      </c>
      <c r="T30" s="774" t="s">
        <v>21</v>
      </c>
      <c r="U30" s="775">
        <f t="shared" si="13"/>
        <v>100</v>
      </c>
      <c r="V30" s="774" t="s">
        <v>21</v>
      </c>
      <c r="W30" s="775">
        <f t="shared" si="14"/>
        <v>100</v>
      </c>
      <c r="X30" s="1808"/>
      <c r="Y30" s="3167"/>
      <c r="Z30" s="1809">
        <f t="shared" si="18"/>
        <v>111</v>
      </c>
      <c r="AA30" s="1806">
        <f t="shared" si="15"/>
        <v>1</v>
      </c>
      <c r="AB30" s="1806">
        <f t="shared" si="16"/>
        <v>1</v>
      </c>
      <c r="AC30" s="1806">
        <f t="shared" si="17"/>
        <v>1</v>
      </c>
    </row>
    <row r="31" spans="1:29" ht="15.6"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8"/>
      <c r="Q31" s="1805">
        <f t="shared" si="11"/>
        <v>111</v>
      </c>
      <c r="R31" s="774" t="s">
        <v>21</v>
      </c>
      <c r="S31" s="775">
        <f t="shared" si="12"/>
        <v>100</v>
      </c>
      <c r="T31" s="774" t="s">
        <v>21</v>
      </c>
      <c r="U31" s="775">
        <f t="shared" si="13"/>
        <v>100</v>
      </c>
      <c r="V31" s="774" t="s">
        <v>21</v>
      </c>
      <c r="W31" s="775">
        <f t="shared" si="14"/>
        <v>100</v>
      </c>
      <c r="X31" s="1808"/>
      <c r="Y31" s="3167"/>
      <c r="Z31" s="1809">
        <f t="shared" si="18"/>
        <v>111</v>
      </c>
      <c r="AA31" s="1806">
        <f t="shared" si="15"/>
        <v>1</v>
      </c>
      <c r="AB31" s="1806">
        <f t="shared" si="16"/>
        <v>1</v>
      </c>
      <c r="AC31" s="1806">
        <f t="shared" si="17"/>
        <v>1</v>
      </c>
    </row>
    <row r="32" spans="1:29" ht="15">
      <c r="A32" s="440" t="s">
        <v>2546</v>
      </c>
      <c r="B32" s="71" t="s">
        <v>2547</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33" t="s">
        <v>2548</v>
      </c>
      <c r="Q32" s="1805" t="str">
        <f t="shared" si="11"/>
        <v>建筑类型</v>
      </c>
      <c r="R32" s="774" t="s">
        <v>21</v>
      </c>
      <c r="S32" s="775">
        <f t="shared" si="12"/>
        <v>100</v>
      </c>
      <c r="T32" s="774" t="s">
        <v>21</v>
      </c>
      <c r="U32" s="775">
        <f t="shared" si="13"/>
        <v>100</v>
      </c>
      <c r="V32" s="774" t="s">
        <v>21</v>
      </c>
      <c r="W32" s="775">
        <f t="shared" si="14"/>
        <v>100</v>
      </c>
      <c r="X32" s="1808"/>
      <c r="Y32" s="3169" t="s">
        <v>2548</v>
      </c>
      <c r="Z32" s="1809" t="str">
        <f t="shared" si="18"/>
        <v>建筑类型</v>
      </c>
      <c r="AA32" s="1806">
        <f t="shared" si="15"/>
        <v>1</v>
      </c>
      <c r="AB32" s="1806">
        <f t="shared" si="16"/>
        <v>1</v>
      </c>
      <c r="AC32" s="1806">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34"/>
      <c r="Q33" s="776" t="str">
        <f t="shared" si="11"/>
        <v>项目建筑规模</v>
      </c>
      <c r="R33" s="777" t="s">
        <v>21</v>
      </c>
      <c r="S33" s="778" t="e">
        <f t="shared" si="12"/>
        <v>#N/A</v>
      </c>
      <c r="T33" s="777" t="s">
        <v>21</v>
      </c>
      <c r="U33" s="778" t="e">
        <f t="shared" si="13"/>
        <v>#N/A</v>
      </c>
      <c r="V33" s="777" t="s">
        <v>21</v>
      </c>
      <c r="W33" s="778" t="e">
        <f t="shared" si="14"/>
        <v>#N/A</v>
      </c>
      <c r="X33" s="779"/>
      <c r="Y33" s="3169"/>
      <c r="Z33" s="780" t="str">
        <f t="shared" si="18"/>
        <v>项目建筑规模</v>
      </c>
      <c r="AA33" s="1806" t="e">
        <f t="shared" si="15"/>
        <v>#N/A</v>
      </c>
      <c r="AB33" s="1806" t="e">
        <f t="shared" si="16"/>
        <v>#N/A</v>
      </c>
      <c r="AC33" s="1806" t="e">
        <f t="shared" si="17"/>
        <v>#N/A</v>
      </c>
    </row>
    <row r="34" spans="1:29" ht="15">
      <c r="A34" s="472"/>
      <c r="B34" s="422" t="s">
        <v>2550</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34"/>
      <c r="Q34" s="1805" t="str">
        <f t="shared" si="11"/>
        <v>建筑结构</v>
      </c>
      <c r="R34" s="774" t="s">
        <v>21</v>
      </c>
      <c r="S34" s="775">
        <f t="shared" si="12"/>
        <v>100</v>
      </c>
      <c r="T34" s="774" t="s">
        <v>21</v>
      </c>
      <c r="U34" s="775">
        <f t="shared" si="13"/>
        <v>100</v>
      </c>
      <c r="V34" s="774" t="s">
        <v>21</v>
      </c>
      <c r="W34" s="775">
        <f t="shared" si="14"/>
        <v>100</v>
      </c>
      <c r="X34" s="1808"/>
      <c r="Y34" s="3169"/>
      <c r="Z34" s="1809" t="str">
        <f t="shared" si="18"/>
        <v>建筑结构</v>
      </c>
      <c r="AA34" s="1806">
        <f t="shared" si="15"/>
        <v>1</v>
      </c>
      <c r="AB34" s="1806">
        <f t="shared" si="16"/>
        <v>1</v>
      </c>
      <c r="AC34" s="1806">
        <f t="shared" si="17"/>
        <v>1</v>
      </c>
    </row>
    <row r="35" spans="1:29" ht="15">
      <c r="A35" s="472"/>
      <c r="B35" s="422" t="s">
        <v>2551</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34"/>
      <c r="Q35" s="1805" t="str">
        <f t="shared" si="11"/>
        <v>建筑品质</v>
      </c>
      <c r="R35" s="774" t="s">
        <v>21</v>
      </c>
      <c r="S35" s="775">
        <f t="shared" si="12"/>
        <v>100</v>
      </c>
      <c r="T35" s="774" t="s">
        <v>21</v>
      </c>
      <c r="U35" s="775">
        <f t="shared" si="13"/>
        <v>100</v>
      </c>
      <c r="V35" s="774" t="s">
        <v>21</v>
      </c>
      <c r="W35" s="775">
        <f t="shared" si="14"/>
        <v>100</v>
      </c>
      <c r="X35" s="1808"/>
      <c r="Y35" s="3169"/>
      <c r="Z35" s="1809" t="str">
        <f t="shared" si="18"/>
        <v>建筑品质</v>
      </c>
      <c r="AA35" s="1806">
        <f t="shared" si="15"/>
        <v>1</v>
      </c>
      <c r="AB35" s="1806">
        <f t="shared" si="16"/>
        <v>1</v>
      </c>
      <c r="AC35" s="1806">
        <f t="shared" si="17"/>
        <v>1</v>
      </c>
    </row>
    <row r="36" spans="1:29" ht="15">
      <c r="A36" s="472"/>
      <c r="B36" s="422" t="s">
        <v>2552</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34"/>
      <c r="Q36" s="1805" t="str">
        <f t="shared" si="11"/>
        <v>公共部分装修</v>
      </c>
      <c r="R36" s="774" t="s">
        <v>21</v>
      </c>
      <c r="S36" s="775">
        <f t="shared" si="12"/>
        <v>100</v>
      </c>
      <c r="T36" s="774" t="s">
        <v>21</v>
      </c>
      <c r="U36" s="775">
        <f t="shared" si="13"/>
        <v>100</v>
      </c>
      <c r="V36" s="774" t="s">
        <v>21</v>
      </c>
      <c r="W36" s="775">
        <f t="shared" si="14"/>
        <v>100</v>
      </c>
      <c r="X36" s="1808"/>
      <c r="Y36" s="3169"/>
      <c r="Z36" s="1809" t="str">
        <f t="shared" si="18"/>
        <v>公共部分装修</v>
      </c>
      <c r="AA36" s="1806">
        <f t="shared" si="15"/>
        <v>1</v>
      </c>
      <c r="AB36" s="1806">
        <f t="shared" si="16"/>
        <v>1</v>
      </c>
      <c r="AC36" s="1806">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4"/>
      <c r="Q37" s="1790" t="str">
        <f t="shared" si="11"/>
        <v>成新度</v>
      </c>
      <c r="R37" s="770" t="s">
        <v>21</v>
      </c>
      <c r="S37" s="771" t="e">
        <f t="shared" si="12"/>
        <v>#N/A</v>
      </c>
      <c r="T37" s="770" t="s">
        <v>21</v>
      </c>
      <c r="U37" s="771" t="e">
        <f t="shared" si="13"/>
        <v>#N/A</v>
      </c>
      <c r="V37" s="770" t="s">
        <v>21</v>
      </c>
      <c r="W37" s="771" t="e">
        <f t="shared" si="14"/>
        <v>#N/A</v>
      </c>
      <c r="X37" s="772"/>
      <c r="Y37" s="3169"/>
      <c r="Z37" s="55" t="str">
        <f t="shared" si="18"/>
        <v>成新度</v>
      </c>
      <c r="AA37" s="773" t="e">
        <f t="shared" si="15"/>
        <v>#N/A</v>
      </c>
      <c r="AB37" s="773" t="e">
        <f t="shared" si="16"/>
        <v>#N/A</v>
      </c>
      <c r="AC37" s="773" t="e">
        <f t="shared" si="17"/>
        <v>#N/A</v>
      </c>
    </row>
    <row r="38" spans="1:29" ht="15">
      <c r="A38" s="472"/>
      <c r="B38" s="422" t="s">
        <v>2554</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34" t="s">
        <v>2548</v>
      </c>
      <c r="Q38" s="1805" t="str">
        <f t="shared" si="11"/>
        <v>物业管理</v>
      </c>
      <c r="R38" s="774" t="s">
        <v>21</v>
      </c>
      <c r="S38" s="775">
        <f t="shared" si="12"/>
        <v>100</v>
      </c>
      <c r="T38" s="774" t="s">
        <v>21</v>
      </c>
      <c r="U38" s="775">
        <f t="shared" si="13"/>
        <v>100</v>
      </c>
      <c r="V38" s="774" t="s">
        <v>21</v>
      </c>
      <c r="W38" s="775">
        <f t="shared" si="14"/>
        <v>100</v>
      </c>
      <c r="X38" s="1808"/>
      <c r="Y38" s="3169" t="s">
        <v>2548</v>
      </c>
      <c r="Z38" s="1809" t="str">
        <f t="shared" si="18"/>
        <v>物业管理</v>
      </c>
      <c r="AA38" s="1806">
        <f t="shared" si="15"/>
        <v>1</v>
      </c>
      <c r="AB38" s="1806">
        <f t="shared" si="16"/>
        <v>1</v>
      </c>
      <c r="AC38" s="1806">
        <f t="shared" si="17"/>
        <v>1</v>
      </c>
    </row>
    <row r="39" spans="1:29" ht="15">
      <c r="A39" s="472"/>
      <c r="B39" s="422" t="s">
        <v>2555</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34"/>
      <c r="Q39" s="1805" t="str">
        <f t="shared" si="11"/>
        <v>市政基础设施</v>
      </c>
      <c r="R39" s="774" t="s">
        <v>21</v>
      </c>
      <c r="S39" s="775">
        <f t="shared" si="12"/>
        <v>100</v>
      </c>
      <c r="T39" s="774" t="s">
        <v>21</v>
      </c>
      <c r="U39" s="775">
        <f t="shared" si="13"/>
        <v>100</v>
      </c>
      <c r="V39" s="774" t="s">
        <v>21</v>
      </c>
      <c r="W39" s="775">
        <f t="shared" si="14"/>
        <v>100</v>
      </c>
      <c r="X39" s="1808"/>
      <c r="Y39" s="3169"/>
      <c r="Z39" s="1809" t="str">
        <f t="shared" si="18"/>
        <v>市政基础设施</v>
      </c>
      <c r="AA39" s="1806">
        <f t="shared" si="15"/>
        <v>1</v>
      </c>
      <c r="AB39" s="1806">
        <f t="shared" si="16"/>
        <v>1</v>
      </c>
      <c r="AC39" s="1806">
        <f t="shared" si="17"/>
        <v>1</v>
      </c>
    </row>
    <row r="40" spans="1:29" ht="15">
      <c r="A40" s="472"/>
      <c r="B40" s="422" t="s">
        <v>2556</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34"/>
      <c r="Q40" s="1805" t="str">
        <f t="shared" si="11"/>
        <v>房型</v>
      </c>
      <c r="R40" s="774" t="s">
        <v>21</v>
      </c>
      <c r="S40" s="775">
        <f t="shared" si="12"/>
        <v>100</v>
      </c>
      <c r="T40" s="774" t="s">
        <v>21</v>
      </c>
      <c r="U40" s="775">
        <f t="shared" si="13"/>
        <v>100</v>
      </c>
      <c r="V40" s="774" t="s">
        <v>21</v>
      </c>
      <c r="W40" s="775">
        <f t="shared" si="14"/>
        <v>100</v>
      </c>
      <c r="X40" s="1808"/>
      <c r="Y40" s="3169"/>
      <c r="Z40" s="1809" t="str">
        <f t="shared" si="18"/>
        <v>房型</v>
      </c>
      <c r="AA40" s="1806">
        <f t="shared" si="15"/>
        <v>1</v>
      </c>
      <c r="AB40" s="1806">
        <f t="shared" si="16"/>
        <v>1</v>
      </c>
      <c r="AC40" s="1806">
        <f t="shared" si="17"/>
        <v>1</v>
      </c>
    </row>
    <row r="41" spans="1:29" s="471" customFormat="1" ht="28.8">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34"/>
      <c r="Q41" s="776" t="str">
        <f t="shared" si="11"/>
        <v>单套/主力户型建筑面积</v>
      </c>
      <c r="R41" s="777" t="s">
        <v>21</v>
      </c>
      <c r="S41" s="778">
        <f t="shared" si="12"/>
        <v>100</v>
      </c>
      <c r="T41" s="777" t="s">
        <v>21</v>
      </c>
      <c r="U41" s="778">
        <f t="shared" si="13"/>
        <v>100</v>
      </c>
      <c r="V41" s="777" t="s">
        <v>21</v>
      </c>
      <c r="W41" s="778">
        <f t="shared" si="14"/>
        <v>100</v>
      </c>
      <c r="X41" s="779"/>
      <c r="Y41" s="3169"/>
      <c r="Z41" s="780" t="str">
        <f t="shared" si="18"/>
        <v>单套/主力户型建筑面积</v>
      </c>
      <c r="AA41" s="1806">
        <f t="shared" si="15"/>
        <v>1</v>
      </c>
      <c r="AB41" s="1806">
        <f t="shared" si="16"/>
        <v>1</v>
      </c>
      <c r="AC41" s="1806">
        <f t="shared" si="17"/>
        <v>1</v>
      </c>
    </row>
    <row r="42" spans="1:29" ht="15">
      <c r="A42" s="472"/>
      <c r="B42" s="422" t="s">
        <v>2558</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34"/>
      <c r="Q42" s="1805" t="str">
        <f t="shared" si="11"/>
        <v>内部装修</v>
      </c>
      <c r="R42" s="774" t="s">
        <v>21</v>
      </c>
      <c r="S42" s="775">
        <f t="shared" si="12"/>
        <v>100</v>
      </c>
      <c r="T42" s="774" t="s">
        <v>21</v>
      </c>
      <c r="U42" s="775">
        <f t="shared" si="13"/>
        <v>100</v>
      </c>
      <c r="V42" s="774" t="s">
        <v>21</v>
      </c>
      <c r="W42" s="775">
        <f t="shared" si="14"/>
        <v>100</v>
      </c>
      <c r="X42" s="1808"/>
      <c r="Y42" s="3169"/>
      <c r="Z42" s="1809" t="str">
        <f t="shared" si="18"/>
        <v>内部装修</v>
      </c>
      <c r="AA42" s="1806">
        <f t="shared" si="15"/>
        <v>1</v>
      </c>
      <c r="AB42" s="1806">
        <f t="shared" si="16"/>
        <v>1</v>
      </c>
      <c r="AC42" s="1806">
        <f t="shared" si="17"/>
        <v>1</v>
      </c>
    </row>
    <row r="43" spans="1:29" ht="28.8">
      <c r="A43" s="472"/>
      <c r="B43" s="422" t="s">
        <v>2559</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34"/>
      <c r="Q43" s="1805" t="str">
        <f t="shared" si="11"/>
        <v>内部装修维护情况</v>
      </c>
      <c r="R43" s="774" t="s">
        <v>21</v>
      </c>
      <c r="S43" s="775">
        <f t="shared" si="12"/>
        <v>100</v>
      </c>
      <c r="T43" s="774" t="s">
        <v>21</v>
      </c>
      <c r="U43" s="775">
        <f t="shared" si="13"/>
        <v>100</v>
      </c>
      <c r="V43" s="774" t="s">
        <v>21</v>
      </c>
      <c r="W43" s="775">
        <f t="shared" si="14"/>
        <v>100</v>
      </c>
      <c r="X43" s="1808"/>
      <c r="Y43" s="3169"/>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34"/>
      <c r="Q44" s="1790">
        <f t="shared" si="11"/>
        <v>111</v>
      </c>
      <c r="R44" s="770" t="s">
        <v>21</v>
      </c>
      <c r="S44" s="771">
        <f t="shared" si="12"/>
        <v>100</v>
      </c>
      <c r="T44" s="770" t="s">
        <v>21</v>
      </c>
      <c r="U44" s="771">
        <f t="shared" si="13"/>
        <v>100</v>
      </c>
      <c r="V44" s="770" t="s">
        <v>21</v>
      </c>
      <c r="W44" s="771">
        <f t="shared" si="14"/>
        <v>100</v>
      </c>
      <c r="X44" s="772"/>
      <c r="Y44" s="3169"/>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34"/>
      <c r="Q45" s="1805">
        <f t="shared" si="11"/>
        <v>111</v>
      </c>
      <c r="R45" s="774" t="s">
        <v>21</v>
      </c>
      <c r="S45" s="775">
        <f t="shared" si="12"/>
        <v>100</v>
      </c>
      <c r="T45" s="774" t="s">
        <v>21</v>
      </c>
      <c r="U45" s="775">
        <f t="shared" si="13"/>
        <v>100</v>
      </c>
      <c r="V45" s="774" t="s">
        <v>21</v>
      </c>
      <c r="W45" s="775">
        <f t="shared" si="14"/>
        <v>100</v>
      </c>
      <c r="X45" s="1808"/>
      <c r="Y45" s="3169"/>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5"/>
      <c r="Q46" s="1805">
        <f t="shared" si="11"/>
        <v>111</v>
      </c>
      <c r="R46" s="774" t="s">
        <v>20</v>
      </c>
      <c r="S46" s="775">
        <f t="shared" si="12"/>
        <v>100</v>
      </c>
      <c r="T46" s="774" t="s">
        <v>20</v>
      </c>
      <c r="U46" s="775">
        <f t="shared" si="13"/>
        <v>100</v>
      </c>
      <c r="V46" s="774" t="s">
        <v>20</v>
      </c>
      <c r="W46" s="775">
        <f t="shared" si="14"/>
        <v>100</v>
      </c>
      <c r="X46" s="1808"/>
      <c r="Y46" s="3236"/>
      <c r="Z46" s="1809">
        <f t="shared" si="18"/>
        <v>111</v>
      </c>
      <c r="AA46" s="1806">
        <f t="shared" si="15"/>
        <v>1</v>
      </c>
      <c r="AB46" s="1806">
        <f t="shared" si="16"/>
        <v>1</v>
      </c>
      <c r="AC46" s="1806">
        <f t="shared" si="17"/>
        <v>1</v>
      </c>
    </row>
    <row r="47" spans="1:29" ht="14.4">
      <c r="A47" s="479" t="s">
        <v>2560</v>
      </c>
      <c r="B47" s="480"/>
      <c r="C47" s="1404" t="s">
        <v>19</v>
      </c>
      <c r="D47" s="1405"/>
      <c r="E47" s="1406"/>
      <c r="F47" s="1407"/>
      <c r="G47" s="1408"/>
      <c r="H47" s="1409"/>
      <c r="I47" s="1406"/>
      <c r="J47" s="1409"/>
      <c r="K47" s="2614"/>
      <c r="L47" s="1140"/>
      <c r="M47" s="1141"/>
      <c r="N47" s="1128"/>
      <c r="O47" s="1141"/>
      <c r="P47" s="3164" t="str">
        <f>A47</f>
        <v>成交单价（元/平方米）</v>
      </c>
      <c r="Q47" s="3164"/>
      <c r="R47" s="3232">
        <f>E47</f>
        <v>0</v>
      </c>
      <c r="S47" s="3232"/>
      <c r="T47" s="3232">
        <f>G47</f>
        <v>0</v>
      </c>
      <c r="U47" s="3232"/>
      <c r="V47" s="3232">
        <f>I47</f>
        <v>0</v>
      </c>
      <c r="W47" s="3232"/>
      <c r="X47" s="759"/>
      <c r="Y47" s="781"/>
      <c r="Z47" s="759"/>
      <c r="AA47" s="759"/>
      <c r="AB47" s="759"/>
      <c r="AC47" s="759"/>
    </row>
    <row r="48" spans="1:29" ht="15" thickBot="1">
      <c r="A48" s="486" t="s">
        <v>2561</v>
      </c>
      <c r="B48" s="487"/>
      <c r="C48" s="1410" t="e">
        <f>R49</f>
        <v>#DIV/0!</v>
      </c>
      <c r="D48" s="1411"/>
      <c r="E48" s="1412" t="e">
        <f>R48</f>
        <v>#DIV/0!</v>
      </c>
      <c r="F48" s="1412"/>
      <c r="G48" s="1410" t="e">
        <f>T48</f>
        <v>#DIV/0!</v>
      </c>
      <c r="H48" s="1411"/>
      <c r="I48" s="1412" t="e">
        <f>V48</f>
        <v>#DIV/0!</v>
      </c>
      <c r="J48" s="1411"/>
      <c r="K48" s="2615"/>
      <c r="L48" s="1140"/>
      <c r="M48" s="1141"/>
      <c r="N48" s="1141"/>
      <c r="O48" s="1141"/>
      <c r="P48" s="3164" t="str">
        <f>A48</f>
        <v>比较价值（元/平方米）</v>
      </c>
      <c r="Q48" s="316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2562</v>
      </c>
      <c r="B49" s="493"/>
      <c r="C49" s="1413" t="e">
        <f>R49</f>
        <v>#DIV/0!</v>
      </c>
      <c r="D49" s="1414"/>
      <c r="E49" s="1414"/>
      <c r="F49" s="1414"/>
      <c r="G49" s="1414"/>
      <c r="H49" s="1414"/>
      <c r="I49" s="1414"/>
      <c r="J49" s="1414"/>
      <c r="K49" s="2616"/>
      <c r="L49" s="1140"/>
      <c r="M49" s="1141"/>
      <c r="N49" s="1141"/>
      <c r="O49" s="1141"/>
      <c r="P49" s="3158" t="str">
        <f>A49</f>
        <v>估价对象XX用房的比较价值（楼面单价，元/平方米）</v>
      </c>
      <c r="Q49" s="3159"/>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3" t="s">
        <v>2566</v>
      </c>
      <c r="B57" s="759"/>
      <c r="C57" s="764"/>
      <c r="D57" s="764"/>
      <c r="E57" s="764"/>
      <c r="F57" s="765"/>
      <c r="G57" s="765"/>
      <c r="H57" s="764"/>
      <c r="I57" s="764"/>
      <c r="J57" s="764"/>
      <c r="K57" s="1157"/>
      <c r="L57" s="1158"/>
      <c r="M57" s="1156"/>
      <c r="N57" s="1156"/>
      <c r="O57" s="1156"/>
      <c r="P57" s="2619"/>
      <c r="Q57" s="504"/>
    </row>
    <row r="58" spans="1:29" s="508" customFormat="1" ht="14.4">
      <c r="A58" s="505" t="s">
        <v>2567</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c r="A59" s="509"/>
      <c r="B59" s="2620"/>
      <c r="C59" s="1568">
        <v>100</v>
      </c>
      <c r="D59" s="511"/>
      <c r="E59" s="512"/>
      <c r="F59" s="512"/>
      <c r="G59" s="512"/>
      <c r="H59" s="512"/>
      <c r="I59" s="512"/>
      <c r="J59" s="512"/>
      <c r="K59" s="512"/>
      <c r="L59" s="512"/>
      <c r="M59" s="513"/>
      <c r="N59" s="512"/>
      <c r="O59" s="513"/>
      <c r="P59" s="2621"/>
    </row>
    <row r="60" spans="1:29" s="117" customFormat="1" ht="15" thickBot="1">
      <c r="A60" s="515" t="s">
        <v>2568</v>
      </c>
      <c r="B60" s="516"/>
      <c r="C60" s="517"/>
      <c r="D60" s="518"/>
      <c r="E60" s="518"/>
      <c r="F60" s="518"/>
      <c r="G60" s="518"/>
      <c r="H60" s="518"/>
      <c r="I60" s="518"/>
      <c r="J60" s="518"/>
      <c r="K60" s="518"/>
      <c r="L60" s="518"/>
      <c r="M60" s="519"/>
      <c r="N60" s="518"/>
      <c r="O60" s="519"/>
      <c r="P60" s="2621"/>
      <c r="Q60" s="504"/>
    </row>
    <row r="61" spans="1:29" s="117" customFormat="1" ht="14.4">
      <c r="A61" s="521" t="s">
        <v>2569</v>
      </c>
      <c r="B61" s="510"/>
      <c r="C61" s="522" t="s">
        <v>2570</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2571</v>
      </c>
      <c r="B63" s="528" t="s">
        <v>2537</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60"/>
      <c r="E73" s="560"/>
      <c r="F73" s="560"/>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2085</v>
      </c>
      <c r="C82" s="539" t="s">
        <v>2587</v>
      </c>
      <c r="D82" s="539" t="s">
        <v>2588</v>
      </c>
      <c r="E82" s="539" t="s">
        <v>2589</v>
      </c>
      <c r="F82" s="539" t="s">
        <v>2590</v>
      </c>
      <c r="G82" s="539" t="s">
        <v>2591</v>
      </c>
      <c r="H82" s="539"/>
      <c r="I82" s="539"/>
      <c r="J82" s="539"/>
      <c r="K82" s="539"/>
      <c r="L82" s="539"/>
      <c r="M82" s="1379"/>
      <c r="N82" s="1150"/>
      <c r="O82" s="1150"/>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2593</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 thickTop="1">
      <c r="A88" s="579"/>
      <c r="B88" s="538" t="s">
        <v>2594</v>
      </c>
      <c r="C88" s="554"/>
      <c r="D88" s="554"/>
      <c r="E88" s="554"/>
      <c r="F88" s="2628"/>
      <c r="G88" s="554"/>
      <c r="H88" s="554"/>
      <c r="I88" s="554"/>
      <c r="J88" s="554"/>
      <c r="K88" s="554"/>
      <c r="L88" s="554"/>
      <c r="M88" s="581"/>
      <c r="N88" s="1148"/>
      <c r="O88" s="1148"/>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4.4" thickTop="1">
      <c r="A90" s="553"/>
      <c r="B90" s="538">
        <f>B27</f>
        <v>111</v>
      </c>
      <c r="C90" s="554"/>
      <c r="D90" s="554"/>
      <c r="E90" s="554"/>
      <c r="F90" s="554"/>
      <c r="G90" s="554"/>
      <c r="H90" s="555"/>
      <c r="I90" s="555"/>
      <c r="J90" s="555"/>
      <c r="K90" s="555"/>
      <c r="L90" s="556"/>
      <c r="M90" s="557"/>
      <c r="N90" s="1151"/>
      <c r="O90" s="1151"/>
      <c r="P90" s="2624"/>
      <c r="Q90" s="559"/>
    </row>
    <row r="91" spans="1:17" s="471" customFormat="1" ht="14.4" thickBot="1">
      <c r="A91" s="553"/>
      <c r="B91" s="543"/>
      <c r="C91" s="560"/>
      <c r="D91" s="560"/>
      <c r="E91" s="560"/>
      <c r="F91" s="560"/>
      <c r="G91" s="560"/>
      <c r="H91" s="562"/>
      <c r="I91" s="562"/>
      <c r="J91" s="562"/>
      <c r="K91" s="562"/>
      <c r="L91" s="562"/>
      <c r="M91" s="563"/>
      <c r="N91" s="1151"/>
      <c r="O91" s="1151"/>
      <c r="P91" s="2624"/>
      <c r="Q91" s="559"/>
    </row>
    <row r="92" spans="1:17" ht="14.4" thickTop="1">
      <c r="A92" s="534"/>
      <c r="B92" s="538">
        <f>B28</f>
        <v>111</v>
      </c>
      <c r="C92" s="554"/>
      <c r="D92" s="554"/>
      <c r="E92" s="554"/>
      <c r="F92" s="554"/>
      <c r="G92" s="583"/>
      <c r="H92" s="583"/>
      <c r="I92" s="583"/>
      <c r="J92" s="583"/>
      <c r="K92" s="584"/>
      <c r="L92" s="585"/>
      <c r="M92" s="586"/>
      <c r="N92" s="1149"/>
      <c r="O92" s="1149"/>
      <c r="P92" s="2623"/>
      <c r="Q92" s="504"/>
    </row>
    <row r="93" spans="1:17" ht="14.4" thickBot="1">
      <c r="A93" s="534"/>
      <c r="B93" s="543"/>
      <c r="C93" s="560"/>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60"/>
      <c r="E95" s="560"/>
      <c r="F95" s="560"/>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70"/>
      <c r="D97" s="570"/>
      <c r="E97" s="570"/>
      <c r="F97" s="570"/>
      <c r="G97" s="536"/>
      <c r="H97" s="536"/>
      <c r="I97" s="536"/>
      <c r="J97" s="536"/>
      <c r="K97" s="536"/>
      <c r="L97" s="536"/>
      <c r="M97" s="537"/>
      <c r="N97" s="1150"/>
      <c r="O97" s="1150"/>
      <c r="P97" s="2623"/>
      <c r="Q97" s="504"/>
    </row>
    <row r="98" spans="1:17" ht="14.4" thickTop="1">
      <c r="A98" s="534"/>
      <c r="B98" s="546">
        <f>B31</f>
        <v>111</v>
      </c>
      <c r="C98" s="587"/>
      <c r="D98" s="587"/>
      <c r="E98" s="587"/>
      <c r="F98" s="587"/>
      <c r="G98" s="587"/>
      <c r="H98" s="587"/>
      <c r="I98" s="587"/>
      <c r="J98" s="587"/>
      <c r="K98" s="588"/>
      <c r="L98" s="589"/>
      <c r="M98" s="590"/>
      <c r="N98" s="1149"/>
      <c r="O98" s="1149"/>
      <c r="P98" s="2623"/>
      <c r="Q98" s="504"/>
    </row>
    <row r="99" spans="1:17" ht="14.4" thickBot="1">
      <c r="A99" s="2629"/>
      <c r="B99" s="569"/>
      <c r="C99" s="591"/>
      <c r="D99" s="591"/>
      <c r="E99" s="591"/>
      <c r="F99" s="591"/>
      <c r="G99" s="591"/>
      <c r="H99" s="591"/>
      <c r="I99" s="591"/>
      <c r="J99" s="591"/>
      <c r="K99" s="591"/>
      <c r="L99" s="591"/>
      <c r="M99" s="592"/>
      <c r="N99" s="1150"/>
      <c r="O99" s="1150"/>
      <c r="P99" s="2623"/>
      <c r="Q99" s="504"/>
    </row>
    <row r="100" spans="1:17" ht="14.4">
      <c r="A100" s="527" t="s">
        <v>2546</v>
      </c>
      <c r="B100" s="528" t="s">
        <v>2595</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2598</v>
      </c>
      <c r="C107" s="583"/>
      <c r="D107" s="583"/>
      <c r="E107" s="583"/>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2599</v>
      </c>
      <c r="C109" s="554"/>
      <c r="D109" s="554"/>
      <c r="E109" s="554"/>
      <c r="F109" s="583"/>
      <c r="G109" s="583"/>
      <c r="H109" s="583"/>
      <c r="I109" s="583"/>
      <c r="J109" s="583"/>
      <c r="K109" s="584"/>
      <c r="L109" s="585"/>
      <c r="M109" s="586"/>
      <c r="N109" s="1149"/>
      <c r="O109" s="1149"/>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2600</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2601</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2602</v>
      </c>
      <c r="C118" s="583"/>
      <c r="D118" s="583"/>
      <c r="E118" s="583"/>
      <c r="F118" s="583"/>
      <c r="G118" s="583"/>
      <c r="H118" s="583"/>
      <c r="I118" s="583"/>
      <c r="J118" s="583"/>
      <c r="K118" s="584"/>
      <c r="L118" s="585"/>
      <c r="M118" s="586"/>
      <c r="N118" s="1149"/>
      <c r="O118" s="1149"/>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9.4" thickTop="1">
      <c r="A120" s="593"/>
      <c r="B120" s="538" t="s">
        <v>2557</v>
      </c>
      <c r="C120" s="554"/>
      <c r="D120" s="554"/>
      <c r="E120" s="554"/>
      <c r="F120" s="554"/>
      <c r="G120" s="554"/>
      <c r="H120" s="554"/>
      <c r="I120" s="554"/>
      <c r="J120" s="554"/>
      <c r="K120" s="554"/>
      <c r="L120" s="580"/>
      <c r="M120" s="581"/>
      <c r="N120" s="1151"/>
      <c r="O120" s="1151"/>
      <c r="P120" s="2624"/>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60"/>
      <c r="E129" s="560"/>
      <c r="F129" s="560"/>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2605</v>
      </c>
    </row>
    <row r="137" spans="1:17" ht="15">
      <c r="B137" s="2631" t="s">
        <v>2606</v>
      </c>
      <c r="C137" s="2632"/>
      <c r="D137" s="2632"/>
      <c r="E137" s="2632"/>
      <c r="F137" s="2632"/>
      <c r="G137" s="2633"/>
      <c r="H137" s="2634"/>
      <c r="I137" s="2635" t="s">
        <v>2607</v>
      </c>
      <c r="J137" s="2632"/>
      <c r="K137" s="2636"/>
    </row>
    <row r="138" spans="1:17" ht="15">
      <c r="B138" s="2637"/>
      <c r="C138" s="146" t="s">
        <v>2608</v>
      </c>
      <c r="D138" s="146" t="s">
        <v>2609</v>
      </c>
      <c r="E138" s="2638" t="s">
        <v>2610</v>
      </c>
      <c r="F138" s="2639" t="s">
        <v>2611</v>
      </c>
      <c r="G138" s="146" t="s">
        <v>2609</v>
      </c>
      <c r="H138" s="147" t="s">
        <v>2610</v>
      </c>
      <c r="I138" s="2640"/>
      <c r="J138" s="146" t="s">
        <v>2612</v>
      </c>
      <c r="K138" s="147" t="s">
        <v>2613</v>
      </c>
    </row>
    <row r="139" spans="1:17" ht="15">
      <c r="B139" s="1081">
        <v>6</v>
      </c>
      <c r="C139" s="1082">
        <v>96</v>
      </c>
      <c r="D139" s="2641" t="s">
        <v>2614</v>
      </c>
      <c r="E139" s="1083">
        <v>100</v>
      </c>
      <c r="F139" s="1084">
        <v>102.5</v>
      </c>
      <c r="G139" s="2641" t="s">
        <v>2614</v>
      </c>
      <c r="H139" s="1085">
        <v>105</v>
      </c>
      <c r="I139" s="2642" t="s">
        <v>2615</v>
      </c>
      <c r="J139" s="1082">
        <v>20</v>
      </c>
      <c r="K139" s="1086">
        <f>C145/(J139-2)</f>
        <v>4.0555555555555553E-3</v>
      </c>
    </row>
    <row r="140" spans="1:17" ht="15">
      <c r="B140" s="1087">
        <v>5</v>
      </c>
      <c r="C140" s="1088">
        <v>100</v>
      </c>
      <c r="D140" s="1088"/>
      <c r="E140" s="1089"/>
      <c r="F140" s="1090">
        <v>102</v>
      </c>
      <c r="G140" s="1088"/>
      <c r="H140" s="1091"/>
      <c r="I140" s="2643" t="s">
        <v>2616</v>
      </c>
      <c r="J140" s="315">
        <f>ROUNDUP((J139-1)/2,0)</f>
        <v>10</v>
      </c>
      <c r="K140" s="1092">
        <v>100</v>
      </c>
    </row>
    <row r="141" spans="1:17" ht="15">
      <c r="B141" s="1087">
        <v>4</v>
      </c>
      <c r="C141" s="1088">
        <v>102</v>
      </c>
      <c r="D141" s="1088"/>
      <c r="E141" s="1089"/>
      <c r="F141" s="1090">
        <v>101.5</v>
      </c>
      <c r="G141" s="1088"/>
      <c r="H141" s="1091"/>
      <c r="I141" s="2643" t="s">
        <v>2617</v>
      </c>
      <c r="J141" s="315">
        <v>1</v>
      </c>
      <c r="K141" s="1093">
        <f>ROUND(100+(J141-J140)*K139*100,1)</f>
        <v>96.4</v>
      </c>
    </row>
    <row r="142" spans="1:17" ht="15">
      <c r="B142" s="1087">
        <v>3</v>
      </c>
      <c r="C142" s="1088">
        <v>103</v>
      </c>
      <c r="D142" s="1088"/>
      <c r="E142" s="1089"/>
      <c r="F142" s="1090">
        <v>101</v>
      </c>
      <c r="G142" s="1088"/>
      <c r="H142" s="1091"/>
      <c r="I142" s="2643" t="s">
        <v>2618</v>
      </c>
      <c r="J142" s="315">
        <f>J139</f>
        <v>20</v>
      </c>
      <c r="K142" s="1094">
        <v>95</v>
      </c>
    </row>
    <row r="143" spans="1:17" ht="15">
      <c r="B143" s="1087">
        <v>2</v>
      </c>
      <c r="C143" s="1088">
        <v>100</v>
      </c>
      <c r="D143" s="1088"/>
      <c r="E143" s="1089"/>
      <c r="F143" s="1090">
        <v>100.5</v>
      </c>
      <c r="G143" s="1088"/>
      <c r="H143" s="1091"/>
      <c r="I143" s="2643" t="s">
        <v>2619</v>
      </c>
      <c r="J143" s="1088">
        <v>15</v>
      </c>
      <c r="K143" s="1093">
        <f>ROUND(100+(J143-J140)*K139*100,1)</f>
        <v>102</v>
      </c>
    </row>
    <row r="144" spans="1:17" ht="15">
      <c r="B144" s="1087">
        <v>1</v>
      </c>
      <c r="C144" s="1088">
        <v>98</v>
      </c>
      <c r="D144" s="2644" t="s">
        <v>2620</v>
      </c>
      <c r="E144" s="1089">
        <v>102</v>
      </c>
      <c r="F144" s="1095">
        <v>100</v>
      </c>
      <c r="G144" s="2644" t="s">
        <v>2620</v>
      </c>
      <c r="H144" s="1091">
        <v>105</v>
      </c>
      <c r="I144" s="2643" t="s">
        <v>2619</v>
      </c>
      <c r="J144" s="1088">
        <v>18</v>
      </c>
      <c r="K144" s="1093">
        <f>ROUND(100+(J144-J140)*K139*100,1)</f>
        <v>103.2</v>
      </c>
    </row>
    <row r="145" spans="2:11" ht="16.2" thickBot="1">
      <c r="B145" s="2645" t="s">
        <v>2621</v>
      </c>
      <c r="C145" s="1096">
        <f>ROUND(MAX(C139:C144)/MIN(C139:C144)-1,3)</f>
        <v>7.2999999999999995E-2</v>
      </c>
      <c r="D145" s="1097"/>
      <c r="E145" s="1097"/>
      <c r="F145" s="2646" t="s">
        <v>2622</v>
      </c>
      <c r="G145" s="2647"/>
      <c r="H145" s="2648"/>
      <c r="I145" s="2649" t="s">
        <v>2619</v>
      </c>
      <c r="J145" s="1098">
        <v>8</v>
      </c>
      <c r="K145" s="1099">
        <f>ROUND(100+(J145-J140)*K139*100,1)</f>
        <v>99.2</v>
      </c>
    </row>
    <row r="147" spans="2:11" ht="14.4">
      <c r="B147" s="2630" t="s">
        <v>2623</v>
      </c>
    </row>
    <row r="148" spans="2:11" ht="14.4">
      <c r="B148" s="2630"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575" t="s">
        <v>2625</v>
      </c>
      <c r="C1" s="1629" t="s">
        <v>2513</v>
      </c>
      <c r="D1" s="1616"/>
      <c r="E1" s="2650"/>
      <c r="F1" s="2577"/>
      <c r="G1" s="1626" t="s">
        <v>2626</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2310</v>
      </c>
      <c r="B2" s="1415" t="e">
        <f ca="1">IF(C2="——",ROUND(C49*D3/10000,0),ROUND(C49*D3/10000,0)-D2)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2312</v>
      </c>
      <c r="B3" s="609" t="e">
        <f ca="1">IF(C2="——",C49,ROUND(B2*10000/D3,0))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0" t="s">
        <v>2631</v>
      </c>
      <c r="AC4" s="3171" t="s">
        <v>2632</v>
      </c>
    </row>
    <row r="5" spans="1:29">
      <c r="A5" s="404"/>
      <c r="B5" s="405"/>
      <c r="C5" s="3191" t="s">
        <v>2525</v>
      </c>
      <c r="D5" s="3192"/>
      <c r="E5" s="3198" t="s">
        <v>2526</v>
      </c>
      <c r="F5" s="3199"/>
      <c r="G5" s="3191" t="s">
        <v>2527</v>
      </c>
      <c r="H5" s="3192"/>
      <c r="I5" s="3191" t="s">
        <v>2528</v>
      </c>
      <c r="J5" s="3192"/>
      <c r="K5" s="610"/>
      <c r="L5" s="1127"/>
      <c r="M5" s="1128"/>
      <c r="N5" s="1128"/>
      <c r="O5" s="1128"/>
      <c r="P5" s="3179"/>
      <c r="Q5" s="3180"/>
      <c r="R5" s="3185"/>
      <c r="S5" s="3186"/>
      <c r="T5" s="3185"/>
      <c r="U5" s="3186"/>
      <c r="V5" s="3170"/>
      <c r="W5" s="3170"/>
      <c r="X5" s="1808"/>
      <c r="Y5" s="3185"/>
      <c r="Z5" s="3186"/>
      <c r="AA5" s="3172"/>
      <c r="AB5" s="3170"/>
      <c r="AC5" s="3172"/>
    </row>
    <row r="6" spans="1:29" ht="15" thickBot="1">
      <c r="A6" s="406"/>
      <c r="B6" s="407"/>
      <c r="C6" s="3189" t="s">
        <v>2529</v>
      </c>
      <c r="D6" s="3190"/>
      <c r="E6" s="3196" t="s">
        <v>2529</v>
      </c>
      <c r="F6" s="3197"/>
      <c r="G6" s="3189" t="s">
        <v>2529</v>
      </c>
      <c r="H6" s="3190"/>
      <c r="I6" s="3189" t="s">
        <v>2529</v>
      </c>
      <c r="J6" s="3190"/>
      <c r="K6" s="610" t="s">
        <v>2530</v>
      </c>
      <c r="L6" s="1127"/>
      <c r="M6" s="1128"/>
      <c r="N6" s="1128"/>
      <c r="O6" s="1128"/>
      <c r="P6" s="3181"/>
      <c r="Q6" s="3182"/>
      <c r="R6" s="3185"/>
      <c r="S6" s="3186"/>
      <c r="T6" s="3187"/>
      <c r="U6" s="3188"/>
      <c r="V6" s="3170"/>
      <c r="W6" s="3170"/>
      <c r="X6" s="1808"/>
      <c r="Y6" s="3187"/>
      <c r="Z6" s="3188"/>
      <c r="AA6" s="3173"/>
      <c r="AB6" s="3170"/>
      <c r="AC6" s="3173"/>
    </row>
    <row r="7" spans="1:29" s="117" customFormat="1" ht="1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93" t="s">
        <v>2532</v>
      </c>
      <c r="Q7" s="3195"/>
      <c r="R7" s="770" t="s">
        <v>17</v>
      </c>
      <c r="S7" s="771">
        <f t="shared" ref="S7:S15" si="0">F7</f>
        <v>0</v>
      </c>
      <c r="T7" s="770" t="s">
        <v>17</v>
      </c>
      <c r="U7" s="771">
        <f t="shared" ref="U7:U15" si="1">H7</f>
        <v>0</v>
      </c>
      <c r="V7" s="770" t="s">
        <v>17</v>
      </c>
      <c r="W7" s="771">
        <f t="shared" ref="W7:W15" si="2">J7</f>
        <v>0</v>
      </c>
      <c r="X7" s="772"/>
      <c r="Y7" s="3193" t="s">
        <v>2532</v>
      </c>
      <c r="Z7" s="3194"/>
      <c r="AA7" s="773" t="e">
        <f>D7/F7</f>
        <v>#DIV/0!</v>
      </c>
      <c r="AB7" s="773" t="e">
        <f>D7/H7</f>
        <v>#DIV/0!</v>
      </c>
      <c r="AC7" s="773" t="e">
        <f>D7/J7</f>
        <v>#DIV/0!</v>
      </c>
    </row>
    <row r="8" spans="1:29" s="117" customFormat="1" ht="1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93" t="s">
        <v>2535</v>
      </c>
      <c r="Q8" s="3194"/>
      <c r="R8" s="770" t="s">
        <v>17</v>
      </c>
      <c r="S8" s="771">
        <f t="shared" si="0"/>
        <v>0</v>
      </c>
      <c r="T8" s="770" t="s">
        <v>17</v>
      </c>
      <c r="U8" s="771">
        <f t="shared" si="1"/>
        <v>0</v>
      </c>
      <c r="V8" s="770" t="s">
        <v>17</v>
      </c>
      <c r="W8" s="771">
        <f t="shared" si="2"/>
        <v>0</v>
      </c>
      <c r="X8" s="772"/>
      <c r="Y8" s="3193" t="s">
        <v>2535</v>
      </c>
      <c r="Z8" s="3194"/>
      <c r="AA8" s="773" t="e">
        <f t="shared" ref="AA8:AA46" si="3">D8/F8</f>
        <v>#DIV/0!</v>
      </c>
      <c r="AB8" s="773" t="e">
        <f t="shared" ref="AB8:AB46" si="4">D8/H8</f>
        <v>#DIV/0!</v>
      </c>
      <c r="AC8" s="773" t="e">
        <f t="shared" ref="AC8:AC46" si="5">D8/J8</f>
        <v>#DIV/0!</v>
      </c>
    </row>
    <row r="9" spans="1:29" s="117" customFormat="1" ht="14.4">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63"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63"/>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63"/>
      <c r="Q11" s="1790"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63"/>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63"/>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63"/>
      <c r="Q14" s="1790">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2542</v>
      </c>
      <c r="B15" s="69" t="s">
        <v>2636</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7" t="s">
        <v>2543</v>
      </c>
      <c r="Q15" s="1805" t="str">
        <f t="shared" si="6"/>
        <v>商业繁华度</v>
      </c>
      <c r="R15" s="774" t="s">
        <v>17</v>
      </c>
      <c r="S15" s="775">
        <f t="shared" si="0"/>
        <v>100</v>
      </c>
      <c r="T15" s="774" t="s">
        <v>17</v>
      </c>
      <c r="U15" s="775">
        <f t="shared" si="1"/>
        <v>100</v>
      </c>
      <c r="V15" s="774" t="s">
        <v>17</v>
      </c>
      <c r="W15" s="775">
        <f t="shared" si="2"/>
        <v>100</v>
      </c>
      <c r="X15" s="1808"/>
      <c r="Y15" s="3166" t="s">
        <v>2543</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8"/>
      <c r="Q16" s="1805"/>
      <c r="R16" s="774"/>
      <c r="S16" s="775"/>
      <c r="T16" s="774"/>
      <c r="U16" s="775"/>
      <c r="V16" s="774"/>
      <c r="W16" s="775"/>
      <c r="X16" s="1808"/>
      <c r="Y16" s="3167"/>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8"/>
      <c r="Q17" s="1805" t="str">
        <f>B17</f>
        <v>交通便捷度</v>
      </c>
      <c r="R17" s="774" t="s">
        <v>17</v>
      </c>
      <c r="S17" s="775">
        <f>F17</f>
        <v>100</v>
      </c>
      <c r="T17" s="774" t="s">
        <v>17</v>
      </c>
      <c r="U17" s="775">
        <f>H17</f>
        <v>100</v>
      </c>
      <c r="V17" s="774" t="s">
        <v>17</v>
      </c>
      <c r="W17" s="775">
        <f>J17</f>
        <v>100</v>
      </c>
      <c r="X17" s="1808"/>
      <c r="Y17" s="3167"/>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8"/>
      <c r="Q18" s="1805"/>
      <c r="R18" s="774"/>
      <c r="S18" s="775"/>
      <c r="T18" s="774"/>
      <c r="U18" s="775"/>
      <c r="V18" s="774"/>
      <c r="W18" s="775"/>
      <c r="X18" s="1808"/>
      <c r="Y18" s="3167"/>
      <c r="Z18" s="1809"/>
      <c r="AA18" s="1806">
        <v>1</v>
      </c>
      <c r="AB18" s="1806">
        <v>1</v>
      </c>
      <c r="AC18" s="1806">
        <v>1</v>
      </c>
    </row>
    <row r="19" spans="1:29" ht="15">
      <c r="A19" s="428"/>
      <c r="B19" s="451" t="s">
        <v>2637</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8"/>
      <c r="Q19" s="1805" t="str">
        <f>B19</f>
        <v>公共配套设施</v>
      </c>
      <c r="R19" s="774" t="s">
        <v>17</v>
      </c>
      <c r="S19" s="775">
        <f>F19</f>
        <v>100</v>
      </c>
      <c r="T19" s="774" t="s">
        <v>17</v>
      </c>
      <c r="U19" s="775">
        <f>H19</f>
        <v>100</v>
      </c>
      <c r="V19" s="774" t="s">
        <v>17</v>
      </c>
      <c r="W19" s="775">
        <f>J19</f>
        <v>100</v>
      </c>
      <c r="X19" s="1808"/>
      <c r="Y19" s="3167"/>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8"/>
      <c r="Q20" s="1805"/>
      <c r="R20" s="774"/>
      <c r="S20" s="775"/>
      <c r="T20" s="774"/>
      <c r="U20" s="775"/>
      <c r="V20" s="774"/>
      <c r="W20" s="775"/>
      <c r="X20" s="1808"/>
      <c r="Y20" s="3167"/>
      <c r="Z20" s="1809"/>
      <c r="AA20" s="1806">
        <v>1</v>
      </c>
      <c r="AB20" s="1806">
        <v>1</v>
      </c>
      <c r="AC20" s="1806">
        <v>1</v>
      </c>
    </row>
    <row r="21" spans="1:29" ht="15">
      <c r="A21" s="428"/>
      <c r="B21" s="1381" t="s">
        <v>2638</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67"/>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8"/>
      <c r="Q22" s="1805"/>
      <c r="R22" s="774"/>
      <c r="S22" s="775"/>
      <c r="T22" s="774"/>
      <c r="U22" s="775"/>
      <c r="V22" s="774"/>
      <c r="W22" s="775"/>
      <c r="X22" s="1808"/>
      <c r="Y22" s="3167"/>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8"/>
      <c r="Q23" s="1805" t="str">
        <f>B23</f>
        <v>自然及人文环境</v>
      </c>
      <c r="R23" s="774" t="s">
        <v>17</v>
      </c>
      <c r="S23" s="775">
        <f>F23</f>
        <v>100</v>
      </c>
      <c r="T23" s="774" t="s">
        <v>17</v>
      </c>
      <c r="U23" s="775">
        <f>H23</f>
        <v>100</v>
      </c>
      <c r="V23" s="774" t="s">
        <v>17</v>
      </c>
      <c r="W23" s="775">
        <f>J23</f>
        <v>100</v>
      </c>
      <c r="X23" s="1808"/>
      <c r="Y23" s="3167"/>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8"/>
      <c r="Q24" s="1805"/>
      <c r="R24" s="774"/>
      <c r="S24" s="775"/>
      <c r="T24" s="774"/>
      <c r="U24" s="775"/>
      <c r="V24" s="774"/>
      <c r="W24" s="775"/>
      <c r="X24" s="1808"/>
      <c r="Y24" s="3167"/>
      <c r="Z24" s="1809"/>
      <c r="AA24" s="1806">
        <v>1</v>
      </c>
      <c r="AB24" s="1806">
        <v>1</v>
      </c>
      <c r="AC24" s="1806">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8"/>
      <c r="Q25" s="1805" t="str">
        <f t="shared" ref="Q25:Q46" si="11">B25</f>
        <v>临街状况</v>
      </c>
      <c r="R25" s="774" t="s">
        <v>17</v>
      </c>
      <c r="S25" s="775">
        <f>F25</f>
        <v>100</v>
      </c>
      <c r="T25" s="774" t="s">
        <v>17</v>
      </c>
      <c r="U25" s="775">
        <f>H25</f>
        <v>100</v>
      </c>
      <c r="V25" s="774" t="s">
        <v>17</v>
      </c>
      <c r="W25" s="775">
        <f>J25</f>
        <v>100</v>
      </c>
      <c r="X25" s="1808"/>
      <c r="Y25" s="3167"/>
      <c r="Z25" s="1809" t="str">
        <f>Q25</f>
        <v>临街状况</v>
      </c>
      <c r="AA25" s="1806">
        <f t="shared" si="3"/>
        <v>1</v>
      </c>
      <c r="AB25" s="1806">
        <f t="shared" si="4"/>
        <v>1</v>
      </c>
      <c r="AC25" s="1806">
        <f t="shared" si="5"/>
        <v>1</v>
      </c>
    </row>
    <row r="26" spans="1:29" ht="15">
      <c r="A26" s="428"/>
      <c r="B26" s="1383" t="s">
        <v>2640</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8"/>
      <c r="Q26" s="1805" t="str">
        <f t="shared" si="11"/>
        <v>平面位置/可视性</v>
      </c>
      <c r="R26" s="774" t="s">
        <v>17</v>
      </c>
      <c r="S26" s="775">
        <f>F26</f>
        <v>100</v>
      </c>
      <c r="T26" s="774" t="s">
        <v>17</v>
      </c>
      <c r="U26" s="775">
        <f>H26</f>
        <v>100</v>
      </c>
      <c r="V26" s="774" t="s">
        <v>17</v>
      </c>
      <c r="W26" s="775">
        <f>J26</f>
        <v>100</v>
      </c>
      <c r="X26" s="1808"/>
      <c r="Y26" s="3167"/>
      <c r="Z26" s="1809" t="str">
        <f>Q26</f>
        <v>平面位置/可视性</v>
      </c>
      <c r="AA26" s="1806">
        <f t="shared" si="3"/>
        <v>1</v>
      </c>
      <c r="AB26" s="1806">
        <f t="shared" si="4"/>
        <v>1</v>
      </c>
      <c r="AC26" s="1806">
        <f t="shared" si="5"/>
        <v>1</v>
      </c>
    </row>
    <row r="27" spans="1:29" s="117" customFormat="1" ht="15">
      <c r="A27" s="431"/>
      <c r="B27" s="451" t="s">
        <v>2641</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8"/>
      <c r="Q27" s="1790" t="str">
        <f t="shared" si="11"/>
        <v>人流量</v>
      </c>
      <c r="R27" s="770" t="s">
        <v>17</v>
      </c>
      <c r="S27" s="771">
        <f>F27</f>
        <v>100</v>
      </c>
      <c r="T27" s="770" t="s">
        <v>17</v>
      </c>
      <c r="U27" s="771">
        <f>H27</f>
        <v>100</v>
      </c>
      <c r="V27" s="770" t="s">
        <v>17</v>
      </c>
      <c r="W27" s="771">
        <f>J27</f>
        <v>100</v>
      </c>
      <c r="X27" s="772"/>
      <c r="Y27" s="3167"/>
      <c r="Z27" s="55" t="str">
        <f>Q27</f>
        <v>人流量</v>
      </c>
      <c r="AA27" s="1806">
        <f>D27/F27</f>
        <v>1</v>
      </c>
      <c r="AB27" s="1806">
        <f>D27/H27</f>
        <v>1</v>
      </c>
      <c r="AC27" s="1806">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8"/>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67"/>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8"/>
      <c r="Q29" s="1805">
        <f t="shared" si="11"/>
        <v>111</v>
      </c>
      <c r="R29" s="774" t="s">
        <v>17</v>
      </c>
      <c r="S29" s="775">
        <f t="shared" si="12"/>
        <v>100</v>
      </c>
      <c r="T29" s="774" t="s">
        <v>17</v>
      </c>
      <c r="U29" s="775">
        <f t="shared" si="13"/>
        <v>100</v>
      </c>
      <c r="V29" s="774" t="s">
        <v>17</v>
      </c>
      <c r="W29" s="775">
        <f t="shared" si="14"/>
        <v>100</v>
      </c>
      <c r="X29" s="1808"/>
      <c r="Y29" s="3167"/>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8"/>
      <c r="Q30" s="1805">
        <f t="shared" si="11"/>
        <v>111</v>
      </c>
      <c r="R30" s="774" t="s">
        <v>17</v>
      </c>
      <c r="S30" s="775">
        <f t="shared" si="12"/>
        <v>100</v>
      </c>
      <c r="T30" s="774" t="s">
        <v>17</v>
      </c>
      <c r="U30" s="775">
        <f t="shared" si="13"/>
        <v>100</v>
      </c>
      <c r="V30" s="774" t="s">
        <v>17</v>
      </c>
      <c r="W30" s="775">
        <f t="shared" si="14"/>
        <v>100</v>
      </c>
      <c r="X30" s="1808"/>
      <c r="Y30" s="3167"/>
      <c r="Z30" s="1809">
        <f t="shared" si="15"/>
        <v>111</v>
      </c>
      <c r="AA30" s="1806">
        <f t="shared" si="3"/>
        <v>1</v>
      </c>
      <c r="AB30" s="1806">
        <f t="shared" si="4"/>
        <v>1</v>
      </c>
      <c r="AC30" s="1806">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8"/>
      <c r="Q31" s="1805">
        <f t="shared" si="11"/>
        <v>111</v>
      </c>
      <c r="R31" s="774" t="s">
        <v>17</v>
      </c>
      <c r="S31" s="775">
        <f t="shared" si="12"/>
        <v>100</v>
      </c>
      <c r="T31" s="774" t="s">
        <v>17</v>
      </c>
      <c r="U31" s="775">
        <f t="shared" si="13"/>
        <v>100</v>
      </c>
      <c r="V31" s="774" t="s">
        <v>17</v>
      </c>
      <c r="W31" s="775">
        <f t="shared" si="14"/>
        <v>100</v>
      </c>
      <c r="X31" s="1808"/>
      <c r="Y31" s="3167"/>
      <c r="Z31" s="1809">
        <f t="shared" si="15"/>
        <v>111</v>
      </c>
      <c r="AA31" s="1806">
        <f t="shared" si="3"/>
        <v>1</v>
      </c>
      <c r="AB31" s="1806">
        <f t="shared" si="4"/>
        <v>1</v>
      </c>
      <c r="AC31" s="1806">
        <f t="shared" si="5"/>
        <v>1</v>
      </c>
    </row>
    <row r="32" spans="1:29" ht="15">
      <c r="A32" s="440" t="s">
        <v>2546</v>
      </c>
      <c r="B32" s="71" t="s">
        <v>2643</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33" t="s">
        <v>2548</v>
      </c>
      <c r="Q32" s="1805" t="str">
        <f t="shared" si="11"/>
        <v>商业类型</v>
      </c>
      <c r="R32" s="774" t="s">
        <v>17</v>
      </c>
      <c r="S32" s="775">
        <f t="shared" si="12"/>
        <v>100</v>
      </c>
      <c r="T32" s="774" t="s">
        <v>17</v>
      </c>
      <c r="U32" s="775">
        <f t="shared" si="13"/>
        <v>100</v>
      </c>
      <c r="V32" s="774" t="s">
        <v>17</v>
      </c>
      <c r="W32" s="775">
        <f t="shared" si="14"/>
        <v>100</v>
      </c>
      <c r="X32" s="1808"/>
      <c r="Y32" s="3169" t="s">
        <v>2548</v>
      </c>
      <c r="Z32" s="1809" t="str">
        <f t="shared" si="15"/>
        <v>商业类型</v>
      </c>
      <c r="AA32" s="1806">
        <f t="shared" si="3"/>
        <v>1</v>
      </c>
      <c r="AB32" s="1806">
        <f t="shared" si="4"/>
        <v>1</v>
      </c>
      <c r="AC32" s="1806">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4"/>
      <c r="Q33" s="776" t="str">
        <f t="shared" si="11"/>
        <v>项目建筑规模</v>
      </c>
      <c r="R33" s="777" t="s">
        <v>17</v>
      </c>
      <c r="S33" s="778" t="e">
        <f t="shared" si="12"/>
        <v>#N/A</v>
      </c>
      <c r="T33" s="777" t="s">
        <v>17</v>
      </c>
      <c r="U33" s="778" t="e">
        <f t="shared" si="13"/>
        <v>#N/A</v>
      </c>
      <c r="V33" s="777" t="s">
        <v>17</v>
      </c>
      <c r="W33" s="778" t="e">
        <f t="shared" si="14"/>
        <v>#N/A</v>
      </c>
      <c r="X33" s="779"/>
      <c r="Y33" s="3169"/>
      <c r="Z33" s="780" t="str">
        <f t="shared" si="15"/>
        <v>项目建筑规模</v>
      </c>
      <c r="AA33" s="1806" t="e">
        <f t="shared" si="3"/>
        <v>#N/A</v>
      </c>
      <c r="AB33" s="1806" t="e">
        <f t="shared" si="4"/>
        <v>#N/A</v>
      </c>
      <c r="AC33" s="1806" t="e">
        <f t="shared" si="5"/>
        <v>#N/A</v>
      </c>
    </row>
    <row r="34" spans="1:29" ht="15">
      <c r="A34" s="472"/>
      <c r="B34" s="422" t="s">
        <v>2550</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34"/>
      <c r="Q34" s="1805" t="str">
        <f t="shared" si="11"/>
        <v>建筑结构</v>
      </c>
      <c r="R34" s="774" t="s">
        <v>17</v>
      </c>
      <c r="S34" s="775">
        <f t="shared" si="12"/>
        <v>100</v>
      </c>
      <c r="T34" s="774" t="s">
        <v>17</v>
      </c>
      <c r="U34" s="775">
        <f t="shared" si="13"/>
        <v>100</v>
      </c>
      <c r="V34" s="774" t="s">
        <v>17</v>
      </c>
      <c r="W34" s="775">
        <f t="shared" si="14"/>
        <v>100</v>
      </c>
      <c r="X34" s="1808"/>
      <c r="Y34" s="3169"/>
      <c r="Z34" s="1809" t="str">
        <f t="shared" si="15"/>
        <v>建筑结构</v>
      </c>
      <c r="AA34" s="1806">
        <f t="shared" si="3"/>
        <v>1</v>
      </c>
      <c r="AB34" s="1806">
        <f t="shared" si="4"/>
        <v>1</v>
      </c>
      <c r="AC34" s="1806">
        <f t="shared" si="5"/>
        <v>1</v>
      </c>
    </row>
    <row r="35" spans="1:29" ht="15">
      <c r="A35" s="472"/>
      <c r="B35" s="422" t="s">
        <v>2644</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34"/>
      <c r="Q35" s="1805" t="str">
        <f t="shared" si="11"/>
        <v>公共部分装修</v>
      </c>
      <c r="R35" s="774" t="s">
        <v>17</v>
      </c>
      <c r="S35" s="775">
        <f t="shared" si="12"/>
        <v>100</v>
      </c>
      <c r="T35" s="774" t="s">
        <v>17</v>
      </c>
      <c r="U35" s="775">
        <f t="shared" si="13"/>
        <v>100</v>
      </c>
      <c r="V35" s="774" t="s">
        <v>17</v>
      </c>
      <c r="W35" s="775">
        <f t="shared" si="14"/>
        <v>100</v>
      </c>
      <c r="X35" s="1808"/>
      <c r="Y35" s="3169"/>
      <c r="Z35" s="1809" t="str">
        <f t="shared" si="15"/>
        <v>公共部分装修</v>
      </c>
      <c r="AA35" s="1806">
        <f t="shared" si="3"/>
        <v>1</v>
      </c>
      <c r="AB35" s="1806">
        <f t="shared" si="4"/>
        <v>1</v>
      </c>
      <c r="AC35" s="1806">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4"/>
      <c r="Q36" s="1805" t="str">
        <f t="shared" si="11"/>
        <v>成新度</v>
      </c>
      <c r="R36" s="774" t="s">
        <v>17</v>
      </c>
      <c r="S36" s="775" t="e">
        <f t="shared" si="12"/>
        <v>#N/A</v>
      </c>
      <c r="T36" s="774" t="s">
        <v>17</v>
      </c>
      <c r="U36" s="775" t="e">
        <f t="shared" si="13"/>
        <v>#N/A</v>
      </c>
      <c r="V36" s="774" t="s">
        <v>17</v>
      </c>
      <c r="W36" s="775" t="e">
        <f t="shared" si="14"/>
        <v>#N/A</v>
      </c>
      <c r="X36" s="1808"/>
      <c r="Y36" s="3169"/>
      <c r="Z36" s="1809" t="str">
        <f t="shared" si="15"/>
        <v>成新度</v>
      </c>
      <c r="AA36" s="1806" t="e">
        <f t="shared" si="3"/>
        <v>#N/A</v>
      </c>
      <c r="AB36" s="1806" t="e">
        <f t="shared" si="4"/>
        <v>#N/A</v>
      </c>
      <c r="AC36" s="1806" t="e">
        <f t="shared" si="5"/>
        <v>#N/A</v>
      </c>
    </row>
    <row r="37" spans="1:29" s="117" customFormat="1" ht="15">
      <c r="A37" s="473"/>
      <c r="B37" s="422" t="s">
        <v>2646</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34"/>
      <c r="Q37" s="1790" t="str">
        <f t="shared" si="11"/>
        <v>市政基础设施</v>
      </c>
      <c r="R37" s="770" t="s">
        <v>17</v>
      </c>
      <c r="S37" s="771">
        <f t="shared" si="12"/>
        <v>100</v>
      </c>
      <c r="T37" s="770" t="s">
        <v>17</v>
      </c>
      <c r="U37" s="771">
        <f t="shared" si="13"/>
        <v>100</v>
      </c>
      <c r="V37" s="770" t="s">
        <v>17</v>
      </c>
      <c r="W37" s="771">
        <f t="shared" si="14"/>
        <v>100</v>
      </c>
      <c r="X37" s="772"/>
      <c r="Y37" s="3169"/>
      <c r="Z37" s="55" t="str">
        <f t="shared" si="15"/>
        <v>市政基础设施</v>
      </c>
      <c r="AA37" s="773">
        <f t="shared" si="3"/>
        <v>1</v>
      </c>
      <c r="AB37" s="773">
        <f t="shared" si="4"/>
        <v>1</v>
      </c>
      <c r="AC37" s="773">
        <f t="shared" si="5"/>
        <v>1</v>
      </c>
    </row>
    <row r="38" spans="1:29" ht="15">
      <c r="A38" s="472"/>
      <c r="B38" s="422" t="s">
        <v>2647</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34" t="s">
        <v>2548</v>
      </c>
      <c r="Q38" s="1805" t="str">
        <f t="shared" si="11"/>
        <v>业态</v>
      </c>
      <c r="R38" s="774" t="s">
        <v>17</v>
      </c>
      <c r="S38" s="775">
        <f t="shared" si="12"/>
        <v>100</v>
      </c>
      <c r="T38" s="774" t="s">
        <v>17</v>
      </c>
      <c r="U38" s="775">
        <f t="shared" si="13"/>
        <v>100</v>
      </c>
      <c r="V38" s="774" t="s">
        <v>17</v>
      </c>
      <c r="W38" s="775">
        <f t="shared" si="14"/>
        <v>100</v>
      </c>
      <c r="X38" s="1808"/>
      <c r="Y38" s="3169" t="s">
        <v>2548</v>
      </c>
      <c r="Z38" s="1809" t="str">
        <f t="shared" si="15"/>
        <v>业态</v>
      </c>
      <c r="AA38" s="1806">
        <f t="shared" si="3"/>
        <v>1</v>
      </c>
      <c r="AB38" s="1806">
        <f t="shared" si="4"/>
        <v>1</v>
      </c>
      <c r="AC38" s="1806">
        <f t="shared" si="5"/>
        <v>1</v>
      </c>
    </row>
    <row r="39" spans="1:29" ht="15">
      <c r="A39" s="472"/>
      <c r="B39" s="422" t="s">
        <v>2648</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34"/>
      <c r="Q39" s="1805" t="str">
        <f t="shared" si="11"/>
        <v>层高</v>
      </c>
      <c r="R39" s="774" t="s">
        <v>17</v>
      </c>
      <c r="S39" s="775">
        <f t="shared" si="12"/>
        <v>100</v>
      </c>
      <c r="T39" s="774" t="s">
        <v>17</v>
      </c>
      <c r="U39" s="775">
        <f t="shared" si="13"/>
        <v>100</v>
      </c>
      <c r="V39" s="774" t="s">
        <v>17</v>
      </c>
      <c r="W39" s="775">
        <f t="shared" si="14"/>
        <v>100</v>
      </c>
      <c r="X39" s="1808"/>
      <c r="Y39" s="3169"/>
      <c r="Z39" s="1809" t="str">
        <f t="shared" si="15"/>
        <v>层高</v>
      </c>
      <c r="AA39" s="1806">
        <f t="shared" si="3"/>
        <v>1</v>
      </c>
      <c r="AB39" s="1806">
        <f t="shared" si="4"/>
        <v>1</v>
      </c>
      <c r="AC39" s="1806">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4"/>
      <c r="Q40" s="1805" t="str">
        <f t="shared" si="11"/>
        <v>单套建筑面积</v>
      </c>
      <c r="R40" s="774" t="s">
        <v>17</v>
      </c>
      <c r="S40" s="775">
        <f t="shared" si="12"/>
        <v>100</v>
      </c>
      <c r="T40" s="774" t="s">
        <v>17</v>
      </c>
      <c r="U40" s="775">
        <f t="shared" si="13"/>
        <v>100</v>
      </c>
      <c r="V40" s="774" t="s">
        <v>17</v>
      </c>
      <c r="W40" s="775">
        <f t="shared" si="14"/>
        <v>100</v>
      </c>
      <c r="X40" s="1808"/>
      <c r="Y40" s="3169"/>
      <c r="Z40" s="1809" t="str">
        <f t="shared" si="15"/>
        <v>单套建筑面积</v>
      </c>
      <c r="AA40" s="1806">
        <f t="shared" si="3"/>
        <v>1</v>
      </c>
      <c r="AB40" s="1806">
        <f t="shared" si="4"/>
        <v>1</v>
      </c>
      <c r="AC40" s="1806">
        <f t="shared" si="5"/>
        <v>1</v>
      </c>
    </row>
    <row r="41" spans="1:29" s="471" customFormat="1" ht="15">
      <c r="A41" s="468"/>
      <c r="B41" s="1807"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4"/>
      <c r="Q41" s="776" t="str">
        <f t="shared" si="11"/>
        <v>进深比</v>
      </c>
      <c r="R41" s="777" t="s">
        <v>17</v>
      </c>
      <c r="S41" s="778">
        <f t="shared" si="12"/>
        <v>100</v>
      </c>
      <c r="T41" s="777" t="s">
        <v>17</v>
      </c>
      <c r="U41" s="778">
        <f t="shared" si="13"/>
        <v>100</v>
      </c>
      <c r="V41" s="777" t="s">
        <v>17</v>
      </c>
      <c r="W41" s="778">
        <f t="shared" si="14"/>
        <v>100</v>
      </c>
      <c r="X41" s="779"/>
      <c r="Y41" s="3169"/>
      <c r="Z41" s="780" t="str">
        <f t="shared" si="15"/>
        <v>进深比</v>
      </c>
      <c r="AA41" s="1806">
        <f t="shared" si="3"/>
        <v>1</v>
      </c>
      <c r="AB41" s="1806">
        <f t="shared" si="4"/>
        <v>1</v>
      </c>
      <c r="AC41" s="1806">
        <f t="shared" si="5"/>
        <v>1</v>
      </c>
    </row>
    <row r="42" spans="1:29" ht="15">
      <c r="A42" s="472"/>
      <c r="B42" s="422" t="s">
        <v>2651</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34"/>
      <c r="Q42" s="1805" t="str">
        <f t="shared" si="11"/>
        <v>内部装修</v>
      </c>
      <c r="R42" s="774" t="s">
        <v>17</v>
      </c>
      <c r="S42" s="775">
        <f t="shared" si="12"/>
        <v>100</v>
      </c>
      <c r="T42" s="774" t="s">
        <v>17</v>
      </c>
      <c r="U42" s="775">
        <f t="shared" si="13"/>
        <v>100</v>
      </c>
      <c r="V42" s="774" t="s">
        <v>17</v>
      </c>
      <c r="W42" s="775">
        <f t="shared" si="14"/>
        <v>100</v>
      </c>
      <c r="X42" s="1808"/>
      <c r="Y42" s="3169"/>
      <c r="Z42" s="1809" t="str">
        <f t="shared" si="15"/>
        <v>内部装修</v>
      </c>
      <c r="AA42" s="1806">
        <f t="shared" si="3"/>
        <v>1</v>
      </c>
      <c r="AB42" s="1806">
        <f t="shared" si="4"/>
        <v>1</v>
      </c>
      <c r="AC42" s="1806">
        <f t="shared" si="5"/>
        <v>1</v>
      </c>
    </row>
    <row r="43" spans="1:29" ht="28.8">
      <c r="A43" s="472"/>
      <c r="B43" s="422" t="s">
        <v>2559</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34"/>
      <c r="Q43" s="1805" t="str">
        <f t="shared" si="11"/>
        <v>内部装修维护情况</v>
      </c>
      <c r="R43" s="774" t="s">
        <v>17</v>
      </c>
      <c r="S43" s="775">
        <f t="shared" si="12"/>
        <v>100</v>
      </c>
      <c r="T43" s="774" t="s">
        <v>17</v>
      </c>
      <c r="U43" s="775">
        <f t="shared" si="13"/>
        <v>100</v>
      </c>
      <c r="V43" s="774" t="s">
        <v>17</v>
      </c>
      <c r="W43" s="775">
        <f t="shared" si="14"/>
        <v>100</v>
      </c>
      <c r="X43" s="1808"/>
      <c r="Y43" s="3169"/>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4"/>
      <c r="Q44" s="1790">
        <f t="shared" si="11"/>
        <v>111</v>
      </c>
      <c r="R44" s="770" t="s">
        <v>17</v>
      </c>
      <c r="S44" s="771">
        <f t="shared" si="12"/>
        <v>100</v>
      </c>
      <c r="T44" s="770" t="s">
        <v>17</v>
      </c>
      <c r="U44" s="771">
        <f t="shared" si="13"/>
        <v>100</v>
      </c>
      <c r="V44" s="770" t="s">
        <v>17</v>
      </c>
      <c r="W44" s="771">
        <f t="shared" si="14"/>
        <v>100</v>
      </c>
      <c r="X44" s="772"/>
      <c r="Y44" s="3169"/>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4"/>
      <c r="Q45" s="1805">
        <f t="shared" si="11"/>
        <v>111</v>
      </c>
      <c r="R45" s="774" t="s">
        <v>17</v>
      </c>
      <c r="S45" s="775">
        <f t="shared" si="12"/>
        <v>100</v>
      </c>
      <c r="T45" s="774" t="s">
        <v>17</v>
      </c>
      <c r="U45" s="775">
        <f t="shared" si="13"/>
        <v>100</v>
      </c>
      <c r="V45" s="774" t="s">
        <v>17</v>
      </c>
      <c r="W45" s="775">
        <f t="shared" si="14"/>
        <v>100</v>
      </c>
      <c r="X45" s="1808"/>
      <c r="Y45" s="3169"/>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5"/>
      <c r="Q46" s="1805">
        <f t="shared" si="11"/>
        <v>111</v>
      </c>
      <c r="R46" s="774" t="s">
        <v>17</v>
      </c>
      <c r="S46" s="775">
        <f t="shared" si="12"/>
        <v>100</v>
      </c>
      <c r="T46" s="774" t="s">
        <v>17</v>
      </c>
      <c r="U46" s="775">
        <f t="shared" si="13"/>
        <v>100</v>
      </c>
      <c r="V46" s="774" t="s">
        <v>17</v>
      </c>
      <c r="W46" s="775">
        <f t="shared" si="14"/>
        <v>100</v>
      </c>
      <c r="X46" s="1808"/>
      <c r="Y46" s="3236"/>
      <c r="Z46" s="1809">
        <f t="shared" si="15"/>
        <v>111</v>
      </c>
      <c r="AA46" s="1806">
        <f t="shared" si="3"/>
        <v>1</v>
      </c>
      <c r="AB46" s="1806">
        <f t="shared" si="4"/>
        <v>1</v>
      </c>
      <c r="AC46" s="1806">
        <f t="shared" si="5"/>
        <v>1</v>
      </c>
    </row>
    <row r="47" spans="1:29" ht="14.4">
      <c r="A47" s="479" t="s">
        <v>2560</v>
      </c>
      <c r="B47" s="480"/>
      <c r="C47" s="1404" t="s">
        <v>1</v>
      </c>
      <c r="D47" s="1405"/>
      <c r="E47" s="1406"/>
      <c r="F47" s="1407"/>
      <c r="G47" s="1408"/>
      <c r="H47" s="1409"/>
      <c r="I47" s="1406"/>
      <c r="J47" s="1409"/>
      <c r="K47" s="783"/>
      <c r="L47" s="1140"/>
      <c r="M47" s="1141"/>
      <c r="N47" s="1128"/>
      <c r="O47" s="1141"/>
      <c r="P47" s="3164" t="str">
        <f>A47</f>
        <v>成交单价（元/平方米）</v>
      </c>
      <c r="Q47" s="3164"/>
      <c r="R47" s="3170">
        <f>E47</f>
        <v>0</v>
      </c>
      <c r="S47" s="3170"/>
      <c r="T47" s="3170">
        <f>G47</f>
        <v>0</v>
      </c>
      <c r="U47" s="3170"/>
      <c r="V47" s="3170">
        <f>I47</f>
        <v>0</v>
      </c>
      <c r="W47" s="3170"/>
      <c r="X47" s="759"/>
      <c r="Y47" s="781"/>
      <c r="Z47" s="759"/>
      <c r="AA47" s="759"/>
      <c r="AB47" s="759"/>
      <c r="AC47" s="759"/>
    </row>
    <row r="48" spans="1:29" ht="15" thickBot="1">
      <c r="A48" s="486" t="s">
        <v>2652</v>
      </c>
      <c r="B48" s="487"/>
      <c r="C48" s="1410" t="e">
        <f>R49</f>
        <v>#DIV/0!</v>
      </c>
      <c r="D48" s="1411"/>
      <c r="E48" s="1412" t="e">
        <f>R48</f>
        <v>#DIV/0!</v>
      </c>
      <c r="F48" s="1412"/>
      <c r="G48" s="1410" t="e">
        <f>T48</f>
        <v>#DIV/0!</v>
      </c>
      <c r="H48" s="1411"/>
      <c r="I48" s="1412" t="e">
        <f>V48</f>
        <v>#DIV/0!</v>
      </c>
      <c r="J48" s="1411"/>
      <c r="K48" s="784"/>
      <c r="L48" s="1140"/>
      <c r="M48" s="1141"/>
      <c r="N48" s="1128"/>
      <c r="O48" s="1141"/>
      <c r="P48" s="3164" t="str">
        <f>A48</f>
        <v>比较价值（元/平方米）</v>
      </c>
      <c r="Q48" s="316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2653</v>
      </c>
      <c r="B49" s="493"/>
      <c r="C49" s="1414" t="e">
        <f>R49</f>
        <v>#DIV/0!</v>
      </c>
      <c r="D49" s="1414"/>
      <c r="E49" s="1414"/>
      <c r="F49" s="1414"/>
      <c r="G49" s="1414"/>
      <c r="H49" s="1414"/>
      <c r="I49" s="1414"/>
      <c r="J49" s="1414"/>
      <c r="K49" s="785"/>
      <c r="L49" s="1140"/>
      <c r="M49" s="1141"/>
      <c r="N49" s="1128"/>
      <c r="O49" s="1141"/>
      <c r="P49" s="3158" t="str">
        <f>A49</f>
        <v>估价对象XX用房的比较价值（楼面单价，元/平方米）</v>
      </c>
      <c r="Q49" s="3159"/>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2657</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4.4">
      <c r="A58" s="505" t="s">
        <v>2531</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c r="A59" s="509"/>
      <c r="B59" s="510"/>
      <c r="C59" s="1568">
        <v>100</v>
      </c>
      <c r="D59" s="512"/>
      <c r="E59" s="512"/>
      <c r="F59" s="512"/>
      <c r="G59" s="512"/>
      <c r="H59" s="512"/>
      <c r="I59" s="512"/>
      <c r="J59" s="512"/>
      <c r="K59" s="512"/>
      <c r="L59" s="512"/>
      <c r="M59" s="513"/>
      <c r="N59" s="512"/>
      <c r="O59" s="513"/>
      <c r="P59" s="2621"/>
    </row>
    <row r="60" spans="1:29" s="117" customFormat="1" ht="15" thickBot="1">
      <c r="A60" s="515" t="s">
        <v>2568</v>
      </c>
      <c r="B60" s="516"/>
      <c r="C60" s="517"/>
      <c r="D60" s="518"/>
      <c r="E60" s="518"/>
      <c r="F60" s="518"/>
      <c r="G60" s="518"/>
      <c r="H60" s="518"/>
      <c r="I60" s="518"/>
      <c r="J60" s="518"/>
      <c r="K60" s="518"/>
      <c r="L60" s="518"/>
      <c r="M60" s="519"/>
      <c r="N60" s="518"/>
      <c r="O60" s="519"/>
      <c r="P60" s="2621"/>
      <c r="Q60" s="504"/>
    </row>
    <row r="61" spans="1:29" s="117" customFormat="1" ht="14.4">
      <c r="A61" s="521" t="s">
        <v>2533</v>
      </c>
      <c r="B61" s="510"/>
      <c r="C61" s="522" t="s">
        <v>2635</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2571</v>
      </c>
      <c r="B63" s="528" t="s">
        <v>2537</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36"/>
      <c r="E73" s="536"/>
      <c r="F73" s="536"/>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2638</v>
      </c>
      <c r="C82" s="660" t="s">
        <v>2658</v>
      </c>
      <c r="D82" s="660" t="s">
        <v>2659</v>
      </c>
      <c r="E82" s="660" t="s">
        <v>2660</v>
      </c>
      <c r="F82" s="660" t="s">
        <v>2661</v>
      </c>
      <c r="G82" s="660" t="s">
        <v>2662</v>
      </c>
      <c r="H82" s="539"/>
      <c r="I82" s="539"/>
      <c r="J82" s="539"/>
      <c r="K82" s="539"/>
      <c r="L82" s="539"/>
      <c r="M82" s="1379"/>
      <c r="N82" s="1150"/>
      <c r="O82" s="1150"/>
      <c r="P82" s="262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2663</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4.4" thickBot="1">
      <c r="A89" s="579"/>
      <c r="B89" s="543"/>
      <c r="C89" s="560"/>
      <c r="D89" s="536"/>
      <c r="E89" s="536"/>
      <c r="F89" s="536"/>
      <c r="G89" s="536"/>
      <c r="H89" s="536"/>
      <c r="I89" s="536"/>
      <c r="J89" s="536"/>
      <c r="K89" s="536"/>
      <c r="L89" s="536"/>
      <c r="M89" s="536"/>
      <c r="N89" s="1150"/>
      <c r="O89" s="1150"/>
      <c r="P89" s="2623"/>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4.4" thickTop="1">
      <c r="A92" s="534"/>
      <c r="B92" s="538" t="str">
        <f>B28</f>
        <v>楼层</v>
      </c>
      <c r="C92" s="554"/>
      <c r="D92" s="554"/>
      <c r="E92" s="554"/>
      <c r="F92" s="554"/>
      <c r="G92" s="554"/>
      <c r="H92" s="554"/>
      <c r="I92" s="554"/>
      <c r="J92" s="554"/>
      <c r="K92" s="554"/>
      <c r="L92" s="580"/>
      <c r="M92" s="581"/>
      <c r="N92" s="1149"/>
      <c r="O92" s="1149"/>
      <c r="P92" s="2623"/>
      <c r="Q92" s="504"/>
    </row>
    <row r="93" spans="1:17" ht="14.4" thickBot="1">
      <c r="A93" s="534"/>
      <c r="B93" s="543"/>
      <c r="C93" s="536"/>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36"/>
      <c r="E95" s="536"/>
      <c r="F95" s="536"/>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60"/>
      <c r="D97" s="536"/>
      <c r="E97" s="536"/>
      <c r="F97" s="536"/>
      <c r="G97" s="536"/>
      <c r="H97" s="536"/>
      <c r="I97" s="536"/>
      <c r="J97" s="536"/>
      <c r="K97" s="536"/>
      <c r="L97" s="536"/>
      <c r="M97" s="537"/>
      <c r="N97" s="1150"/>
      <c r="O97" s="1150"/>
      <c r="P97" s="2623"/>
      <c r="Q97" s="504"/>
    </row>
    <row r="98" spans="1:17" ht="14.4" thickTop="1">
      <c r="A98" s="534"/>
      <c r="B98" s="546">
        <f>B31</f>
        <v>111</v>
      </c>
      <c r="C98" s="554"/>
      <c r="D98" s="554"/>
      <c r="E98" s="554"/>
      <c r="F98" s="554"/>
      <c r="G98" s="587"/>
      <c r="H98" s="587"/>
      <c r="I98" s="587"/>
      <c r="J98" s="587"/>
      <c r="K98" s="588"/>
      <c r="L98" s="589"/>
      <c r="M98" s="590"/>
      <c r="N98" s="1149"/>
      <c r="O98" s="1149"/>
      <c r="P98" s="2623"/>
      <c r="Q98" s="504"/>
    </row>
    <row r="99" spans="1:17" ht="14.4" thickBot="1">
      <c r="A99" s="2629"/>
      <c r="B99" s="569"/>
      <c r="C99" s="570"/>
      <c r="D99" s="570"/>
      <c r="E99" s="570"/>
      <c r="F99" s="570"/>
      <c r="G99" s="591"/>
      <c r="H99" s="591"/>
      <c r="I99" s="591"/>
      <c r="J99" s="591"/>
      <c r="K99" s="591"/>
      <c r="L99" s="591"/>
      <c r="M99" s="592"/>
      <c r="N99" s="1150"/>
      <c r="O99" s="1150"/>
      <c r="P99" s="2623"/>
      <c r="Q99" s="504"/>
    </row>
    <row r="100" spans="1:17" ht="14.4">
      <c r="A100" s="527" t="s">
        <v>2546</v>
      </c>
      <c r="B100" s="528" t="s">
        <v>2664</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2599</v>
      </c>
      <c r="C107" s="554"/>
      <c r="D107" s="554"/>
      <c r="E107" s="554"/>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2601</v>
      </c>
      <c r="C112" s="554"/>
      <c r="D112" s="554"/>
      <c r="E112" s="554"/>
      <c r="F112" s="554"/>
      <c r="G112" s="554"/>
      <c r="H112" s="583"/>
      <c r="I112" s="583"/>
      <c r="J112" s="583"/>
      <c r="K112" s="584"/>
      <c r="L112" s="585"/>
      <c r="M112" s="586"/>
      <c r="N112" s="1151"/>
      <c r="O112" s="1151"/>
      <c r="P112" s="262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2665</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2666</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2667</v>
      </c>
      <c r="C118" s="627"/>
      <c r="D118" s="627"/>
      <c r="E118" s="627"/>
      <c r="F118" s="627"/>
      <c r="G118" s="627"/>
      <c r="H118" s="555"/>
      <c r="I118" s="555"/>
      <c r="J118" s="555"/>
      <c r="K118" s="555"/>
      <c r="L118" s="556"/>
      <c r="M118" s="557"/>
      <c r="N118" s="1149"/>
      <c r="O118" s="1149"/>
      <c r="P118" s="2623"/>
      <c r="Q118" s="504"/>
    </row>
    <row r="119" spans="1:17" ht="14.4"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2668</v>
      </c>
      <c r="C120" s="583"/>
      <c r="D120" s="583"/>
      <c r="E120" s="583"/>
      <c r="F120" s="583"/>
      <c r="G120" s="555"/>
      <c r="H120" s="555"/>
      <c r="I120" s="555"/>
      <c r="J120" s="555"/>
      <c r="K120" s="555"/>
      <c r="L120" s="556"/>
      <c r="M120" s="557"/>
      <c r="N120" s="1151"/>
      <c r="O120" s="1151"/>
      <c r="P120" s="262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36"/>
      <c r="E129" s="536"/>
      <c r="F129" s="536"/>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662" t="s">
        <v>2669</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IF(C2="——",ROUND(C50*D3/10000,0),ROUND(C50*D3/10000,0)-D2)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245" t="s">
        <v>2634</v>
      </c>
      <c r="Q4" s="3246"/>
      <c r="R4" s="3249" t="s">
        <v>2630</v>
      </c>
      <c r="S4" s="3250"/>
      <c r="T4" s="3249" t="s">
        <v>2631</v>
      </c>
      <c r="U4" s="3250"/>
      <c r="V4" s="3251" t="s">
        <v>2632</v>
      </c>
      <c r="W4" s="3251"/>
      <c r="X4" s="2663"/>
      <c r="Y4" s="3249" t="s">
        <v>2634</v>
      </c>
      <c r="Z4" s="3250"/>
      <c r="AA4" s="3253" t="s">
        <v>2630</v>
      </c>
      <c r="AB4" s="3253" t="s">
        <v>2631</v>
      </c>
      <c r="AC4" s="3242" t="s">
        <v>2632</v>
      </c>
    </row>
    <row r="5" spans="1:29">
      <c r="A5" s="404"/>
      <c r="B5" s="405"/>
      <c r="C5" s="3191" t="s">
        <v>2525</v>
      </c>
      <c r="D5" s="3192"/>
      <c r="E5" s="3198" t="s">
        <v>2526</v>
      </c>
      <c r="F5" s="3199"/>
      <c r="G5" s="3191" t="s">
        <v>2527</v>
      </c>
      <c r="H5" s="3192"/>
      <c r="I5" s="3191" t="s">
        <v>2528</v>
      </c>
      <c r="J5" s="3192"/>
      <c r="K5" s="610"/>
      <c r="L5" s="1127"/>
      <c r="M5" s="1128"/>
      <c r="N5" s="1128"/>
      <c r="O5" s="1128"/>
      <c r="P5" s="3247"/>
      <c r="Q5" s="3180"/>
      <c r="R5" s="3185"/>
      <c r="S5" s="3186"/>
      <c r="T5" s="3185"/>
      <c r="U5" s="3186"/>
      <c r="V5" s="3170"/>
      <c r="W5" s="3170"/>
      <c r="X5" s="1808"/>
      <c r="Y5" s="3185"/>
      <c r="Z5" s="3186"/>
      <c r="AA5" s="3172"/>
      <c r="AB5" s="3172"/>
      <c r="AC5" s="3243"/>
    </row>
    <row r="6" spans="1:29" ht="15" thickBot="1">
      <c r="A6" s="406"/>
      <c r="B6" s="407"/>
      <c r="C6" s="3189" t="s">
        <v>2529</v>
      </c>
      <c r="D6" s="3190"/>
      <c r="E6" s="3196" t="s">
        <v>2529</v>
      </c>
      <c r="F6" s="3197"/>
      <c r="G6" s="3189" t="s">
        <v>2529</v>
      </c>
      <c r="H6" s="3190"/>
      <c r="I6" s="3189" t="s">
        <v>2529</v>
      </c>
      <c r="J6" s="3190"/>
      <c r="K6" s="610" t="s">
        <v>2530</v>
      </c>
      <c r="L6" s="1127"/>
      <c r="M6" s="1128"/>
      <c r="N6" s="1128"/>
      <c r="O6" s="1128"/>
      <c r="P6" s="3248"/>
      <c r="Q6" s="3182"/>
      <c r="R6" s="3185"/>
      <c r="S6" s="3186"/>
      <c r="T6" s="3187"/>
      <c r="U6" s="3188"/>
      <c r="V6" s="3170"/>
      <c r="W6" s="3170"/>
      <c r="X6" s="1808"/>
      <c r="Y6" s="3187"/>
      <c r="Z6" s="3188"/>
      <c r="AA6" s="3173"/>
      <c r="AB6" s="3173"/>
      <c r="AC6" s="3244"/>
    </row>
    <row r="7" spans="1:29" s="117" customFormat="1" ht="15" thickBot="1">
      <c r="A7" s="408" t="s">
        <v>2531</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2" t="s">
        <v>2532</v>
      </c>
      <c r="Q7" s="3195"/>
      <c r="R7" s="770" t="s">
        <v>17</v>
      </c>
      <c r="S7" s="771">
        <f t="shared" ref="S7:S15" si="0">F7</f>
        <v>0</v>
      </c>
      <c r="T7" s="770" t="s">
        <v>17</v>
      </c>
      <c r="U7" s="771">
        <f t="shared" ref="U7:U15" si="1">H7</f>
        <v>0</v>
      </c>
      <c r="V7" s="770" t="s">
        <v>17</v>
      </c>
      <c r="W7" s="771">
        <f t="shared" ref="W7:W15" si="2">J7</f>
        <v>0</v>
      </c>
      <c r="X7" s="772"/>
      <c r="Y7" s="3193" t="s">
        <v>2532</v>
      </c>
      <c r="Z7" s="3194"/>
      <c r="AA7" s="773" t="e">
        <f>D7/F7</f>
        <v>#DIV/0!</v>
      </c>
      <c r="AB7" s="773" t="e">
        <f>D7/H7</f>
        <v>#DIV/0!</v>
      </c>
      <c r="AC7" s="2664" t="e">
        <f>D7/J7</f>
        <v>#DIV/0!</v>
      </c>
    </row>
    <row r="8" spans="1:29" s="117" customFormat="1" ht="1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2" t="s">
        <v>2535</v>
      </c>
      <c r="Q8" s="3194"/>
      <c r="R8" s="770" t="s">
        <v>17</v>
      </c>
      <c r="S8" s="771">
        <f t="shared" si="0"/>
        <v>0</v>
      </c>
      <c r="T8" s="770" t="s">
        <v>17</v>
      </c>
      <c r="U8" s="771">
        <f t="shared" si="1"/>
        <v>0</v>
      </c>
      <c r="V8" s="770" t="s">
        <v>17</v>
      </c>
      <c r="W8" s="771">
        <f t="shared" si="2"/>
        <v>0</v>
      </c>
      <c r="X8" s="772"/>
      <c r="Y8" s="3193" t="s">
        <v>2535</v>
      </c>
      <c r="Z8" s="3194"/>
      <c r="AA8" s="773" t="e">
        <f t="shared" ref="AA8:AA47" si="3">D8/F8</f>
        <v>#DIV/0!</v>
      </c>
      <c r="AB8" s="773" t="e">
        <f t="shared" ref="AB8:AB47" si="4">D8/H8</f>
        <v>#DIV/0!</v>
      </c>
      <c r="AC8" s="2664" t="e">
        <f t="shared" ref="AC8:AC47" si="5">D8/J8</f>
        <v>#DIV/0!</v>
      </c>
    </row>
    <row r="9" spans="1:29" s="117" customFormat="1" ht="14.4">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63"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2664">
        <f t="shared" si="5"/>
        <v>1</v>
      </c>
    </row>
    <row r="10" spans="1:29" s="427" customFormat="1" ht="28.8">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63"/>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64">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63"/>
      <c r="Q11" s="1790"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63"/>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63"/>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63"/>
      <c r="Q14" s="1790">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64">
        <f t="shared" si="5"/>
        <v>1</v>
      </c>
    </row>
    <row r="15" spans="1:29" ht="15">
      <c r="A15" s="440" t="s">
        <v>2542</v>
      </c>
      <c r="B15" s="629" t="s">
        <v>2670</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7" t="s">
        <v>2543</v>
      </c>
      <c r="Q15" s="1805" t="str">
        <f t="shared" si="6"/>
        <v>办公集聚程度</v>
      </c>
      <c r="R15" s="774" t="s">
        <v>17</v>
      </c>
      <c r="S15" s="775">
        <f t="shared" si="0"/>
        <v>100</v>
      </c>
      <c r="T15" s="774" t="s">
        <v>17</v>
      </c>
      <c r="U15" s="775">
        <f t="shared" si="1"/>
        <v>100</v>
      </c>
      <c r="V15" s="774" t="s">
        <v>17</v>
      </c>
      <c r="W15" s="775">
        <f t="shared" si="2"/>
        <v>100</v>
      </c>
      <c r="X15" s="1808"/>
      <c r="Y15" s="3166" t="s">
        <v>2543</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8"/>
      <c r="Q16" s="1805"/>
      <c r="R16" s="774"/>
      <c r="S16" s="775"/>
      <c r="T16" s="774"/>
      <c r="U16" s="775"/>
      <c r="V16" s="774"/>
      <c r="W16" s="775"/>
      <c r="X16" s="1808"/>
      <c r="Y16" s="3167"/>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8"/>
      <c r="Q17" s="1805" t="str">
        <f>B17</f>
        <v>交通便捷度</v>
      </c>
      <c r="R17" s="774" t="s">
        <v>17</v>
      </c>
      <c r="S17" s="775">
        <f>F17</f>
        <v>100</v>
      </c>
      <c r="T17" s="774" t="s">
        <v>17</v>
      </c>
      <c r="U17" s="775">
        <f>H17</f>
        <v>100</v>
      </c>
      <c r="V17" s="774" t="s">
        <v>17</v>
      </c>
      <c r="W17" s="775">
        <f>J17</f>
        <v>100</v>
      </c>
      <c r="X17" s="1808"/>
      <c r="Y17" s="3167"/>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8"/>
      <c r="Q18" s="1805"/>
      <c r="R18" s="774"/>
      <c r="S18" s="775"/>
      <c r="T18" s="774"/>
      <c r="U18" s="775"/>
      <c r="V18" s="774"/>
      <c r="W18" s="775"/>
      <c r="X18" s="1808"/>
      <c r="Y18" s="3167"/>
      <c r="Z18" s="1809"/>
      <c r="AA18" s="1806">
        <v>1</v>
      </c>
      <c r="AB18" s="1806">
        <v>1</v>
      </c>
      <c r="AC18" s="2667">
        <v>1</v>
      </c>
    </row>
    <row r="19" spans="1:29" ht="15">
      <c r="A19" s="428"/>
      <c r="B19" s="631" t="s">
        <v>2671</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8"/>
      <c r="Q19" s="1805" t="str">
        <f>B19</f>
        <v>公共配套设施</v>
      </c>
      <c r="R19" s="774" t="s">
        <v>17</v>
      </c>
      <c r="S19" s="775">
        <f>F19</f>
        <v>100</v>
      </c>
      <c r="T19" s="774" t="s">
        <v>17</v>
      </c>
      <c r="U19" s="775">
        <f>H19</f>
        <v>100</v>
      </c>
      <c r="V19" s="774" t="s">
        <v>17</v>
      </c>
      <c r="W19" s="775">
        <f>J19</f>
        <v>100</v>
      </c>
      <c r="X19" s="1808"/>
      <c r="Y19" s="3167"/>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8"/>
      <c r="Q20" s="1805"/>
      <c r="R20" s="774"/>
      <c r="S20" s="775"/>
      <c r="T20" s="774"/>
      <c r="U20" s="775"/>
      <c r="V20" s="774"/>
      <c r="W20" s="775"/>
      <c r="X20" s="1808"/>
      <c r="Y20" s="3167"/>
      <c r="Z20" s="1809"/>
      <c r="AA20" s="1806">
        <v>1</v>
      </c>
      <c r="AB20" s="1806">
        <v>1</v>
      </c>
      <c r="AC20" s="2667">
        <v>1</v>
      </c>
    </row>
    <row r="21" spans="1:29" ht="15">
      <c r="A21" s="428"/>
      <c r="B21" s="633" t="s">
        <v>2672</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67"/>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8"/>
      <c r="Q22" s="1805"/>
      <c r="R22" s="774"/>
      <c r="S22" s="775"/>
      <c r="T22" s="774"/>
      <c r="U22" s="775"/>
      <c r="V22" s="774"/>
      <c r="W22" s="775"/>
      <c r="X22" s="1808"/>
      <c r="Y22" s="3167"/>
      <c r="Z22" s="1809"/>
      <c r="AA22" s="1806">
        <v>1</v>
      </c>
      <c r="AB22" s="1806">
        <v>1</v>
      </c>
      <c r="AC22" s="2667">
        <v>1</v>
      </c>
    </row>
    <row r="23" spans="1:29" ht="15">
      <c r="A23" s="428"/>
      <c r="B23" s="631" t="s">
        <v>2673</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8"/>
      <c r="Q23" s="1805" t="str">
        <f>B23</f>
        <v>环境质量</v>
      </c>
      <c r="R23" s="774" t="s">
        <v>17</v>
      </c>
      <c r="S23" s="775">
        <f>F23</f>
        <v>100</v>
      </c>
      <c r="T23" s="774" t="s">
        <v>17</v>
      </c>
      <c r="U23" s="775">
        <f>H23</f>
        <v>100</v>
      </c>
      <c r="V23" s="774" t="s">
        <v>17</v>
      </c>
      <c r="W23" s="775">
        <f>J23</f>
        <v>100</v>
      </c>
      <c r="X23" s="1808"/>
      <c r="Y23" s="3167"/>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8"/>
      <c r="Q24" s="1805"/>
      <c r="R24" s="774"/>
      <c r="S24" s="775"/>
      <c r="T24" s="774"/>
      <c r="U24" s="775"/>
      <c r="V24" s="774"/>
      <c r="W24" s="775"/>
      <c r="X24" s="1808"/>
      <c r="Y24" s="3167"/>
      <c r="Z24" s="1809"/>
      <c r="AA24" s="1806">
        <v>1</v>
      </c>
      <c r="AB24" s="1806">
        <v>1</v>
      </c>
      <c r="AC24" s="2667">
        <v>1</v>
      </c>
    </row>
    <row r="25" spans="1:29" ht="28.8">
      <c r="A25" s="404"/>
      <c r="B25" s="631" t="s">
        <v>2674</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8"/>
      <c r="Q25" s="1805" t="str">
        <f>B25</f>
        <v>毗邻道路的类型与等级</v>
      </c>
      <c r="R25" s="774" t="s">
        <v>17</v>
      </c>
      <c r="S25" s="775">
        <f>F25</f>
        <v>100</v>
      </c>
      <c r="T25" s="774" t="s">
        <v>17</v>
      </c>
      <c r="U25" s="775">
        <f>H25</f>
        <v>100</v>
      </c>
      <c r="V25" s="774" t="s">
        <v>17</v>
      </c>
      <c r="W25" s="775">
        <f>J25</f>
        <v>100</v>
      </c>
      <c r="X25" s="1808"/>
      <c r="Y25" s="3167"/>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8"/>
      <c r="Q26" s="1805"/>
      <c r="R26" s="774"/>
      <c r="S26" s="775"/>
      <c r="T26" s="774"/>
      <c r="U26" s="775"/>
      <c r="V26" s="774"/>
      <c r="W26" s="775"/>
      <c r="X26" s="1808"/>
      <c r="Y26" s="3167"/>
      <c r="Z26" s="1809"/>
      <c r="AA26" s="1806">
        <v>1</v>
      </c>
      <c r="AB26" s="1806">
        <v>1</v>
      </c>
      <c r="AC26" s="2667">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8"/>
      <c r="Q27" s="1805" t="str">
        <f t="shared" ref="Q27:Q47" si="11">B27</f>
        <v>楼层</v>
      </c>
      <c r="R27" s="774" t="s">
        <v>17</v>
      </c>
      <c r="S27" s="775">
        <f>F27</f>
        <v>100</v>
      </c>
      <c r="T27" s="774" t="s">
        <v>17</v>
      </c>
      <c r="U27" s="775">
        <f>H27</f>
        <v>100</v>
      </c>
      <c r="V27" s="774" t="s">
        <v>17</v>
      </c>
      <c r="W27" s="775">
        <f>J27</f>
        <v>100</v>
      </c>
      <c r="X27" s="1808"/>
      <c r="Y27" s="3167"/>
      <c r="Z27" s="1809" t="str">
        <f>Q27</f>
        <v>楼层</v>
      </c>
      <c r="AA27" s="1806">
        <f t="shared" si="3"/>
        <v>1</v>
      </c>
      <c r="AB27" s="1806">
        <f t="shared" si="4"/>
        <v>1</v>
      </c>
      <c r="AC27" s="2667">
        <f t="shared" si="5"/>
        <v>1</v>
      </c>
    </row>
    <row r="28" spans="1:29" s="117" customFormat="1" ht="15">
      <c r="A28" s="431"/>
      <c r="B28" s="631" t="s">
        <v>2675</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8"/>
      <c r="Q28" s="1790" t="str">
        <f t="shared" si="11"/>
        <v>朝向</v>
      </c>
      <c r="R28" s="770" t="s">
        <v>17</v>
      </c>
      <c r="S28" s="771">
        <f>F28</f>
        <v>100</v>
      </c>
      <c r="T28" s="770" t="s">
        <v>17</v>
      </c>
      <c r="U28" s="771">
        <f>H28</f>
        <v>100</v>
      </c>
      <c r="V28" s="770" t="s">
        <v>17</v>
      </c>
      <c r="W28" s="771">
        <f>J28</f>
        <v>100</v>
      </c>
      <c r="X28" s="772"/>
      <c r="Y28" s="3167"/>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8"/>
      <c r="Q29" s="1805">
        <f t="shared" si="11"/>
        <v>111</v>
      </c>
      <c r="R29" s="774" t="s">
        <v>17</v>
      </c>
      <c r="S29" s="775">
        <f t="shared" ref="S29:S47" si="12">F29</f>
        <v>100</v>
      </c>
      <c r="T29" s="774" t="s">
        <v>17</v>
      </c>
      <c r="U29" s="775">
        <f t="shared" ref="U29:U47" si="13">H29</f>
        <v>100</v>
      </c>
      <c r="V29" s="774" t="s">
        <v>17</v>
      </c>
      <c r="W29" s="775">
        <f t="shared" ref="W29:W47" si="14">J29</f>
        <v>100</v>
      </c>
      <c r="X29" s="1808"/>
      <c r="Y29" s="3167"/>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8"/>
      <c r="Q30" s="1805">
        <f t="shared" si="11"/>
        <v>111</v>
      </c>
      <c r="R30" s="774" t="s">
        <v>17</v>
      </c>
      <c r="S30" s="775">
        <f t="shared" si="12"/>
        <v>100</v>
      </c>
      <c r="T30" s="774" t="s">
        <v>17</v>
      </c>
      <c r="U30" s="775">
        <f t="shared" si="13"/>
        <v>100</v>
      </c>
      <c r="V30" s="774" t="s">
        <v>17</v>
      </c>
      <c r="W30" s="775">
        <f t="shared" si="14"/>
        <v>100</v>
      </c>
      <c r="X30" s="1808"/>
      <c r="Y30" s="3167"/>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8"/>
      <c r="Q31" s="1805">
        <f t="shared" si="11"/>
        <v>111</v>
      </c>
      <c r="R31" s="774" t="s">
        <v>17</v>
      </c>
      <c r="S31" s="775">
        <f t="shared" si="12"/>
        <v>100</v>
      </c>
      <c r="T31" s="774" t="s">
        <v>17</v>
      </c>
      <c r="U31" s="775">
        <f t="shared" si="13"/>
        <v>100</v>
      </c>
      <c r="V31" s="774" t="s">
        <v>17</v>
      </c>
      <c r="W31" s="775">
        <f t="shared" si="14"/>
        <v>100</v>
      </c>
      <c r="X31" s="1808"/>
      <c r="Y31" s="3167"/>
      <c r="Z31" s="1809">
        <f t="shared" si="15"/>
        <v>111</v>
      </c>
      <c r="AA31" s="1806">
        <f t="shared" si="3"/>
        <v>1</v>
      </c>
      <c r="AB31" s="1806">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8"/>
      <c r="Q32" s="1805">
        <f t="shared" si="11"/>
        <v>111</v>
      </c>
      <c r="R32" s="774" t="s">
        <v>17</v>
      </c>
      <c r="S32" s="775">
        <f t="shared" si="12"/>
        <v>100</v>
      </c>
      <c r="T32" s="774" t="s">
        <v>17</v>
      </c>
      <c r="U32" s="775">
        <f t="shared" si="13"/>
        <v>100</v>
      </c>
      <c r="V32" s="774" t="s">
        <v>17</v>
      </c>
      <c r="W32" s="775">
        <f t="shared" si="14"/>
        <v>100</v>
      </c>
      <c r="X32" s="1808"/>
      <c r="Y32" s="3167"/>
      <c r="Z32" s="1809">
        <f t="shared" si="15"/>
        <v>111</v>
      </c>
      <c r="AA32" s="1806">
        <f t="shared" si="3"/>
        <v>1</v>
      </c>
      <c r="AB32" s="1806">
        <f t="shared" si="4"/>
        <v>1</v>
      </c>
      <c r="AC32" s="2667">
        <f t="shared" si="5"/>
        <v>1</v>
      </c>
    </row>
    <row r="33" spans="1:29" ht="15">
      <c r="A33" s="440" t="s">
        <v>2546</v>
      </c>
      <c r="B33" s="71" t="s">
        <v>2676</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33" t="s">
        <v>2548</v>
      </c>
      <c r="Q33" s="1805" t="str">
        <f t="shared" si="11"/>
        <v>建筑类型</v>
      </c>
      <c r="R33" s="774" t="s">
        <v>17</v>
      </c>
      <c r="S33" s="775">
        <f t="shared" si="12"/>
        <v>100</v>
      </c>
      <c r="T33" s="774" t="s">
        <v>17</v>
      </c>
      <c r="U33" s="775">
        <f t="shared" si="13"/>
        <v>100</v>
      </c>
      <c r="V33" s="774" t="s">
        <v>17</v>
      </c>
      <c r="W33" s="775">
        <f t="shared" si="14"/>
        <v>100</v>
      </c>
      <c r="X33" s="1808"/>
      <c r="Y33" s="3169" t="s">
        <v>2548</v>
      </c>
      <c r="Z33" s="1809" t="str">
        <f t="shared" si="15"/>
        <v>建筑类型</v>
      </c>
      <c r="AA33" s="1806">
        <f t="shared" si="3"/>
        <v>1</v>
      </c>
      <c r="AB33" s="1806">
        <f t="shared" si="4"/>
        <v>1</v>
      </c>
      <c r="AC33" s="2667">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4"/>
      <c r="Q34" s="776" t="str">
        <f t="shared" si="11"/>
        <v>项目建筑规模</v>
      </c>
      <c r="R34" s="777" t="s">
        <v>17</v>
      </c>
      <c r="S34" s="778" t="e">
        <f t="shared" si="12"/>
        <v>#N/A</v>
      </c>
      <c r="T34" s="777" t="s">
        <v>17</v>
      </c>
      <c r="U34" s="778" t="e">
        <f t="shared" si="13"/>
        <v>#N/A</v>
      </c>
      <c r="V34" s="777" t="s">
        <v>17</v>
      </c>
      <c r="W34" s="778" t="e">
        <f t="shared" si="14"/>
        <v>#N/A</v>
      </c>
      <c r="X34" s="779"/>
      <c r="Y34" s="3169"/>
      <c r="Z34" s="780" t="str">
        <f t="shared" si="15"/>
        <v>项目建筑规模</v>
      </c>
      <c r="AA34" s="1806" t="e">
        <f t="shared" si="3"/>
        <v>#N/A</v>
      </c>
      <c r="AB34" s="1806" t="e">
        <f t="shared" si="4"/>
        <v>#N/A</v>
      </c>
      <c r="AC34" s="2667"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4"/>
      <c r="Q35" s="1805" t="str">
        <f t="shared" si="11"/>
        <v>建筑结构</v>
      </c>
      <c r="R35" s="774" t="s">
        <v>17</v>
      </c>
      <c r="S35" s="775">
        <f t="shared" si="12"/>
        <v>100</v>
      </c>
      <c r="T35" s="774" t="s">
        <v>17</v>
      </c>
      <c r="U35" s="775">
        <f t="shared" si="13"/>
        <v>100</v>
      </c>
      <c r="V35" s="774" t="s">
        <v>17</v>
      </c>
      <c r="W35" s="775">
        <f t="shared" si="14"/>
        <v>100</v>
      </c>
      <c r="X35" s="1808"/>
      <c r="Y35" s="3169"/>
      <c r="Z35" s="1809" t="str">
        <f t="shared" si="15"/>
        <v>建筑结构</v>
      </c>
      <c r="AA35" s="1806">
        <f t="shared" si="3"/>
        <v>1</v>
      </c>
      <c r="AB35" s="1806">
        <f t="shared" si="4"/>
        <v>1</v>
      </c>
      <c r="AC35" s="2667">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4"/>
      <c r="Q36" s="1805" t="str">
        <f t="shared" si="11"/>
        <v>公共部分装修</v>
      </c>
      <c r="R36" s="774" t="s">
        <v>17</v>
      </c>
      <c r="S36" s="775">
        <f t="shared" si="12"/>
        <v>100</v>
      </c>
      <c r="T36" s="774" t="s">
        <v>17</v>
      </c>
      <c r="U36" s="775">
        <f t="shared" si="13"/>
        <v>100</v>
      </c>
      <c r="V36" s="774" t="s">
        <v>17</v>
      </c>
      <c r="W36" s="775">
        <f t="shared" si="14"/>
        <v>100</v>
      </c>
      <c r="X36" s="1808"/>
      <c r="Y36" s="3169"/>
      <c r="Z36" s="1809" t="str">
        <f t="shared" si="15"/>
        <v>公共部分装修</v>
      </c>
      <c r="AA36" s="1806">
        <f t="shared" si="3"/>
        <v>1</v>
      </c>
      <c r="AB36" s="1806">
        <f t="shared" si="4"/>
        <v>1</v>
      </c>
      <c r="AC36" s="2667">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4"/>
      <c r="Q37" s="1805" t="str">
        <f t="shared" si="11"/>
        <v>成新度</v>
      </c>
      <c r="R37" s="774" t="s">
        <v>17</v>
      </c>
      <c r="S37" s="775" t="e">
        <f t="shared" si="12"/>
        <v>#N/A</v>
      </c>
      <c r="T37" s="774" t="s">
        <v>17</v>
      </c>
      <c r="U37" s="775" t="e">
        <f t="shared" si="13"/>
        <v>#N/A</v>
      </c>
      <c r="V37" s="774" t="s">
        <v>17</v>
      </c>
      <c r="W37" s="775" t="e">
        <f t="shared" si="14"/>
        <v>#N/A</v>
      </c>
      <c r="X37" s="1808"/>
      <c r="Y37" s="3169"/>
      <c r="Z37" s="1809" t="str">
        <f t="shared" si="15"/>
        <v>成新度</v>
      </c>
      <c r="AA37" s="1806" t="e">
        <f t="shared" si="3"/>
        <v>#N/A</v>
      </c>
      <c r="AB37" s="1806" t="e">
        <f t="shared" si="4"/>
        <v>#N/A</v>
      </c>
      <c r="AC37" s="2667"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4"/>
      <c r="Q38" s="1790" t="str">
        <f t="shared" si="11"/>
        <v>写字楼等级</v>
      </c>
      <c r="R38" s="770" t="s">
        <v>17</v>
      </c>
      <c r="S38" s="771">
        <f t="shared" si="12"/>
        <v>100</v>
      </c>
      <c r="T38" s="770" t="s">
        <v>17</v>
      </c>
      <c r="U38" s="771">
        <f t="shared" si="13"/>
        <v>100</v>
      </c>
      <c r="V38" s="770" t="s">
        <v>17</v>
      </c>
      <c r="W38" s="771">
        <f t="shared" si="14"/>
        <v>100</v>
      </c>
      <c r="X38" s="772"/>
      <c r="Y38" s="3169"/>
      <c r="Z38" s="55" t="str">
        <f t="shared" si="15"/>
        <v>写字楼等级</v>
      </c>
      <c r="AA38" s="773">
        <f t="shared" si="3"/>
        <v>1</v>
      </c>
      <c r="AB38" s="773">
        <f t="shared" si="4"/>
        <v>1</v>
      </c>
      <c r="AC38" s="2664">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4" t="s">
        <v>2548</v>
      </c>
      <c r="Q39" s="1805" t="str">
        <f t="shared" si="11"/>
        <v>物业管理</v>
      </c>
      <c r="R39" s="774" t="s">
        <v>17</v>
      </c>
      <c r="S39" s="775">
        <f t="shared" si="12"/>
        <v>100</v>
      </c>
      <c r="T39" s="774" t="s">
        <v>17</v>
      </c>
      <c r="U39" s="775">
        <f t="shared" si="13"/>
        <v>100</v>
      </c>
      <c r="V39" s="774" t="s">
        <v>17</v>
      </c>
      <c r="W39" s="775">
        <f t="shared" si="14"/>
        <v>100</v>
      </c>
      <c r="X39" s="1808"/>
      <c r="Y39" s="3169" t="s">
        <v>2548</v>
      </c>
      <c r="Z39" s="1809" t="str">
        <f t="shared" si="15"/>
        <v>物业管理</v>
      </c>
      <c r="AA39" s="1806">
        <f t="shared" si="3"/>
        <v>1</v>
      </c>
      <c r="AB39" s="1806">
        <f t="shared" si="4"/>
        <v>1</v>
      </c>
      <c r="AC39" s="2667">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4"/>
      <c r="Q40" s="1805" t="str">
        <f t="shared" si="11"/>
        <v>市政基础设施</v>
      </c>
      <c r="R40" s="774" t="s">
        <v>17</v>
      </c>
      <c r="S40" s="775">
        <f t="shared" si="12"/>
        <v>100</v>
      </c>
      <c r="T40" s="774" t="s">
        <v>17</v>
      </c>
      <c r="U40" s="775">
        <f t="shared" si="13"/>
        <v>100</v>
      </c>
      <c r="V40" s="774" t="s">
        <v>17</v>
      </c>
      <c r="W40" s="775">
        <f t="shared" si="14"/>
        <v>100</v>
      </c>
      <c r="X40" s="1808"/>
      <c r="Y40" s="3169"/>
      <c r="Z40" s="1809" t="str">
        <f t="shared" si="15"/>
        <v>市政基础设施</v>
      </c>
      <c r="AA40" s="1806">
        <f t="shared" si="3"/>
        <v>1</v>
      </c>
      <c r="AB40" s="1806">
        <f t="shared" si="4"/>
        <v>1</v>
      </c>
      <c r="AC40" s="2667">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4"/>
      <c r="Q41" s="1805" t="str">
        <f t="shared" si="11"/>
        <v>层高</v>
      </c>
      <c r="R41" s="774" t="s">
        <v>17</v>
      </c>
      <c r="S41" s="775">
        <f t="shared" si="12"/>
        <v>100</v>
      </c>
      <c r="T41" s="774" t="s">
        <v>17</v>
      </c>
      <c r="U41" s="775">
        <f t="shared" si="13"/>
        <v>100</v>
      </c>
      <c r="V41" s="774" t="s">
        <v>17</v>
      </c>
      <c r="W41" s="775">
        <f t="shared" si="14"/>
        <v>100</v>
      </c>
      <c r="X41" s="1808"/>
      <c r="Y41" s="3169"/>
      <c r="Z41" s="1809" t="str">
        <f t="shared" si="15"/>
        <v>层高</v>
      </c>
      <c r="AA41" s="1806">
        <f t="shared" si="3"/>
        <v>1</v>
      </c>
      <c r="AB41" s="1806">
        <f t="shared" si="4"/>
        <v>1</v>
      </c>
      <c r="AC41" s="2667">
        <f t="shared" si="5"/>
        <v>1</v>
      </c>
    </row>
    <row r="42" spans="1:29" s="471" customFormat="1" ht="15">
      <c r="A42" s="468"/>
      <c r="B42" s="1807"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4"/>
      <c r="Q42" s="776" t="str">
        <f t="shared" si="11"/>
        <v>单套建筑面积</v>
      </c>
      <c r="R42" s="777" t="s">
        <v>17</v>
      </c>
      <c r="S42" s="778">
        <f t="shared" si="12"/>
        <v>100</v>
      </c>
      <c r="T42" s="777" t="s">
        <v>17</v>
      </c>
      <c r="U42" s="778">
        <f t="shared" si="13"/>
        <v>100</v>
      </c>
      <c r="V42" s="777" t="s">
        <v>17</v>
      </c>
      <c r="W42" s="778">
        <f t="shared" si="14"/>
        <v>100</v>
      </c>
      <c r="X42" s="779"/>
      <c r="Y42" s="3169"/>
      <c r="Z42" s="780" t="str">
        <f t="shared" si="15"/>
        <v>单套建筑面积</v>
      </c>
      <c r="AA42" s="1806">
        <f t="shared" si="3"/>
        <v>1</v>
      </c>
      <c r="AB42" s="1806">
        <f t="shared" si="4"/>
        <v>1</v>
      </c>
      <c r="AC42" s="2667">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4"/>
      <c r="Q43" s="1805" t="str">
        <f t="shared" si="11"/>
        <v>内部装修</v>
      </c>
      <c r="R43" s="774" t="s">
        <v>17</v>
      </c>
      <c r="S43" s="775">
        <f t="shared" si="12"/>
        <v>100</v>
      </c>
      <c r="T43" s="774" t="s">
        <v>17</v>
      </c>
      <c r="U43" s="775">
        <f t="shared" si="13"/>
        <v>100</v>
      </c>
      <c r="V43" s="774" t="s">
        <v>17</v>
      </c>
      <c r="W43" s="775">
        <f t="shared" si="14"/>
        <v>100</v>
      </c>
      <c r="X43" s="1808"/>
      <c r="Y43" s="3169"/>
      <c r="Z43" s="1809" t="str">
        <f t="shared" si="15"/>
        <v>内部装修</v>
      </c>
      <c r="AA43" s="1806">
        <f t="shared" si="3"/>
        <v>1</v>
      </c>
      <c r="AB43" s="1806">
        <f t="shared" si="4"/>
        <v>1</v>
      </c>
      <c r="AC43" s="2667">
        <f t="shared" si="5"/>
        <v>1</v>
      </c>
    </row>
    <row r="44" spans="1:29" ht="28.8">
      <c r="A44" s="472"/>
      <c r="B44" s="422" t="s">
        <v>2559</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34"/>
      <c r="Q44" s="1805" t="str">
        <f t="shared" si="11"/>
        <v>内部装修维护情况</v>
      </c>
      <c r="R44" s="774" t="s">
        <v>17</v>
      </c>
      <c r="S44" s="775">
        <f t="shared" si="12"/>
        <v>100</v>
      </c>
      <c r="T44" s="774" t="s">
        <v>17</v>
      </c>
      <c r="U44" s="775">
        <f t="shared" si="13"/>
        <v>100</v>
      </c>
      <c r="V44" s="774" t="s">
        <v>17</v>
      </c>
      <c r="W44" s="775">
        <f t="shared" si="14"/>
        <v>100</v>
      </c>
      <c r="X44" s="1808"/>
      <c r="Y44" s="3169"/>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4"/>
      <c r="Q45" s="1790">
        <f t="shared" si="11"/>
        <v>111</v>
      </c>
      <c r="R45" s="770" t="s">
        <v>17</v>
      </c>
      <c r="S45" s="771">
        <f t="shared" si="12"/>
        <v>100</v>
      </c>
      <c r="T45" s="770" t="s">
        <v>17</v>
      </c>
      <c r="U45" s="771">
        <f t="shared" si="13"/>
        <v>100</v>
      </c>
      <c r="V45" s="770" t="s">
        <v>17</v>
      </c>
      <c r="W45" s="771">
        <f t="shared" si="14"/>
        <v>100</v>
      </c>
      <c r="X45" s="772"/>
      <c r="Y45" s="3169"/>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4"/>
      <c r="Q46" s="1805">
        <f t="shared" si="11"/>
        <v>111</v>
      </c>
      <c r="R46" s="774" t="s">
        <v>17</v>
      </c>
      <c r="S46" s="775">
        <f t="shared" si="12"/>
        <v>100</v>
      </c>
      <c r="T46" s="774" t="s">
        <v>17</v>
      </c>
      <c r="U46" s="775">
        <f t="shared" si="13"/>
        <v>100</v>
      </c>
      <c r="V46" s="774" t="s">
        <v>17</v>
      </c>
      <c r="W46" s="775">
        <f t="shared" si="14"/>
        <v>100</v>
      </c>
      <c r="X46" s="1808"/>
      <c r="Y46" s="3169"/>
      <c r="Z46" s="1809">
        <f t="shared" si="15"/>
        <v>111</v>
      </c>
      <c r="AA46" s="1806">
        <f t="shared" si="3"/>
        <v>1</v>
      </c>
      <c r="AB46" s="1806">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5"/>
      <c r="Q47" s="1805">
        <f t="shared" si="11"/>
        <v>111</v>
      </c>
      <c r="R47" s="774" t="s">
        <v>17</v>
      </c>
      <c r="S47" s="775">
        <f t="shared" si="12"/>
        <v>100</v>
      </c>
      <c r="T47" s="774" t="s">
        <v>17</v>
      </c>
      <c r="U47" s="775">
        <f t="shared" si="13"/>
        <v>100</v>
      </c>
      <c r="V47" s="774" t="s">
        <v>17</v>
      </c>
      <c r="W47" s="775">
        <f t="shared" si="14"/>
        <v>100</v>
      </c>
      <c r="X47" s="1808"/>
      <c r="Y47" s="3236"/>
      <c r="Z47" s="1809">
        <f t="shared" si="15"/>
        <v>111</v>
      </c>
      <c r="AA47" s="1806">
        <f t="shared" si="3"/>
        <v>1</v>
      </c>
      <c r="AB47" s="1806">
        <f t="shared" si="4"/>
        <v>1</v>
      </c>
      <c r="AC47" s="2667">
        <f t="shared" si="5"/>
        <v>1</v>
      </c>
    </row>
    <row r="48" spans="1:29" ht="14.4">
      <c r="A48" s="479" t="s">
        <v>2560</v>
      </c>
      <c r="B48" s="480"/>
      <c r="C48" s="1404" t="s">
        <v>1</v>
      </c>
      <c r="D48" s="1405"/>
      <c r="E48" s="1406"/>
      <c r="F48" s="1407"/>
      <c r="G48" s="1408"/>
      <c r="H48" s="1409"/>
      <c r="I48" s="1406"/>
      <c r="J48" s="485"/>
      <c r="K48" s="783"/>
      <c r="L48" s="1140"/>
      <c r="M48" s="1128"/>
      <c r="N48" s="1128"/>
      <c r="O48" s="1128"/>
      <c r="P48" s="3163" t="str">
        <f>A48</f>
        <v>成交单价（元/平方米）</v>
      </c>
      <c r="Q48" s="3164"/>
      <c r="R48" s="3232">
        <f>E48</f>
        <v>0</v>
      </c>
      <c r="S48" s="3232"/>
      <c r="T48" s="3232">
        <f>G48</f>
        <v>0</v>
      </c>
      <c r="U48" s="3232"/>
      <c r="V48" s="3232">
        <f>I48</f>
        <v>0</v>
      </c>
      <c r="W48" s="3232"/>
      <c r="X48" s="446"/>
      <c r="Y48" s="781"/>
      <c r="Z48" s="446"/>
      <c r="AA48" s="446"/>
      <c r="AB48" s="446"/>
      <c r="AC48" s="630"/>
    </row>
    <row r="49" spans="1:29" ht="15" thickBot="1">
      <c r="A49" s="486" t="s">
        <v>2652</v>
      </c>
      <c r="B49" s="487"/>
      <c r="C49" s="1410" t="e">
        <f>R50</f>
        <v>#DIV/0!</v>
      </c>
      <c r="D49" s="1411"/>
      <c r="E49" s="1412" t="e">
        <f>R49</f>
        <v>#DIV/0!</v>
      </c>
      <c r="F49" s="1412"/>
      <c r="G49" s="1410" t="e">
        <f>T49</f>
        <v>#DIV/0!</v>
      </c>
      <c r="H49" s="1411"/>
      <c r="I49" s="1412" t="e">
        <f>V49</f>
        <v>#DIV/0!</v>
      </c>
      <c r="J49" s="489"/>
      <c r="K49" s="784"/>
      <c r="L49" s="1140"/>
      <c r="M49" s="1128"/>
      <c r="N49" s="1128"/>
      <c r="O49" s="1128"/>
      <c r="P49" s="3163" t="str">
        <f>A49</f>
        <v>比较价值（元/平方米）</v>
      </c>
      <c r="Q49" s="3164"/>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 thickBot="1">
      <c r="A50" s="492" t="s">
        <v>2653</v>
      </c>
      <c r="B50" s="493"/>
      <c r="C50" s="1414" t="e">
        <f>R50</f>
        <v>#DIV/0!</v>
      </c>
      <c r="D50" s="1414"/>
      <c r="E50" s="1414"/>
      <c r="F50" s="1414"/>
      <c r="G50" s="1414"/>
      <c r="H50" s="1414"/>
      <c r="I50" s="1414"/>
      <c r="J50" s="494"/>
      <c r="K50" s="785"/>
      <c r="L50" s="1140"/>
      <c r="M50" s="1128"/>
      <c r="N50" s="1128"/>
      <c r="O50" s="1128"/>
      <c r="P50" s="3239" t="str">
        <f>A50</f>
        <v>估价对象XX用房的比较价值（楼面单价，元/平方米）</v>
      </c>
      <c r="Q50" s="3240"/>
      <c r="R50" s="3241" t="e">
        <f>IF(F1="售价",ROUND(AVERAGE(R49:V49),0),ROUND(AVERAGE(R49:V49),1))</f>
        <v>#DIV/0!</v>
      </c>
      <c r="S50" s="3241"/>
      <c r="T50" s="3241"/>
      <c r="U50" s="3241"/>
      <c r="V50" s="3241"/>
      <c r="W50" s="3241"/>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2.2" thickBot="1">
      <c r="A58" s="763" t="s">
        <v>2657</v>
      </c>
      <c r="B58" s="759"/>
      <c r="C58" s="764"/>
      <c r="D58" s="764"/>
      <c r="E58" s="764"/>
      <c r="F58" s="765"/>
      <c r="G58" s="765"/>
      <c r="H58" s="764"/>
      <c r="I58" s="764"/>
      <c r="J58" s="764"/>
      <c r="K58" s="766"/>
      <c r="L58" s="1158"/>
      <c r="M58" s="1156"/>
      <c r="N58" s="1156"/>
      <c r="O58" s="1156"/>
      <c r="P58" s="2674"/>
      <c r="Q58" s="504"/>
    </row>
    <row r="59" spans="1:29" s="508" customFormat="1" ht="14.4">
      <c r="A59" s="505" t="s">
        <v>2531</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c r="A60" s="509"/>
      <c r="B60" s="510"/>
      <c r="C60" s="1568">
        <v>100</v>
      </c>
      <c r="D60" s="512"/>
      <c r="E60" s="512"/>
      <c r="F60" s="512"/>
      <c r="G60" s="512"/>
      <c r="H60" s="512"/>
      <c r="I60" s="512"/>
      <c r="J60" s="512"/>
      <c r="K60" s="512"/>
      <c r="L60" s="512"/>
      <c r="M60" s="513"/>
      <c r="N60" s="512"/>
      <c r="O60" s="513"/>
      <c r="P60" s="2675"/>
    </row>
    <row r="61" spans="1:29" s="117" customFormat="1" ht="15" thickBot="1">
      <c r="A61" s="515" t="s">
        <v>2568</v>
      </c>
      <c r="B61" s="516"/>
      <c r="C61" s="517"/>
      <c r="D61" s="518"/>
      <c r="E61" s="518"/>
      <c r="F61" s="518"/>
      <c r="G61" s="518"/>
      <c r="H61" s="518"/>
      <c r="I61" s="518"/>
      <c r="J61" s="518"/>
      <c r="K61" s="518"/>
      <c r="L61" s="518"/>
      <c r="M61" s="519"/>
      <c r="N61" s="518"/>
      <c r="O61" s="519"/>
      <c r="P61" s="2675"/>
      <c r="Q61" s="504"/>
    </row>
    <row r="62" spans="1:29" s="117" customFormat="1" ht="14.4">
      <c r="A62" s="521" t="s">
        <v>2533</v>
      </c>
      <c r="B62" s="510"/>
      <c r="C62" s="522" t="s">
        <v>2635</v>
      </c>
      <c r="D62" s="523"/>
      <c r="E62" s="523"/>
      <c r="F62" s="523"/>
      <c r="G62" s="523"/>
      <c r="H62" s="523"/>
      <c r="I62" s="523"/>
      <c r="J62" s="523"/>
      <c r="K62" s="523"/>
      <c r="L62" s="524"/>
      <c r="M62" s="525"/>
      <c r="N62" s="1148"/>
      <c r="O62" s="1148"/>
      <c r="P62" s="2676"/>
      <c r="Q62" s="504"/>
    </row>
    <row r="63" spans="1:29" s="117" customFormat="1" ht="14.4" thickBot="1">
      <c r="A63" s="521"/>
      <c r="B63" s="510"/>
      <c r="C63" s="511">
        <v>100</v>
      </c>
      <c r="D63" s="512"/>
      <c r="E63" s="512"/>
      <c r="F63" s="512"/>
      <c r="G63" s="512"/>
      <c r="H63" s="512"/>
      <c r="I63" s="512"/>
      <c r="J63" s="512"/>
      <c r="K63" s="512"/>
      <c r="L63" s="512"/>
      <c r="M63" s="514"/>
      <c r="N63" s="1148"/>
      <c r="O63" s="1148"/>
      <c r="P63" s="2675"/>
      <c r="Q63" s="504"/>
    </row>
    <row r="64" spans="1:29" ht="14.4">
      <c r="A64" s="527" t="s">
        <v>2571</v>
      </c>
      <c r="B64" s="528" t="s">
        <v>2537</v>
      </c>
      <c r="C64" s="529">
        <f>C9</f>
        <v>0</v>
      </c>
      <c r="D64" s="530"/>
      <c r="E64" s="530"/>
      <c r="F64" s="530"/>
      <c r="G64" s="530"/>
      <c r="H64" s="530"/>
      <c r="I64" s="530"/>
      <c r="J64" s="530"/>
      <c r="K64" s="531"/>
      <c r="L64" s="532"/>
      <c r="M64" s="533"/>
      <c r="N64" s="1149"/>
      <c r="O64" s="1149"/>
      <c r="P64" s="2677"/>
      <c r="Q64" s="504"/>
    </row>
    <row r="65" spans="1:17" ht="14.4" thickBot="1">
      <c r="A65" s="534"/>
      <c r="B65" s="535"/>
      <c r="C65" s="536">
        <v>100</v>
      </c>
      <c r="D65" s="536"/>
      <c r="E65" s="536"/>
      <c r="F65" s="536"/>
      <c r="G65" s="536"/>
      <c r="H65" s="536"/>
      <c r="I65" s="536"/>
      <c r="J65" s="536"/>
      <c r="K65" s="536"/>
      <c r="L65" s="536"/>
      <c r="M65" s="537"/>
      <c r="N65" s="1150"/>
      <c r="O65" s="1150"/>
      <c r="P65" s="2677"/>
      <c r="Q65" s="504"/>
    </row>
    <row r="66" spans="1:17" ht="29.4" thickTop="1">
      <c r="A66" s="534"/>
      <c r="B66" s="538" t="s">
        <v>2540</v>
      </c>
      <c r="C66" s="539" t="s">
        <v>2572</v>
      </c>
      <c r="D66" s="539" t="s">
        <v>2573</v>
      </c>
      <c r="E66" s="539" t="s">
        <v>2574</v>
      </c>
      <c r="F66" s="539" t="s">
        <v>2575</v>
      </c>
      <c r="G66" s="539" t="s">
        <v>2576</v>
      </c>
      <c r="H66" s="539" t="s">
        <v>2577</v>
      </c>
      <c r="I66" s="539" t="s">
        <v>2578</v>
      </c>
      <c r="J66" s="539"/>
      <c r="K66" s="540"/>
      <c r="L66" s="541"/>
      <c r="M66" s="542"/>
      <c r="N66" s="1149"/>
      <c r="O66" s="1149"/>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c r="A69" s="534"/>
      <c r="B69" s="548"/>
      <c r="C69" s="549"/>
      <c r="D69" s="549"/>
      <c r="E69" s="549"/>
      <c r="F69" s="549"/>
      <c r="G69" s="549"/>
      <c r="H69" s="549"/>
      <c r="I69" s="549"/>
      <c r="J69" s="549"/>
      <c r="K69" s="550"/>
      <c r="L69" s="551"/>
      <c r="M69" s="552"/>
      <c r="N69" s="1149"/>
      <c r="O69" s="1149"/>
      <c r="P69" s="267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4.4" thickTop="1">
      <c r="A71" s="553"/>
      <c r="B71" s="538">
        <f>B12</f>
        <v>111</v>
      </c>
      <c r="C71" s="554"/>
      <c r="D71" s="554"/>
      <c r="E71" s="554"/>
      <c r="F71" s="554"/>
      <c r="G71" s="554"/>
      <c r="H71" s="555"/>
      <c r="I71" s="555"/>
      <c r="J71" s="555"/>
      <c r="K71" s="555"/>
      <c r="L71" s="556"/>
      <c r="M71" s="557"/>
      <c r="N71" s="1151"/>
      <c r="O71" s="1151"/>
      <c r="P71" s="2678"/>
      <c r="Q71" s="559"/>
    </row>
    <row r="72" spans="1:17" s="471" customFormat="1" ht="14.4" thickBot="1">
      <c r="A72" s="553"/>
      <c r="B72" s="543"/>
      <c r="C72" s="560"/>
      <c r="D72" s="536"/>
      <c r="E72" s="536"/>
      <c r="F72" s="536"/>
      <c r="G72" s="536"/>
      <c r="H72" s="536"/>
      <c r="I72" s="536"/>
      <c r="J72" s="536"/>
      <c r="K72" s="536"/>
      <c r="L72" s="536"/>
      <c r="M72" s="537"/>
      <c r="N72" s="1150"/>
      <c r="O72" s="1150"/>
      <c r="P72" s="2678"/>
      <c r="Q72" s="559"/>
    </row>
    <row r="73" spans="1:17" s="471" customFormat="1" ht="14.4" thickTop="1">
      <c r="A73" s="553"/>
      <c r="B73" s="538">
        <f>B13</f>
        <v>111</v>
      </c>
      <c r="C73" s="554"/>
      <c r="D73" s="554"/>
      <c r="E73" s="554"/>
      <c r="F73" s="554"/>
      <c r="G73" s="554"/>
      <c r="H73" s="555"/>
      <c r="I73" s="555"/>
      <c r="J73" s="555"/>
      <c r="K73" s="555"/>
      <c r="L73" s="556"/>
      <c r="M73" s="557"/>
      <c r="N73" s="1151"/>
      <c r="O73" s="1151"/>
      <c r="P73" s="2679"/>
      <c r="Q73" s="561"/>
    </row>
    <row r="74" spans="1:17" s="471" customFormat="1" ht="14.4" thickBot="1">
      <c r="A74" s="553"/>
      <c r="B74" s="543"/>
      <c r="C74" s="560"/>
      <c r="D74" s="560"/>
      <c r="E74" s="560"/>
      <c r="F74" s="560"/>
      <c r="G74" s="560"/>
      <c r="H74" s="562"/>
      <c r="I74" s="562"/>
      <c r="J74" s="562"/>
      <c r="K74" s="562"/>
      <c r="L74" s="562"/>
      <c r="M74" s="563"/>
      <c r="N74" s="1151"/>
      <c r="O74" s="1151"/>
      <c r="P74" s="2678"/>
      <c r="Q74" s="559"/>
    </row>
    <row r="75" spans="1:17" s="471" customFormat="1" ht="14.4" thickTop="1">
      <c r="A75" s="553"/>
      <c r="B75" s="546">
        <f>B14</f>
        <v>111</v>
      </c>
      <c r="C75" s="523"/>
      <c r="D75" s="523"/>
      <c r="E75" s="523"/>
      <c r="F75" s="523"/>
      <c r="G75" s="523"/>
      <c r="H75" s="564"/>
      <c r="I75" s="564"/>
      <c r="J75" s="564"/>
      <c r="K75" s="564"/>
      <c r="L75" s="565"/>
      <c r="M75" s="566"/>
      <c r="N75" s="1151"/>
      <c r="O75" s="1151"/>
      <c r="P75" s="2680"/>
      <c r="Q75" s="559"/>
    </row>
    <row r="76" spans="1:17" s="471" customFormat="1" ht="14.4" thickBot="1">
      <c r="A76" s="568"/>
      <c r="B76" s="569"/>
      <c r="C76" s="570"/>
      <c r="D76" s="570"/>
      <c r="E76" s="570"/>
      <c r="F76" s="570"/>
      <c r="G76" s="570"/>
      <c r="H76" s="571"/>
      <c r="I76" s="571"/>
      <c r="J76" s="571"/>
      <c r="K76" s="571"/>
      <c r="L76" s="571"/>
      <c r="M76" s="572"/>
      <c r="N76" s="1151"/>
      <c r="O76" s="1151"/>
      <c r="P76" s="2678"/>
      <c r="Q76" s="559"/>
    </row>
    <row r="77" spans="1:17" ht="14.4">
      <c r="A77" s="527" t="s">
        <v>2542</v>
      </c>
      <c r="B77" s="528" t="s">
        <v>2680</v>
      </c>
      <c r="C77" s="573" t="s">
        <v>2580</v>
      </c>
      <c r="D77" s="573" t="s">
        <v>2581</v>
      </c>
      <c r="E77" s="573" t="s">
        <v>2582</v>
      </c>
      <c r="F77" s="573" t="s">
        <v>2583</v>
      </c>
      <c r="G77" s="573" t="s">
        <v>2584</v>
      </c>
      <c r="H77" s="529"/>
      <c r="I77" s="529"/>
      <c r="J77" s="529"/>
      <c r="K77" s="574"/>
      <c r="L77" s="575"/>
      <c r="M77" s="576"/>
      <c r="N77" s="1149"/>
      <c r="O77" s="1149"/>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 thickTop="1">
      <c r="A79" s="534"/>
      <c r="B79" s="538" t="s">
        <v>2585</v>
      </c>
      <c r="C79" s="578" t="s">
        <v>2580</v>
      </c>
      <c r="D79" s="578" t="s">
        <v>2581</v>
      </c>
      <c r="E79" s="578" t="s">
        <v>2582</v>
      </c>
      <c r="F79" s="578" t="s">
        <v>2583</v>
      </c>
      <c r="G79" s="578" t="s">
        <v>2584</v>
      </c>
      <c r="H79" s="539"/>
      <c r="I79" s="539"/>
      <c r="J79" s="539"/>
      <c r="K79" s="540"/>
      <c r="L79" s="541"/>
      <c r="M79" s="542"/>
      <c r="N79" s="1149"/>
      <c r="O79" s="1149"/>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 thickTop="1">
      <c r="A81" s="534"/>
      <c r="B81" s="538" t="s">
        <v>2586</v>
      </c>
      <c r="C81" s="578" t="s">
        <v>2580</v>
      </c>
      <c r="D81" s="578" t="s">
        <v>2581</v>
      </c>
      <c r="E81" s="578" t="s">
        <v>2582</v>
      </c>
      <c r="F81" s="578" t="s">
        <v>2583</v>
      </c>
      <c r="G81" s="578" t="s">
        <v>2584</v>
      </c>
      <c r="H81" s="539"/>
      <c r="I81" s="539"/>
      <c r="J81" s="539"/>
      <c r="K81" s="540"/>
      <c r="L81" s="541"/>
      <c r="M81" s="542"/>
      <c r="N81" s="1149"/>
      <c r="O81" s="1149"/>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 thickTop="1">
      <c r="A83" s="534"/>
      <c r="B83" s="546" t="s">
        <v>2672</v>
      </c>
      <c r="C83" s="660" t="s">
        <v>2658</v>
      </c>
      <c r="D83" s="660" t="s">
        <v>2659</v>
      </c>
      <c r="E83" s="660" t="s">
        <v>2660</v>
      </c>
      <c r="F83" s="660" t="s">
        <v>2661</v>
      </c>
      <c r="G83" s="660" t="s">
        <v>2662</v>
      </c>
      <c r="H83" s="539"/>
      <c r="I83" s="539"/>
      <c r="J83" s="539"/>
      <c r="K83" s="539"/>
      <c r="L83" s="539"/>
      <c r="M83" s="1379"/>
      <c r="N83" s="1150"/>
      <c r="O83" s="1150"/>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 thickTop="1">
      <c r="A85" s="534"/>
      <c r="B85" s="538" t="s">
        <v>2681</v>
      </c>
      <c r="C85" s="578" t="s">
        <v>2580</v>
      </c>
      <c r="D85" s="578" t="s">
        <v>2581</v>
      </c>
      <c r="E85" s="578" t="s">
        <v>2582</v>
      </c>
      <c r="F85" s="578" t="s">
        <v>2583</v>
      </c>
      <c r="G85" s="578" t="s">
        <v>2584</v>
      </c>
      <c r="H85" s="539"/>
      <c r="I85" s="539"/>
      <c r="J85" s="539"/>
      <c r="K85" s="540"/>
      <c r="L85" s="541"/>
      <c r="M85" s="542"/>
      <c r="N85" s="1149"/>
      <c r="O85" s="1149"/>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9.4" thickTop="1">
      <c r="A87" s="579"/>
      <c r="B87" s="538" t="s">
        <v>2682</v>
      </c>
      <c r="C87" s="554"/>
      <c r="D87" s="554"/>
      <c r="E87" s="554"/>
      <c r="F87" s="554"/>
      <c r="G87" s="554"/>
      <c r="H87" s="554"/>
      <c r="I87" s="554"/>
      <c r="J87" s="554"/>
      <c r="K87" s="554"/>
      <c r="L87" s="580"/>
      <c r="M87" s="581"/>
      <c r="N87" s="1148"/>
      <c r="O87" s="1148"/>
      <c r="P87" s="267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4.4"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4.4" thickTop="1">
      <c r="A93" s="534"/>
      <c r="B93" s="538">
        <f>B29</f>
        <v>111</v>
      </c>
      <c r="C93" s="554"/>
      <c r="D93" s="554"/>
      <c r="E93" s="554"/>
      <c r="F93" s="554"/>
      <c r="G93" s="554"/>
      <c r="H93" s="554"/>
      <c r="I93" s="554"/>
      <c r="J93" s="554"/>
      <c r="K93" s="554"/>
      <c r="L93" s="580"/>
      <c r="M93" s="581"/>
      <c r="N93" s="1149"/>
      <c r="O93" s="1149"/>
      <c r="P93" s="2677"/>
      <c r="Q93" s="504"/>
    </row>
    <row r="94" spans="1:17" ht="14.4" thickBot="1">
      <c r="A94" s="534"/>
      <c r="B94" s="543"/>
      <c r="C94" s="560"/>
      <c r="D94" s="536"/>
      <c r="E94" s="536"/>
      <c r="F94" s="536"/>
      <c r="G94" s="536"/>
      <c r="H94" s="536"/>
      <c r="I94" s="536"/>
      <c r="J94" s="536"/>
      <c r="K94" s="536"/>
      <c r="L94" s="536"/>
      <c r="M94" s="537"/>
      <c r="N94" s="1150"/>
      <c r="O94" s="1150"/>
      <c r="P94" s="2677"/>
      <c r="Q94" s="504"/>
    </row>
    <row r="95" spans="1:17" ht="14.4" thickTop="1">
      <c r="A95" s="534"/>
      <c r="B95" s="538">
        <f>B30</f>
        <v>111</v>
      </c>
      <c r="C95" s="554"/>
      <c r="D95" s="554"/>
      <c r="E95" s="554"/>
      <c r="F95" s="554"/>
      <c r="G95" s="583"/>
      <c r="H95" s="583"/>
      <c r="I95" s="583"/>
      <c r="J95" s="583"/>
      <c r="K95" s="584"/>
      <c r="L95" s="585"/>
      <c r="M95" s="586"/>
      <c r="N95" s="1149"/>
      <c r="O95" s="1149"/>
      <c r="P95" s="2677"/>
      <c r="Q95" s="504"/>
    </row>
    <row r="96" spans="1:17" ht="14.4" thickBot="1">
      <c r="A96" s="534"/>
      <c r="B96" s="543"/>
      <c r="C96" s="560"/>
      <c r="D96" s="560"/>
      <c r="E96" s="560"/>
      <c r="F96" s="560"/>
      <c r="G96" s="536"/>
      <c r="H96" s="536"/>
      <c r="I96" s="536"/>
      <c r="J96" s="536"/>
      <c r="K96" s="536"/>
      <c r="L96" s="536"/>
      <c r="M96" s="537"/>
      <c r="N96" s="1150"/>
      <c r="O96" s="1150"/>
      <c r="P96" s="2677"/>
      <c r="Q96" s="504"/>
    </row>
    <row r="97" spans="1:17" ht="14.4" thickTop="1">
      <c r="A97" s="534"/>
      <c r="B97" s="538">
        <f>B31</f>
        <v>111</v>
      </c>
      <c r="C97" s="554"/>
      <c r="D97" s="554"/>
      <c r="E97" s="554"/>
      <c r="F97" s="554"/>
      <c r="G97" s="583"/>
      <c r="H97" s="583"/>
      <c r="I97" s="583"/>
      <c r="J97" s="583"/>
      <c r="K97" s="584"/>
      <c r="L97" s="585"/>
      <c r="M97" s="586"/>
      <c r="N97" s="1149"/>
      <c r="O97" s="1149"/>
      <c r="P97" s="2677"/>
      <c r="Q97" s="504"/>
    </row>
    <row r="98" spans="1:17" ht="14.4" thickBot="1">
      <c r="A98" s="534"/>
      <c r="B98" s="543"/>
      <c r="C98" s="560"/>
      <c r="D98" s="536"/>
      <c r="E98" s="536"/>
      <c r="F98" s="536"/>
      <c r="G98" s="536"/>
      <c r="H98" s="536"/>
      <c r="I98" s="536"/>
      <c r="J98" s="536"/>
      <c r="K98" s="536"/>
      <c r="L98" s="536"/>
      <c r="M98" s="537"/>
      <c r="N98" s="1150"/>
      <c r="O98" s="1150"/>
      <c r="P98" s="2677"/>
      <c r="Q98" s="504"/>
    </row>
    <row r="99" spans="1:17" ht="14.4" thickTop="1">
      <c r="A99" s="534"/>
      <c r="B99" s="546">
        <f>B32</f>
        <v>111</v>
      </c>
      <c r="C99" s="523"/>
      <c r="D99" s="523"/>
      <c r="E99" s="523"/>
      <c r="F99" s="523"/>
      <c r="G99" s="587"/>
      <c r="H99" s="587"/>
      <c r="I99" s="587"/>
      <c r="J99" s="587"/>
      <c r="K99" s="588"/>
      <c r="L99" s="589"/>
      <c r="M99" s="590"/>
      <c r="N99" s="1149"/>
      <c r="O99" s="1149"/>
      <c r="P99" s="2677"/>
      <c r="Q99" s="504"/>
    </row>
    <row r="100" spans="1:17" ht="14.4" thickBot="1">
      <c r="A100" s="2629"/>
      <c r="B100" s="569"/>
      <c r="C100" s="570"/>
      <c r="D100" s="570"/>
      <c r="E100" s="570"/>
      <c r="F100" s="570"/>
      <c r="G100" s="591"/>
      <c r="H100" s="591"/>
      <c r="I100" s="591"/>
      <c r="J100" s="591"/>
      <c r="K100" s="591"/>
      <c r="L100" s="591"/>
      <c r="M100" s="592"/>
      <c r="N100" s="1150"/>
      <c r="O100" s="1150"/>
      <c r="P100" s="2677"/>
      <c r="Q100" s="504"/>
    </row>
    <row r="101" spans="1:17" ht="14.4">
      <c r="A101" s="527" t="s">
        <v>2546</v>
      </c>
      <c r="B101" s="528" t="s">
        <v>2595</v>
      </c>
      <c r="C101" s="530"/>
      <c r="D101" s="530"/>
      <c r="E101" s="530"/>
      <c r="F101" s="530"/>
      <c r="G101" s="530"/>
      <c r="H101" s="530"/>
      <c r="I101" s="530"/>
      <c r="J101" s="530"/>
      <c r="K101" s="531"/>
      <c r="L101" s="532"/>
      <c r="M101" s="533"/>
      <c r="N101" s="1149"/>
      <c r="O101" s="1149"/>
      <c r="P101" s="267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2597</v>
      </c>
      <c r="C106" s="554"/>
      <c r="D106" s="554"/>
      <c r="E106" s="583"/>
      <c r="F106" s="583"/>
      <c r="G106" s="583"/>
      <c r="H106" s="583"/>
      <c r="I106" s="583"/>
      <c r="J106" s="583"/>
      <c r="K106" s="584"/>
      <c r="L106" s="585"/>
      <c r="M106" s="586"/>
      <c r="N106" s="1149"/>
      <c r="O106" s="1149"/>
      <c r="P106" s="267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2599</v>
      </c>
      <c r="C108" s="554"/>
      <c r="D108" s="554"/>
      <c r="E108" s="554"/>
      <c r="F108" s="583"/>
      <c r="G108" s="583"/>
      <c r="H108" s="583"/>
      <c r="I108" s="583"/>
      <c r="J108" s="583"/>
      <c r="K108" s="584"/>
      <c r="L108" s="585"/>
      <c r="M108" s="586"/>
      <c r="N108" s="1149"/>
      <c r="O108" s="1149"/>
      <c r="P108" s="267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2683</v>
      </c>
      <c r="C113" s="554"/>
      <c r="D113" s="554"/>
      <c r="E113" s="554"/>
      <c r="F113" s="554"/>
      <c r="G113" s="554"/>
      <c r="H113" s="583"/>
      <c r="I113" s="583"/>
      <c r="J113" s="583"/>
      <c r="K113" s="584"/>
      <c r="L113" s="585"/>
      <c r="M113" s="586"/>
      <c r="N113" s="1151"/>
      <c r="O113" s="1151"/>
      <c r="P113" s="267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2600</v>
      </c>
      <c r="C115" s="554"/>
      <c r="D115" s="554"/>
      <c r="E115" s="583"/>
      <c r="F115" s="583"/>
      <c r="G115" s="583"/>
      <c r="H115" s="583"/>
      <c r="I115" s="583"/>
      <c r="J115" s="583"/>
      <c r="K115" s="584"/>
      <c r="L115" s="585"/>
      <c r="M115" s="586"/>
      <c r="N115" s="1149"/>
      <c r="O115" s="1149"/>
      <c r="P115" s="267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2601</v>
      </c>
      <c r="C117" s="554"/>
      <c r="D117" s="554"/>
      <c r="E117" s="554"/>
      <c r="F117" s="554"/>
      <c r="G117" s="554"/>
      <c r="H117" s="583"/>
      <c r="I117" s="583"/>
      <c r="J117" s="583"/>
      <c r="K117" s="584"/>
      <c r="L117" s="585"/>
      <c r="M117" s="586"/>
      <c r="N117" s="1149"/>
      <c r="O117" s="1149"/>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2684</v>
      </c>
      <c r="C119" s="583"/>
      <c r="D119" s="583"/>
      <c r="E119" s="583"/>
      <c r="F119" s="583"/>
      <c r="G119" s="583"/>
      <c r="H119" s="583"/>
      <c r="I119" s="583"/>
      <c r="J119" s="583"/>
      <c r="K119" s="583"/>
      <c r="L119" s="2682"/>
      <c r="M119" s="2683"/>
      <c r="N119" s="1150"/>
      <c r="O119" s="1150"/>
      <c r="P119" s="268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2667</v>
      </c>
      <c r="C121" s="554"/>
      <c r="D121" s="554"/>
      <c r="E121" s="554"/>
      <c r="F121" s="583"/>
      <c r="G121" s="555"/>
      <c r="H121" s="555"/>
      <c r="I121" s="555"/>
      <c r="J121" s="555"/>
      <c r="K121" s="555"/>
      <c r="L121" s="556"/>
      <c r="M121" s="557"/>
      <c r="N121" s="1151"/>
      <c r="O121" s="1151"/>
      <c r="P121" s="2678"/>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2603</v>
      </c>
      <c r="C123" s="554"/>
      <c r="D123" s="554"/>
      <c r="E123" s="554"/>
      <c r="F123" s="583"/>
      <c r="G123" s="583"/>
      <c r="H123" s="583"/>
      <c r="I123" s="583"/>
      <c r="J123" s="583"/>
      <c r="K123" s="584"/>
      <c r="L123" s="585"/>
      <c r="M123" s="586"/>
      <c r="N123" s="1149"/>
      <c r="O123" s="1149"/>
      <c r="P123" s="267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29.4" thickTop="1">
      <c r="A125" s="599"/>
      <c r="B125" s="538" t="s">
        <v>2604</v>
      </c>
      <c r="C125" s="578" t="s">
        <v>2580</v>
      </c>
      <c r="D125" s="578" t="s">
        <v>2581</v>
      </c>
      <c r="E125" s="578" t="s">
        <v>2582</v>
      </c>
      <c r="F125" s="578" t="s">
        <v>2583</v>
      </c>
      <c r="G125" s="578" t="s">
        <v>2584</v>
      </c>
      <c r="H125" s="539"/>
      <c r="I125" s="539"/>
      <c r="J125" s="539"/>
      <c r="K125" s="540"/>
      <c r="L125" s="541"/>
      <c r="M125" s="542"/>
      <c r="N125" s="1149"/>
      <c r="O125" s="1149"/>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8"/>
      <c r="Q128" s="559"/>
    </row>
    <row r="129" spans="1:17" ht="14.4" thickTop="1">
      <c r="A129" s="599"/>
      <c r="B129" s="538">
        <f>B46</f>
        <v>111</v>
      </c>
      <c r="C129" s="554"/>
      <c r="D129" s="554"/>
      <c r="E129" s="554"/>
      <c r="F129" s="554"/>
      <c r="G129" s="583"/>
      <c r="H129" s="583"/>
      <c r="I129" s="583"/>
      <c r="J129" s="583"/>
      <c r="K129" s="584"/>
      <c r="L129" s="585"/>
      <c r="M129" s="586"/>
      <c r="N129" s="1149"/>
      <c r="O129" s="1149"/>
      <c r="P129" s="2677"/>
      <c r="Q129" s="504"/>
    </row>
    <row r="130" spans="1:17" ht="14.4" thickBot="1">
      <c r="A130" s="534"/>
      <c r="B130" s="543"/>
      <c r="C130" s="560"/>
      <c r="D130" s="560"/>
      <c r="E130" s="560"/>
      <c r="F130" s="560"/>
      <c r="G130" s="536"/>
      <c r="H130" s="536"/>
      <c r="I130" s="536"/>
      <c r="J130" s="536"/>
      <c r="K130" s="536"/>
      <c r="L130" s="536"/>
      <c r="M130" s="537"/>
      <c r="N130" s="1150"/>
      <c r="O130" s="1150"/>
      <c r="P130" s="2677"/>
      <c r="Q130" s="504"/>
    </row>
    <row r="131" spans="1:17" ht="14.4" thickTop="1">
      <c r="A131" s="599"/>
      <c r="B131" s="546">
        <f>B47</f>
        <v>111</v>
      </c>
      <c r="C131" s="523"/>
      <c r="D131" s="523"/>
      <c r="E131" s="523"/>
      <c r="F131" s="523"/>
      <c r="G131" s="587"/>
      <c r="H131" s="587"/>
      <c r="I131" s="587"/>
      <c r="J131" s="587"/>
      <c r="K131" s="523"/>
      <c r="L131" s="524"/>
      <c r="M131" s="590"/>
      <c r="N131" s="1149"/>
      <c r="O131" s="1149"/>
      <c r="P131" s="2677"/>
      <c r="Q131" s="504"/>
    </row>
    <row r="132" spans="1:17" ht="14.4"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2511</v>
      </c>
      <c r="B1" s="2662" t="s">
        <v>2685</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IF(C2="——",ROUND(C43*D3/10000,0),ROUND(C43*D3/10000,0)-D2)</f>
        <v>#DIV/0!</v>
      </c>
      <c r="C2" s="2579"/>
      <c r="D2" s="1121"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2" t="s">
        <v>2631</v>
      </c>
      <c r="AC4" s="3171" t="s">
        <v>2632</v>
      </c>
    </row>
    <row r="5" spans="1:29">
      <c r="A5" s="404"/>
      <c r="B5" s="405"/>
      <c r="C5" s="3191" t="s">
        <v>2525</v>
      </c>
      <c r="D5" s="3192"/>
      <c r="E5" s="3198" t="s">
        <v>2526</v>
      </c>
      <c r="F5" s="3199"/>
      <c r="G5" s="3191" t="s">
        <v>2527</v>
      </c>
      <c r="H5" s="3192"/>
      <c r="I5" s="3191" t="s">
        <v>2528</v>
      </c>
      <c r="J5" s="3192"/>
      <c r="K5" s="610"/>
      <c r="L5" s="1127"/>
      <c r="M5" s="1128"/>
      <c r="N5" s="1128"/>
      <c r="O5" s="1128"/>
      <c r="P5" s="3179"/>
      <c r="Q5" s="3180"/>
      <c r="R5" s="3185"/>
      <c r="S5" s="3186"/>
      <c r="T5" s="3185"/>
      <c r="U5" s="3186"/>
      <c r="V5" s="3170"/>
      <c r="W5" s="3170"/>
      <c r="X5" s="1808"/>
      <c r="Y5" s="3185"/>
      <c r="Z5" s="3186"/>
      <c r="AA5" s="3172"/>
      <c r="AB5" s="3172"/>
      <c r="AC5" s="3172"/>
    </row>
    <row r="6" spans="1:29" ht="15" thickBot="1">
      <c r="A6" s="406"/>
      <c r="B6" s="407"/>
      <c r="C6" s="3189" t="s">
        <v>2529</v>
      </c>
      <c r="D6" s="3190"/>
      <c r="E6" s="3196" t="s">
        <v>2529</v>
      </c>
      <c r="F6" s="3197"/>
      <c r="G6" s="3189" t="s">
        <v>2529</v>
      </c>
      <c r="H6" s="3190"/>
      <c r="I6" s="3189" t="s">
        <v>2529</v>
      </c>
      <c r="J6" s="3190"/>
      <c r="K6" s="610" t="s">
        <v>2530</v>
      </c>
      <c r="L6" s="1127"/>
      <c r="M6" s="1128"/>
      <c r="N6" s="1128"/>
      <c r="O6" s="1128"/>
      <c r="P6" s="3181"/>
      <c r="Q6" s="3182"/>
      <c r="R6" s="3185"/>
      <c r="S6" s="3186"/>
      <c r="T6" s="3187"/>
      <c r="U6" s="3188"/>
      <c r="V6" s="3170"/>
      <c r="W6" s="3170"/>
      <c r="X6" s="1808"/>
      <c r="Y6" s="3187"/>
      <c r="Z6" s="3188"/>
      <c r="AA6" s="3173"/>
      <c r="AB6" s="3173"/>
      <c r="AC6" s="3173"/>
    </row>
    <row r="7" spans="1:29" s="117" customFormat="1" ht="15" thickBot="1">
      <c r="A7" s="408" t="s">
        <v>2531</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3" t="s">
        <v>2532</v>
      </c>
      <c r="Q7" s="3195"/>
      <c r="R7" s="770" t="s">
        <v>17</v>
      </c>
      <c r="S7" s="771">
        <f t="shared" ref="S7:S15" si="0">F7</f>
        <v>0</v>
      </c>
      <c r="T7" s="770" t="s">
        <v>17</v>
      </c>
      <c r="U7" s="771">
        <f t="shared" ref="U7:U15" si="1">H7</f>
        <v>0</v>
      </c>
      <c r="V7" s="770" t="s">
        <v>17</v>
      </c>
      <c r="W7" s="771">
        <f t="shared" ref="W7:W15" si="2">J7</f>
        <v>0</v>
      </c>
      <c r="X7" s="772"/>
      <c r="Y7" s="3193" t="s">
        <v>2532</v>
      </c>
      <c r="Z7" s="3194"/>
      <c r="AA7" s="773" t="e">
        <f>D7/F7</f>
        <v>#DIV/0!</v>
      </c>
      <c r="AB7" s="773" t="e">
        <f>D7/H7</f>
        <v>#DIV/0!</v>
      </c>
      <c r="AC7" s="773" t="e">
        <f>D7/J7</f>
        <v>#DIV/0!</v>
      </c>
    </row>
    <row r="8" spans="1:29" s="117" customFormat="1" ht="1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3" t="s">
        <v>2535</v>
      </c>
      <c r="Q8" s="3194"/>
      <c r="R8" s="770" t="s">
        <v>17</v>
      </c>
      <c r="S8" s="771">
        <f t="shared" si="0"/>
        <v>0</v>
      </c>
      <c r="T8" s="770" t="s">
        <v>17</v>
      </c>
      <c r="U8" s="771">
        <f t="shared" si="1"/>
        <v>0</v>
      </c>
      <c r="V8" s="770" t="s">
        <v>17</v>
      </c>
      <c r="W8" s="771">
        <f t="shared" si="2"/>
        <v>0</v>
      </c>
      <c r="X8" s="772"/>
      <c r="Y8" s="3193" t="s">
        <v>2535</v>
      </c>
      <c r="Z8" s="3194"/>
      <c r="AA8" s="773" t="e">
        <f t="shared" ref="AA8:AA40" si="3">D8/F8</f>
        <v>#DIV/0!</v>
      </c>
      <c r="AB8" s="773" t="e">
        <f t="shared" ref="AB8:AB40" si="4">D8/H8</f>
        <v>#DIV/0!</v>
      </c>
      <c r="AC8" s="773" t="e">
        <f t="shared" ref="AC8:AC40" si="5">D8/J8</f>
        <v>#DIV/0!</v>
      </c>
    </row>
    <row r="9" spans="1:29" s="117" customFormat="1" ht="14.4">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4" t="s">
        <v>2538</v>
      </c>
      <c r="Q9" s="1790"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4"/>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4"/>
      <c r="Q11" s="1790"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64"/>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64"/>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64"/>
      <c r="Q14" s="1790">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2542</v>
      </c>
      <c r="B15" s="69" t="s">
        <v>2686</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66" t="s">
        <v>2543</v>
      </c>
      <c r="Q15" s="1805" t="str">
        <f t="shared" si="6"/>
        <v>产业集聚程度</v>
      </c>
      <c r="R15" s="774" t="s">
        <v>17</v>
      </c>
      <c r="S15" s="775">
        <f t="shared" si="0"/>
        <v>100</v>
      </c>
      <c r="T15" s="774" t="s">
        <v>17</v>
      </c>
      <c r="U15" s="775">
        <f t="shared" si="1"/>
        <v>100</v>
      </c>
      <c r="V15" s="774" t="s">
        <v>17</v>
      </c>
      <c r="W15" s="775">
        <f t="shared" si="2"/>
        <v>100</v>
      </c>
      <c r="X15" s="1808"/>
      <c r="Y15" s="3166" t="s">
        <v>2543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67"/>
      <c r="Q16" s="1805"/>
      <c r="R16" s="774"/>
      <c r="S16" s="775"/>
      <c r="T16" s="774"/>
      <c r="U16" s="775"/>
      <c r="V16" s="774"/>
      <c r="W16" s="775"/>
      <c r="X16" s="1808"/>
      <c r="Y16" s="3167"/>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67"/>
      <c r="Q17" s="1805" t="str">
        <f>B17</f>
        <v>交通便捷度</v>
      </c>
      <c r="R17" s="774" t="s">
        <v>17</v>
      </c>
      <c r="S17" s="775">
        <f>F17</f>
        <v>100</v>
      </c>
      <c r="T17" s="774" t="s">
        <v>17</v>
      </c>
      <c r="U17" s="775">
        <f>H17</f>
        <v>100</v>
      </c>
      <c r="V17" s="774" t="s">
        <v>17</v>
      </c>
      <c r="W17" s="775">
        <f>J17</f>
        <v>100</v>
      </c>
      <c r="X17" s="1808"/>
      <c r="Y17" s="3167"/>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67"/>
      <c r="Q18" s="1805"/>
      <c r="R18" s="774"/>
      <c r="S18" s="775"/>
      <c r="T18" s="774"/>
      <c r="U18" s="775"/>
      <c r="V18" s="774"/>
      <c r="W18" s="775"/>
      <c r="X18" s="1808"/>
      <c r="Y18" s="3167"/>
      <c r="Z18" s="1809"/>
      <c r="AA18" s="1806">
        <v>1</v>
      </c>
      <c r="AB18" s="1806">
        <v>1</v>
      </c>
      <c r="AC18" s="1806">
        <v>1</v>
      </c>
    </row>
    <row r="19" spans="1:29" ht="15">
      <c r="A19" s="428"/>
      <c r="B19" s="451" t="s">
        <v>2671</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67"/>
      <c r="Q19" s="1805" t="str">
        <f>B19</f>
        <v>公共配套设施</v>
      </c>
      <c r="R19" s="774" t="s">
        <v>17</v>
      </c>
      <c r="S19" s="775">
        <f>F19</f>
        <v>100</v>
      </c>
      <c r="T19" s="774" t="s">
        <v>17</v>
      </c>
      <c r="U19" s="775">
        <f>H19</f>
        <v>100</v>
      </c>
      <c r="V19" s="774" t="s">
        <v>17</v>
      </c>
      <c r="W19" s="775">
        <f>J19</f>
        <v>100</v>
      </c>
      <c r="X19" s="1808"/>
      <c r="Y19" s="3167"/>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67"/>
      <c r="Q20" s="1805"/>
      <c r="R20" s="774"/>
      <c r="S20" s="775"/>
      <c r="T20" s="774"/>
      <c r="U20" s="775"/>
      <c r="V20" s="774"/>
      <c r="W20" s="775"/>
      <c r="X20" s="1808"/>
      <c r="Y20" s="3167"/>
      <c r="Z20" s="1809"/>
      <c r="AA20" s="1806">
        <v>1</v>
      </c>
      <c r="AB20" s="1806">
        <v>1</v>
      </c>
      <c r="AC20" s="1806">
        <v>1</v>
      </c>
    </row>
    <row r="21" spans="1:29" ht="15">
      <c r="A21" s="428"/>
      <c r="B21" s="1381" t="s">
        <v>2672</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67"/>
      <c r="Q21" s="1805" t="str">
        <f>B21</f>
        <v>基础设施水平</v>
      </c>
      <c r="R21" s="774" t="s">
        <v>17</v>
      </c>
      <c r="S21" s="775">
        <f>F21</f>
        <v>100</v>
      </c>
      <c r="T21" s="774" t="s">
        <v>17</v>
      </c>
      <c r="U21" s="775">
        <f>H21</f>
        <v>100</v>
      </c>
      <c r="V21" s="774" t="s">
        <v>17</v>
      </c>
      <c r="W21" s="775">
        <f>J21</f>
        <v>100</v>
      </c>
      <c r="X21" s="1808"/>
      <c r="Y21" s="3167"/>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67"/>
      <c r="Q22" s="1805"/>
      <c r="R22" s="774"/>
      <c r="S22" s="775"/>
      <c r="T22" s="774"/>
      <c r="U22" s="775"/>
      <c r="V22" s="774"/>
      <c r="W22" s="775"/>
      <c r="X22" s="1808"/>
      <c r="Y22" s="3167"/>
      <c r="Z22" s="1809"/>
      <c r="AA22" s="1806">
        <v>1</v>
      </c>
      <c r="AB22" s="1806">
        <v>1</v>
      </c>
      <c r="AC22" s="1806">
        <v>1</v>
      </c>
    </row>
    <row r="23" spans="1:29" ht="15">
      <c r="A23" s="428"/>
      <c r="B23" s="451" t="s">
        <v>2673</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67"/>
      <c r="Q23" s="1805" t="str">
        <f>B23</f>
        <v>环境质量</v>
      </c>
      <c r="R23" s="774" t="s">
        <v>17</v>
      </c>
      <c r="S23" s="775">
        <f>F23</f>
        <v>100</v>
      </c>
      <c r="T23" s="774" t="s">
        <v>17</v>
      </c>
      <c r="U23" s="775">
        <f>H23</f>
        <v>100</v>
      </c>
      <c r="V23" s="774" t="s">
        <v>17</v>
      </c>
      <c r="W23" s="775">
        <f>J23</f>
        <v>100</v>
      </c>
      <c r="X23" s="1808"/>
      <c r="Y23" s="3167"/>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67"/>
      <c r="Q24" s="1805"/>
      <c r="R24" s="774"/>
      <c r="S24" s="775"/>
      <c r="T24" s="774"/>
      <c r="U24" s="775"/>
      <c r="V24" s="774"/>
      <c r="W24" s="775"/>
      <c r="X24" s="1808"/>
      <c r="Y24" s="3167"/>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67"/>
      <c r="Q25" s="1805">
        <f>B25</f>
        <v>111</v>
      </c>
      <c r="R25" s="774" t="s">
        <v>17</v>
      </c>
      <c r="S25" s="775">
        <f>F25</f>
        <v>100</v>
      </c>
      <c r="T25" s="774" t="s">
        <v>17</v>
      </c>
      <c r="U25" s="775">
        <f>H25</f>
        <v>100</v>
      </c>
      <c r="V25" s="774" t="s">
        <v>17</v>
      </c>
      <c r="W25" s="775">
        <f>J25</f>
        <v>100</v>
      </c>
      <c r="X25" s="1808"/>
      <c r="Y25" s="3167"/>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67"/>
      <c r="Q26" s="1805">
        <f t="shared" ref="Q26:Q40" si="11">B26</f>
        <v>111</v>
      </c>
      <c r="R26" s="774" t="s">
        <v>17</v>
      </c>
      <c r="S26" s="775">
        <f>F26</f>
        <v>100</v>
      </c>
      <c r="T26" s="774" t="s">
        <v>17</v>
      </c>
      <c r="U26" s="775">
        <f>H26</f>
        <v>100</v>
      </c>
      <c r="V26" s="774" t="s">
        <v>17</v>
      </c>
      <c r="W26" s="775">
        <f>J26</f>
        <v>100</v>
      </c>
      <c r="X26" s="1808"/>
      <c r="Y26" s="3167"/>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67"/>
      <c r="Q27" s="1790">
        <f t="shared" si="11"/>
        <v>111</v>
      </c>
      <c r="R27" s="770" t="s">
        <v>17</v>
      </c>
      <c r="S27" s="771">
        <f>F27</f>
        <v>100</v>
      </c>
      <c r="T27" s="770" t="s">
        <v>17</v>
      </c>
      <c r="U27" s="771">
        <f>H27</f>
        <v>100</v>
      </c>
      <c r="V27" s="770" t="s">
        <v>17</v>
      </c>
      <c r="W27" s="771">
        <f>J27</f>
        <v>100</v>
      </c>
      <c r="X27" s="772"/>
      <c r="Y27" s="3167"/>
      <c r="Z27" s="55">
        <f>Q27</f>
        <v>111</v>
      </c>
      <c r="AA27" s="1806">
        <f>D27/F27</f>
        <v>1</v>
      </c>
      <c r="AB27" s="1806">
        <f>D27/H27</f>
        <v>1</v>
      </c>
      <c r="AC27" s="1806">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67"/>
      <c r="Q28" s="1805">
        <f t="shared" si="11"/>
        <v>111</v>
      </c>
      <c r="R28" s="774" t="s">
        <v>17</v>
      </c>
      <c r="S28" s="775">
        <f t="shared" ref="S28:S40" si="12">F28</f>
        <v>100</v>
      </c>
      <c r="T28" s="774" t="s">
        <v>17</v>
      </c>
      <c r="U28" s="775">
        <f t="shared" ref="U28:U40" si="13">H28</f>
        <v>100</v>
      </c>
      <c r="V28" s="774" t="s">
        <v>17</v>
      </c>
      <c r="W28" s="775">
        <f t="shared" ref="W28:W40" si="14">J28</f>
        <v>100</v>
      </c>
      <c r="X28" s="1808"/>
      <c r="Y28" s="3167"/>
      <c r="Z28" s="1809">
        <f t="shared" ref="Z28:Z40" si="15">Q28</f>
        <v>111</v>
      </c>
      <c r="AA28" s="1806">
        <f t="shared" si="3"/>
        <v>1</v>
      </c>
      <c r="AB28" s="1806">
        <f t="shared" si="4"/>
        <v>1</v>
      </c>
      <c r="AC28" s="1806">
        <f t="shared" si="5"/>
        <v>1</v>
      </c>
    </row>
    <row r="29" spans="1:29" ht="30">
      <c r="A29" s="466" t="s">
        <v>2546</v>
      </c>
      <c r="B29" s="71" t="s">
        <v>2676</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68" t="s">
        <v>2548</v>
      </c>
      <c r="Q29" s="1805" t="str">
        <f t="shared" si="11"/>
        <v>建筑类型</v>
      </c>
      <c r="R29" s="774" t="s">
        <v>17</v>
      </c>
      <c r="S29" s="775">
        <f t="shared" si="12"/>
        <v>100</v>
      </c>
      <c r="T29" s="774" t="s">
        <v>17</v>
      </c>
      <c r="U29" s="775">
        <f t="shared" si="13"/>
        <v>100</v>
      </c>
      <c r="V29" s="774" t="s">
        <v>17</v>
      </c>
      <c r="W29" s="775">
        <f t="shared" si="14"/>
        <v>100</v>
      </c>
      <c r="X29" s="1808"/>
      <c r="Y29" s="3169" t="s">
        <v>2548</v>
      </c>
      <c r="Z29" s="1809" t="str">
        <f t="shared" si="15"/>
        <v>建筑类型</v>
      </c>
      <c r="AA29" s="1806">
        <f t="shared" si="3"/>
        <v>1</v>
      </c>
      <c r="AB29" s="1806">
        <f t="shared" si="4"/>
        <v>1</v>
      </c>
      <c r="AC29" s="1806">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69"/>
      <c r="Q30" s="776" t="str">
        <f t="shared" si="11"/>
        <v>项目建筑规模</v>
      </c>
      <c r="R30" s="777" t="s">
        <v>17</v>
      </c>
      <c r="S30" s="778" t="e">
        <f t="shared" si="12"/>
        <v>#N/A</v>
      </c>
      <c r="T30" s="777" t="s">
        <v>17</v>
      </c>
      <c r="U30" s="778" t="e">
        <f t="shared" si="13"/>
        <v>#N/A</v>
      </c>
      <c r="V30" s="777" t="s">
        <v>17</v>
      </c>
      <c r="W30" s="778" t="e">
        <f t="shared" si="14"/>
        <v>#N/A</v>
      </c>
      <c r="X30" s="779"/>
      <c r="Y30" s="3169"/>
      <c r="Z30" s="780" t="str">
        <f t="shared" si="15"/>
        <v>项目建筑规模</v>
      </c>
      <c r="AA30" s="1806" t="e">
        <f t="shared" si="3"/>
        <v>#N/A</v>
      </c>
      <c r="AB30" s="1806" t="e">
        <f t="shared" si="4"/>
        <v>#N/A</v>
      </c>
      <c r="AC30" s="1806"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69"/>
      <c r="Q31" s="1805" t="str">
        <f t="shared" si="11"/>
        <v>建筑结构</v>
      </c>
      <c r="R31" s="774" t="s">
        <v>17</v>
      </c>
      <c r="S31" s="775">
        <f t="shared" si="12"/>
        <v>100</v>
      </c>
      <c r="T31" s="774" t="s">
        <v>17</v>
      </c>
      <c r="U31" s="775">
        <f t="shared" si="13"/>
        <v>100</v>
      </c>
      <c r="V31" s="774" t="s">
        <v>17</v>
      </c>
      <c r="W31" s="775">
        <f t="shared" si="14"/>
        <v>100</v>
      </c>
      <c r="X31" s="1808"/>
      <c r="Y31" s="3169"/>
      <c r="Z31" s="1809" t="str">
        <f t="shared" si="15"/>
        <v>建筑结构</v>
      </c>
      <c r="AA31" s="1806">
        <f t="shared" si="3"/>
        <v>1</v>
      </c>
      <c r="AB31" s="1806">
        <f t="shared" si="4"/>
        <v>1</v>
      </c>
      <c r="AC31" s="1806">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69"/>
      <c r="Q32" s="1805" t="str">
        <f t="shared" si="11"/>
        <v>公共部分装修</v>
      </c>
      <c r="R32" s="774" t="s">
        <v>17</v>
      </c>
      <c r="S32" s="775">
        <f t="shared" si="12"/>
        <v>100</v>
      </c>
      <c r="T32" s="774" t="s">
        <v>17</v>
      </c>
      <c r="U32" s="775">
        <f t="shared" si="13"/>
        <v>100</v>
      </c>
      <c r="V32" s="774" t="s">
        <v>17</v>
      </c>
      <c r="W32" s="775">
        <f t="shared" si="14"/>
        <v>100</v>
      </c>
      <c r="X32" s="1808"/>
      <c r="Y32" s="3169"/>
      <c r="Z32" s="1809" t="str">
        <f t="shared" si="15"/>
        <v>公共部分装修</v>
      </c>
      <c r="AA32" s="1806">
        <f t="shared" si="3"/>
        <v>1</v>
      </c>
      <c r="AB32" s="1806">
        <f t="shared" si="4"/>
        <v>1</v>
      </c>
      <c r="AC32" s="1806">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69"/>
      <c r="Q33" s="1805" t="str">
        <f t="shared" si="11"/>
        <v>成新度</v>
      </c>
      <c r="R33" s="774" t="s">
        <v>17</v>
      </c>
      <c r="S33" s="775" t="e">
        <f t="shared" si="12"/>
        <v>#N/A</v>
      </c>
      <c r="T33" s="774" t="s">
        <v>17</v>
      </c>
      <c r="U33" s="775" t="e">
        <f t="shared" si="13"/>
        <v>#N/A</v>
      </c>
      <c r="V33" s="774" t="s">
        <v>17</v>
      </c>
      <c r="W33" s="775" t="e">
        <f t="shared" si="14"/>
        <v>#N/A</v>
      </c>
      <c r="X33" s="1808"/>
      <c r="Y33" s="3169"/>
      <c r="Z33" s="1809" t="str">
        <f t="shared" si="15"/>
        <v>成新度</v>
      </c>
      <c r="AA33" s="1806" t="e">
        <f t="shared" si="3"/>
        <v>#N/A</v>
      </c>
      <c r="AB33" s="1806" t="e">
        <f t="shared" si="4"/>
        <v>#N/A</v>
      </c>
      <c r="AC33" s="1806"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69"/>
      <c r="Q34" s="1790" t="str">
        <f t="shared" si="11"/>
        <v>物业管理</v>
      </c>
      <c r="R34" s="770" t="s">
        <v>17</v>
      </c>
      <c r="S34" s="771">
        <f t="shared" si="12"/>
        <v>100</v>
      </c>
      <c r="T34" s="770" t="s">
        <v>17</v>
      </c>
      <c r="U34" s="771">
        <f t="shared" si="13"/>
        <v>100</v>
      </c>
      <c r="V34" s="770" t="s">
        <v>17</v>
      </c>
      <c r="W34" s="771">
        <f t="shared" si="14"/>
        <v>100</v>
      </c>
      <c r="X34" s="772"/>
      <c r="Y34" s="3169"/>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69" t="s">
        <v>2548</v>
      </c>
      <c r="Q35" s="1805" t="str">
        <f t="shared" si="11"/>
        <v>市政基础设施</v>
      </c>
      <c r="R35" s="774" t="s">
        <v>17</v>
      </c>
      <c r="S35" s="775">
        <f t="shared" si="12"/>
        <v>100</v>
      </c>
      <c r="T35" s="774" t="s">
        <v>17</v>
      </c>
      <c r="U35" s="775">
        <f t="shared" si="13"/>
        <v>100</v>
      </c>
      <c r="V35" s="774" t="s">
        <v>17</v>
      </c>
      <c r="W35" s="775">
        <f t="shared" si="14"/>
        <v>100</v>
      </c>
      <c r="X35" s="1808"/>
      <c r="Y35" s="3169" t="s">
        <v>2548</v>
      </c>
      <c r="Z35" s="1809" t="str">
        <f t="shared" si="15"/>
        <v>市政基础设施</v>
      </c>
      <c r="AA35" s="1806">
        <f t="shared" si="3"/>
        <v>1</v>
      </c>
      <c r="AB35" s="1806">
        <f t="shared" si="4"/>
        <v>1</v>
      </c>
      <c r="AC35" s="1806">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69"/>
      <c r="Q36" s="1805" t="str">
        <f t="shared" si="11"/>
        <v>内部装修</v>
      </c>
      <c r="R36" s="774" t="s">
        <v>17</v>
      </c>
      <c r="S36" s="775">
        <f t="shared" si="12"/>
        <v>100</v>
      </c>
      <c r="T36" s="774" t="s">
        <v>17</v>
      </c>
      <c r="U36" s="775">
        <f t="shared" si="13"/>
        <v>100</v>
      </c>
      <c r="V36" s="774" t="s">
        <v>17</v>
      </c>
      <c r="W36" s="775">
        <f t="shared" si="14"/>
        <v>100</v>
      </c>
      <c r="X36" s="1808"/>
      <c r="Y36" s="3169"/>
      <c r="Z36" s="1809" t="str">
        <f t="shared" si="15"/>
        <v>内部装修</v>
      </c>
      <c r="AA36" s="1806">
        <f t="shared" si="3"/>
        <v>1</v>
      </c>
      <c r="AB36" s="1806">
        <f t="shared" si="4"/>
        <v>1</v>
      </c>
      <c r="AC36" s="1806">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69"/>
      <c r="Q37" s="1805" t="str">
        <f t="shared" si="11"/>
        <v>内部装修状况</v>
      </c>
      <c r="R37" s="774" t="s">
        <v>17</v>
      </c>
      <c r="S37" s="775">
        <f t="shared" si="12"/>
        <v>100</v>
      </c>
      <c r="T37" s="774" t="s">
        <v>17</v>
      </c>
      <c r="U37" s="775">
        <f t="shared" si="13"/>
        <v>100</v>
      </c>
      <c r="V37" s="774" t="s">
        <v>17</v>
      </c>
      <c r="W37" s="775">
        <f t="shared" si="14"/>
        <v>100</v>
      </c>
      <c r="X37" s="1808"/>
      <c r="Y37" s="3169"/>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69"/>
      <c r="Q38" s="776">
        <f t="shared" si="11"/>
        <v>111</v>
      </c>
      <c r="R38" s="777" t="s">
        <v>17</v>
      </c>
      <c r="S38" s="778">
        <f t="shared" si="12"/>
        <v>100</v>
      </c>
      <c r="T38" s="777" t="s">
        <v>17</v>
      </c>
      <c r="U38" s="778">
        <f t="shared" si="13"/>
        <v>100</v>
      </c>
      <c r="V38" s="777" t="s">
        <v>17</v>
      </c>
      <c r="W38" s="778">
        <f t="shared" si="14"/>
        <v>100</v>
      </c>
      <c r="X38" s="779"/>
      <c r="Y38" s="3169"/>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69"/>
      <c r="Q39" s="1805">
        <f t="shared" si="11"/>
        <v>111</v>
      </c>
      <c r="R39" s="774" t="s">
        <v>17</v>
      </c>
      <c r="S39" s="775">
        <f t="shared" si="12"/>
        <v>100</v>
      </c>
      <c r="T39" s="774" t="s">
        <v>17</v>
      </c>
      <c r="U39" s="775">
        <f t="shared" si="13"/>
        <v>100</v>
      </c>
      <c r="V39" s="774" t="s">
        <v>17</v>
      </c>
      <c r="W39" s="775">
        <f t="shared" si="14"/>
        <v>100</v>
      </c>
      <c r="X39" s="1808"/>
      <c r="Y39" s="3169"/>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6"/>
      <c r="Q40" s="1805">
        <f t="shared" si="11"/>
        <v>111</v>
      </c>
      <c r="R40" s="774" t="s">
        <v>17</v>
      </c>
      <c r="S40" s="775">
        <f t="shared" si="12"/>
        <v>100</v>
      </c>
      <c r="T40" s="774" t="s">
        <v>17</v>
      </c>
      <c r="U40" s="775">
        <f t="shared" si="13"/>
        <v>100</v>
      </c>
      <c r="V40" s="774" t="s">
        <v>17</v>
      </c>
      <c r="W40" s="775">
        <f t="shared" si="14"/>
        <v>100</v>
      </c>
      <c r="X40" s="1808"/>
      <c r="Y40" s="3236"/>
      <c r="Z40" s="1809">
        <f t="shared" si="15"/>
        <v>111</v>
      </c>
      <c r="AA40" s="1806">
        <f t="shared" si="3"/>
        <v>1</v>
      </c>
      <c r="AB40" s="1806">
        <f t="shared" si="4"/>
        <v>1</v>
      </c>
      <c r="AC40" s="1806">
        <f t="shared" si="5"/>
        <v>1</v>
      </c>
    </row>
    <row r="41" spans="1:29" ht="14.4">
      <c r="A41" s="479" t="s">
        <v>2560</v>
      </c>
      <c r="B41" s="480"/>
      <c r="C41" s="1404" t="s">
        <v>1</v>
      </c>
      <c r="D41" s="1405"/>
      <c r="E41" s="1406"/>
      <c r="F41" s="1407"/>
      <c r="G41" s="1408"/>
      <c r="H41" s="1409"/>
      <c r="I41" s="1406"/>
      <c r="J41" s="1409"/>
      <c r="K41" s="783"/>
      <c r="L41" s="1140"/>
      <c r="M41" s="1141"/>
      <c r="N41" s="1128"/>
      <c r="O41" s="1141"/>
      <c r="P41" s="3164" t="str">
        <f>A41</f>
        <v>成交单价（元/平方米）</v>
      </c>
      <c r="Q41" s="3164"/>
      <c r="R41" s="3232">
        <f>E41</f>
        <v>0</v>
      </c>
      <c r="S41" s="3232"/>
      <c r="T41" s="3232">
        <f>G41</f>
        <v>0</v>
      </c>
      <c r="U41" s="3232"/>
      <c r="V41" s="3232">
        <f>I41</f>
        <v>0</v>
      </c>
      <c r="W41" s="3232"/>
      <c r="X41" s="759"/>
      <c r="Y41" s="781"/>
      <c r="Z41" s="759"/>
      <c r="AA41" s="759"/>
      <c r="AB41" s="759"/>
      <c r="AC41" s="759"/>
    </row>
    <row r="42" spans="1:29" ht="15" thickBot="1">
      <c r="A42" s="486" t="s">
        <v>2652</v>
      </c>
      <c r="B42" s="487"/>
      <c r="C42" s="1410" t="e">
        <f>R43</f>
        <v>#DIV/0!</v>
      </c>
      <c r="D42" s="1411"/>
      <c r="E42" s="1412" t="e">
        <f>R42</f>
        <v>#DIV/0!</v>
      </c>
      <c r="F42" s="1412"/>
      <c r="G42" s="1410" t="e">
        <f>T42</f>
        <v>#DIV/0!</v>
      </c>
      <c r="H42" s="1411"/>
      <c r="I42" s="1412" t="e">
        <f>V42</f>
        <v>#DIV/0!</v>
      </c>
      <c r="J42" s="1411"/>
      <c r="K42" s="784"/>
      <c r="L42" s="1140"/>
      <c r="M42" s="1141"/>
      <c r="N42" s="1128"/>
      <c r="O42" s="1141"/>
      <c r="P42" s="3164" t="str">
        <f>A42</f>
        <v>比较价值（元/平方米）</v>
      </c>
      <c r="Q42" s="3164"/>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 thickBot="1">
      <c r="A43" s="492" t="s">
        <v>2653</v>
      </c>
      <c r="B43" s="493"/>
      <c r="C43" s="1414" t="e">
        <f>R43</f>
        <v>#DIV/0!</v>
      </c>
      <c r="D43" s="1414"/>
      <c r="E43" s="1414"/>
      <c r="F43" s="1414"/>
      <c r="G43" s="1414"/>
      <c r="H43" s="1414"/>
      <c r="I43" s="1414"/>
      <c r="J43" s="1414"/>
      <c r="K43" s="785"/>
      <c r="L43" s="1140"/>
      <c r="M43" s="1141"/>
      <c r="N43" s="1141"/>
      <c r="O43" s="1141"/>
      <c r="P43" s="3158" t="str">
        <f>A43</f>
        <v>估价对象XX用房的比较价值（楼面单价，元/平方米）</v>
      </c>
      <c r="Q43" s="3159"/>
      <c r="R43" s="3231" t="e">
        <f>IF(F1="售价",ROUND(AVERAGE(R42:V42),0),ROUND(AVERAGE(R42:V42),1))</f>
        <v>#DIV/0!</v>
      </c>
      <c r="S43" s="3231"/>
      <c r="T43" s="3231"/>
      <c r="U43" s="3231"/>
      <c r="V43" s="3231"/>
      <c r="W43" s="323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2657</v>
      </c>
      <c r="B51" s="759"/>
      <c r="C51" s="764"/>
      <c r="D51" s="764"/>
      <c r="E51" s="764"/>
      <c r="F51" s="765"/>
      <c r="G51" s="765"/>
      <c r="H51" s="764"/>
      <c r="I51" s="764"/>
      <c r="J51" s="764"/>
      <c r="K51" s="1157"/>
      <c r="L51" s="1158"/>
      <c r="M51" s="1156"/>
      <c r="N51" s="1156"/>
      <c r="O51" s="1156"/>
      <c r="P51" s="503"/>
      <c r="Q51" s="504"/>
    </row>
    <row r="52" spans="1:17" s="508" customFormat="1" ht="14.4">
      <c r="A52" s="505" t="s">
        <v>2531</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2568</v>
      </c>
      <c r="B54" s="516"/>
      <c r="C54" s="517"/>
      <c r="D54" s="518"/>
      <c r="E54" s="518"/>
      <c r="F54" s="518"/>
      <c r="G54" s="518"/>
      <c r="H54" s="518"/>
      <c r="I54" s="518"/>
      <c r="J54" s="518"/>
      <c r="K54" s="518"/>
      <c r="L54" s="518"/>
      <c r="M54" s="519"/>
      <c r="N54" s="518"/>
      <c r="O54" s="520"/>
      <c r="P54" s="504"/>
      <c r="Q54" s="504"/>
    </row>
    <row r="55" spans="1:17" s="117" customFormat="1" ht="14.4">
      <c r="A55" s="521" t="s">
        <v>2533</v>
      </c>
      <c r="B55" s="510"/>
      <c r="C55" s="522" t="s">
        <v>2635</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2571</v>
      </c>
      <c r="B57" s="528" t="s">
        <v>2537</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2540</v>
      </c>
      <c r="C59" s="539" t="s">
        <v>2572</v>
      </c>
      <c r="D59" s="539" t="s">
        <v>2573</v>
      </c>
      <c r="E59" s="539" t="s">
        <v>2574</v>
      </c>
      <c r="F59" s="539" t="s">
        <v>2575</v>
      </c>
      <c r="G59" s="539" t="s">
        <v>2576</v>
      </c>
      <c r="H59" s="539" t="s">
        <v>2577</v>
      </c>
      <c r="I59" s="539" t="s">
        <v>2578</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2542</v>
      </c>
      <c r="B70" s="528" t="s">
        <v>2688</v>
      </c>
      <c r="C70" s="573" t="s">
        <v>2580</v>
      </c>
      <c r="D70" s="573" t="s">
        <v>2581</v>
      </c>
      <c r="E70" s="573" t="s">
        <v>2582</v>
      </c>
      <c r="F70" s="573" t="s">
        <v>2583</v>
      </c>
      <c r="G70" s="573" t="s">
        <v>2584</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2585</v>
      </c>
      <c r="C72" s="578" t="s">
        <v>2580</v>
      </c>
      <c r="D72" s="578" t="s">
        <v>2581</v>
      </c>
      <c r="E72" s="578" t="s">
        <v>2582</v>
      </c>
      <c r="F72" s="578" t="s">
        <v>2583</v>
      </c>
      <c r="G72" s="578" t="s">
        <v>2584</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2586</v>
      </c>
      <c r="C74" s="578" t="s">
        <v>2580</v>
      </c>
      <c r="D74" s="578" t="s">
        <v>2581</v>
      </c>
      <c r="E74" s="578" t="s">
        <v>2582</v>
      </c>
      <c r="F74" s="578" t="s">
        <v>2583</v>
      </c>
      <c r="G74" s="578" t="s">
        <v>2584</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2672</v>
      </c>
      <c r="C76" s="660" t="s">
        <v>2658</v>
      </c>
      <c r="D76" s="660" t="s">
        <v>2659</v>
      </c>
      <c r="E76" s="660" t="s">
        <v>2660</v>
      </c>
      <c r="F76" s="660" t="s">
        <v>2661</v>
      </c>
      <c r="G76" s="660" t="s">
        <v>2662</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2681</v>
      </c>
      <c r="C78" s="578" t="s">
        <v>2580</v>
      </c>
      <c r="D78" s="578" t="s">
        <v>2581</v>
      </c>
      <c r="E78" s="578" t="s">
        <v>2582</v>
      </c>
      <c r="F78" s="578" t="s">
        <v>2583</v>
      </c>
      <c r="G78" s="578" t="s">
        <v>2584</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9"/>
      <c r="B87" s="569"/>
      <c r="C87" s="570"/>
      <c r="D87" s="570"/>
      <c r="E87" s="570"/>
      <c r="F87" s="570"/>
      <c r="G87" s="591"/>
      <c r="H87" s="591"/>
      <c r="I87" s="591"/>
      <c r="J87" s="591"/>
      <c r="K87" s="591"/>
      <c r="L87" s="591"/>
      <c r="M87" s="592"/>
      <c r="N87" s="1150"/>
      <c r="O87" s="1150"/>
      <c r="P87" s="45"/>
      <c r="Q87" s="504"/>
    </row>
    <row r="88" spans="1:17" ht="14.4">
      <c r="A88" s="527" t="s">
        <v>2546</v>
      </c>
      <c r="B88" s="528" t="s">
        <v>2595</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2597</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2599</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2600</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2601</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2603</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2689</v>
      </c>
      <c r="C106" s="578" t="s">
        <v>2580</v>
      </c>
      <c r="D106" s="578" t="s">
        <v>2581</v>
      </c>
      <c r="E106" s="578" t="s">
        <v>2582</v>
      </c>
      <c r="F106" s="578" t="s">
        <v>2583</v>
      </c>
      <c r="G106" s="578" t="s">
        <v>2584</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2690</v>
      </c>
      <c r="B1" s="1614"/>
      <c r="C1" s="1615" t="s">
        <v>2513</v>
      </c>
      <c r="D1" s="1616"/>
      <c r="E1" s="1617"/>
      <c r="F1" s="2577"/>
      <c r="G1" s="1618" t="s">
        <v>2626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2310</v>
      </c>
      <c r="B2" s="1415" t="e">
        <f ca="1">IF(C2="——",IF(B37="元/平方米",ROUND(C39*D3/10000,0),ROUND(F3*C39/10000,0)),IF(B37="元/平方米",ROUND(C39*D3/10000,0),ROUND(F3*C39/10000,0))-D2)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2" t="s">
        <v>2631</v>
      </c>
      <c r="AC4" s="3171" t="s">
        <v>2632</v>
      </c>
    </row>
    <row r="5" spans="1:29">
      <c r="A5" s="404"/>
      <c r="B5" s="405"/>
      <c r="C5" s="3191" t="s">
        <v>2525</v>
      </c>
      <c r="D5" s="3192"/>
      <c r="E5" s="3198" t="s">
        <v>2526</v>
      </c>
      <c r="F5" s="3199"/>
      <c r="G5" s="3191" t="s">
        <v>2527</v>
      </c>
      <c r="H5" s="3192"/>
      <c r="I5" s="3191" t="s">
        <v>2528</v>
      </c>
      <c r="J5" s="3192"/>
      <c r="K5" s="610"/>
      <c r="L5" s="1127"/>
      <c r="M5" s="1128"/>
      <c r="N5" s="1128"/>
      <c r="O5" s="1128"/>
      <c r="P5" s="3179"/>
      <c r="Q5" s="3180"/>
      <c r="R5" s="3185"/>
      <c r="S5" s="3186"/>
      <c r="T5" s="3185"/>
      <c r="U5" s="3186"/>
      <c r="V5" s="3170"/>
      <c r="W5" s="3170"/>
      <c r="X5" s="1808"/>
      <c r="Y5" s="3185"/>
      <c r="Z5" s="3186"/>
      <c r="AA5" s="3172"/>
      <c r="AB5" s="3172"/>
      <c r="AC5" s="3172"/>
    </row>
    <row r="6" spans="1:29" ht="15" thickBot="1">
      <c r="A6" s="406"/>
      <c r="B6" s="407"/>
      <c r="C6" s="3189" t="s">
        <v>2529</v>
      </c>
      <c r="D6" s="3190"/>
      <c r="E6" s="3196" t="s">
        <v>2529</v>
      </c>
      <c r="F6" s="3197"/>
      <c r="G6" s="3189" t="s">
        <v>2529</v>
      </c>
      <c r="H6" s="3190"/>
      <c r="I6" s="3189" t="s">
        <v>2529</v>
      </c>
      <c r="J6" s="3190"/>
      <c r="K6" s="610" t="s">
        <v>2530</v>
      </c>
      <c r="L6" s="1127"/>
      <c r="M6" s="1128"/>
      <c r="N6" s="1128"/>
      <c r="O6" s="1128"/>
      <c r="P6" s="3181"/>
      <c r="Q6" s="3182"/>
      <c r="R6" s="3185"/>
      <c r="S6" s="3186"/>
      <c r="T6" s="3187"/>
      <c r="U6" s="3188"/>
      <c r="V6" s="3170"/>
      <c r="W6" s="3170"/>
      <c r="X6" s="1808"/>
      <c r="Y6" s="3187"/>
      <c r="Z6" s="3188"/>
      <c r="AA6" s="3173"/>
      <c r="AB6" s="3173"/>
      <c r="AC6" s="3173"/>
    </row>
    <row r="7" spans="1:29" s="117" customFormat="1" ht="15" thickBot="1">
      <c r="A7" s="408" t="s">
        <v>2531</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3" t="s">
        <v>2532</v>
      </c>
      <c r="Q7" s="3195"/>
      <c r="R7" s="770" t="s">
        <v>17</v>
      </c>
      <c r="S7" s="771">
        <f t="shared" ref="S7:S14" si="0">F7</f>
        <v>0</v>
      </c>
      <c r="T7" s="770" t="s">
        <v>17</v>
      </c>
      <c r="U7" s="771">
        <f t="shared" ref="U7:U14" si="1">H7</f>
        <v>0</v>
      </c>
      <c r="V7" s="770" t="s">
        <v>17</v>
      </c>
      <c r="W7" s="771">
        <f t="shared" ref="W7:W14" si="2">J7</f>
        <v>0</v>
      </c>
      <c r="X7" s="772"/>
      <c r="Y7" s="3193" t="s">
        <v>2532</v>
      </c>
      <c r="Z7" s="3194"/>
      <c r="AA7" s="773" t="e">
        <f>D7/F7</f>
        <v>#DIV/0!</v>
      </c>
      <c r="AB7" s="773" t="e">
        <f>D7/H7</f>
        <v>#DIV/0!</v>
      </c>
      <c r="AC7" s="773" t="e">
        <f>D7/J7</f>
        <v>#DIV/0!</v>
      </c>
    </row>
    <row r="8" spans="1:29" s="117" customFormat="1" ht="1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3" t="s">
        <v>2535</v>
      </c>
      <c r="Q8" s="3194"/>
      <c r="R8" s="770" t="s">
        <v>17</v>
      </c>
      <c r="S8" s="771">
        <f t="shared" si="0"/>
        <v>0</v>
      </c>
      <c r="T8" s="770" t="s">
        <v>17</v>
      </c>
      <c r="U8" s="771">
        <f t="shared" si="1"/>
        <v>0</v>
      </c>
      <c r="V8" s="770" t="s">
        <v>17</v>
      </c>
      <c r="W8" s="771">
        <f t="shared" si="2"/>
        <v>0</v>
      </c>
      <c r="X8" s="772"/>
      <c r="Y8" s="3193" t="s">
        <v>2535</v>
      </c>
      <c r="Z8" s="3194"/>
      <c r="AA8" s="773" t="e">
        <f t="shared" ref="AA8:AA36" si="3">D8/F8</f>
        <v>#DIV/0!</v>
      </c>
      <c r="AB8" s="773" t="e">
        <f t="shared" ref="AB8:AB36" si="4">D8/H8</f>
        <v>#DIV/0!</v>
      </c>
      <c r="AC8" s="773" t="e">
        <f t="shared" ref="AC8:AC36" si="5">D8/J8</f>
        <v>#DIV/0!</v>
      </c>
    </row>
    <row r="9" spans="1:29" s="117" customFormat="1" ht="14.4">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4" t="s">
        <v>2538</v>
      </c>
      <c r="Q9" s="1790" t="str">
        <f t="shared" ref="Q9:Q14" si="6">B9</f>
        <v>用途</v>
      </c>
      <c r="R9" s="770" t="s">
        <v>17</v>
      </c>
      <c r="S9" s="771">
        <f t="shared" si="0"/>
        <v>100</v>
      </c>
      <c r="T9" s="770" t="s">
        <v>17</v>
      </c>
      <c r="U9" s="771">
        <f t="shared" si="1"/>
        <v>100</v>
      </c>
      <c r="V9" s="770" t="s">
        <v>17</v>
      </c>
      <c r="W9" s="771">
        <f t="shared" si="2"/>
        <v>100</v>
      </c>
      <c r="X9" s="772"/>
      <c r="Y9" s="3012" t="s">
        <v>2539</v>
      </c>
      <c r="Z9" s="55" t="str">
        <f t="shared" ref="Z9:Z14" si="7">Q9</f>
        <v>用途</v>
      </c>
      <c r="AA9" s="773">
        <f t="shared" si="3"/>
        <v>1</v>
      </c>
      <c r="AB9" s="773">
        <f t="shared" si="4"/>
        <v>1</v>
      </c>
      <c r="AC9" s="773">
        <f t="shared" si="5"/>
        <v>1</v>
      </c>
    </row>
    <row r="10" spans="1:29" s="427" customFormat="1" ht="28.8">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4"/>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4"/>
      <c r="Q11" s="1790">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4"/>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4"/>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2542</v>
      </c>
      <c r="B14" s="629" t="s">
        <v>2692</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66" t="s">
        <v>2543</v>
      </c>
      <c r="Q14" s="1805" t="str">
        <f t="shared" si="6"/>
        <v>交通便捷度</v>
      </c>
      <c r="R14" s="774" t="s">
        <v>17</v>
      </c>
      <c r="S14" s="775">
        <f t="shared" si="0"/>
        <v>100</v>
      </c>
      <c r="T14" s="774" t="s">
        <v>17</v>
      </c>
      <c r="U14" s="775">
        <f t="shared" si="1"/>
        <v>100</v>
      </c>
      <c r="V14" s="774" t="s">
        <v>17</v>
      </c>
      <c r="W14" s="775">
        <f t="shared" si="2"/>
        <v>100</v>
      </c>
      <c r="X14" s="1808"/>
      <c r="Y14" s="3166" t="s">
        <v>2543</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67"/>
      <c r="Q15" s="1805"/>
      <c r="R15" s="774"/>
      <c r="S15" s="775"/>
      <c r="T15" s="774"/>
      <c r="U15" s="775"/>
      <c r="V15" s="774"/>
      <c r="W15" s="775"/>
      <c r="X15" s="1808"/>
      <c r="Y15" s="3167"/>
      <c r="Z15" s="1809"/>
      <c r="AA15" s="1806">
        <v>1</v>
      </c>
      <c r="AB15" s="1806">
        <v>1</v>
      </c>
      <c r="AC15" s="1806">
        <v>1</v>
      </c>
    </row>
    <row r="16" spans="1:29" ht="15">
      <c r="A16" s="404"/>
      <c r="B16" s="631" t="s">
        <v>2671</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67"/>
      <c r="Q16" s="1805" t="str">
        <f>B16</f>
        <v>公共配套设施</v>
      </c>
      <c r="R16" s="774" t="s">
        <v>17</v>
      </c>
      <c r="S16" s="775">
        <f>F16</f>
        <v>100</v>
      </c>
      <c r="T16" s="774" t="s">
        <v>17</v>
      </c>
      <c r="U16" s="775">
        <f>H16</f>
        <v>100</v>
      </c>
      <c r="V16" s="774" t="s">
        <v>17</v>
      </c>
      <c r="W16" s="775">
        <f>J16</f>
        <v>100</v>
      </c>
      <c r="X16" s="1808"/>
      <c r="Y16" s="3167"/>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67"/>
      <c r="Q17" s="1805"/>
      <c r="R17" s="774"/>
      <c r="S17" s="775"/>
      <c r="T17" s="774"/>
      <c r="U17" s="775"/>
      <c r="V17" s="774"/>
      <c r="W17" s="775"/>
      <c r="X17" s="1808"/>
      <c r="Y17" s="3167"/>
      <c r="Z17" s="1809"/>
      <c r="AA17" s="1806">
        <v>1</v>
      </c>
      <c r="AB17" s="1806">
        <v>1</v>
      </c>
      <c r="AC17" s="1806">
        <v>1</v>
      </c>
    </row>
    <row r="18" spans="1:29" ht="15">
      <c r="A18" s="404"/>
      <c r="B18" s="633" t="s">
        <v>2672</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67"/>
      <c r="Q18" s="1805" t="str">
        <f>B18</f>
        <v>基础设施水平</v>
      </c>
      <c r="R18" s="774" t="s">
        <v>17</v>
      </c>
      <c r="S18" s="775">
        <f>F18</f>
        <v>100</v>
      </c>
      <c r="T18" s="774" t="s">
        <v>17</v>
      </c>
      <c r="U18" s="775">
        <f>H18</f>
        <v>100</v>
      </c>
      <c r="V18" s="774" t="s">
        <v>17</v>
      </c>
      <c r="W18" s="775">
        <f>J18</f>
        <v>100</v>
      </c>
      <c r="X18" s="1808"/>
      <c r="Y18" s="3167"/>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67"/>
      <c r="Q19" s="1805"/>
      <c r="R19" s="774"/>
      <c r="S19" s="775"/>
      <c r="T19" s="774"/>
      <c r="U19" s="775"/>
      <c r="V19" s="774"/>
      <c r="W19" s="775"/>
      <c r="X19" s="1808"/>
      <c r="Y19" s="3167"/>
      <c r="Z19" s="1809"/>
      <c r="AA19" s="1806">
        <v>1</v>
      </c>
      <c r="AB19" s="1806">
        <v>1</v>
      </c>
      <c r="AC19" s="1806">
        <v>1</v>
      </c>
    </row>
    <row r="20" spans="1:29" ht="15">
      <c r="A20" s="404"/>
      <c r="B20" s="631" t="s">
        <v>2693</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67"/>
      <c r="Q20" s="1805" t="str">
        <f>B20</f>
        <v>自然及人文环境</v>
      </c>
      <c r="R20" s="774" t="s">
        <v>17</v>
      </c>
      <c r="S20" s="775">
        <f>F20</f>
        <v>100</v>
      </c>
      <c r="T20" s="774" t="s">
        <v>17</v>
      </c>
      <c r="U20" s="775">
        <f>H20</f>
        <v>100</v>
      </c>
      <c r="V20" s="774" t="s">
        <v>17</v>
      </c>
      <c r="W20" s="775">
        <f>J20</f>
        <v>100</v>
      </c>
      <c r="X20" s="1808"/>
      <c r="Y20" s="3167"/>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67"/>
      <c r="Q21" s="1805"/>
      <c r="R21" s="774"/>
      <c r="S21" s="775"/>
      <c r="T21" s="774"/>
      <c r="U21" s="775"/>
      <c r="V21" s="774"/>
      <c r="W21" s="775"/>
      <c r="X21" s="1808"/>
      <c r="Y21" s="3167"/>
      <c r="Z21" s="1809"/>
      <c r="AA21" s="1806">
        <v>1</v>
      </c>
      <c r="AB21" s="1806">
        <v>1</v>
      </c>
      <c r="AC21" s="1806">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67"/>
      <c r="Q22" s="1805" t="str">
        <f>B22</f>
        <v>楼层</v>
      </c>
      <c r="R22" s="774" t="s">
        <v>17</v>
      </c>
      <c r="S22" s="775">
        <f>F22</f>
        <v>100</v>
      </c>
      <c r="T22" s="774" t="s">
        <v>17</v>
      </c>
      <c r="U22" s="775">
        <f>H22</f>
        <v>100</v>
      </c>
      <c r="V22" s="774" t="s">
        <v>17</v>
      </c>
      <c r="W22" s="775">
        <f>J22</f>
        <v>100</v>
      </c>
      <c r="X22" s="1808"/>
      <c r="Y22" s="3167"/>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67"/>
      <c r="Q23" s="1805">
        <f>B23</f>
        <v>111</v>
      </c>
      <c r="R23" s="774" t="s">
        <v>17</v>
      </c>
      <c r="S23" s="775">
        <f>F23</f>
        <v>100</v>
      </c>
      <c r="T23" s="774" t="s">
        <v>17</v>
      </c>
      <c r="U23" s="775">
        <f>H23</f>
        <v>100</v>
      </c>
      <c r="V23" s="774" t="s">
        <v>17</v>
      </c>
      <c r="W23" s="775">
        <f>J23</f>
        <v>100</v>
      </c>
      <c r="X23" s="1808"/>
      <c r="Y23" s="3167"/>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67"/>
      <c r="Q24" s="1805">
        <f t="shared" ref="Q24:Q36" si="11">B24</f>
        <v>111</v>
      </c>
      <c r="R24" s="774" t="s">
        <v>17</v>
      </c>
      <c r="S24" s="775">
        <f>F24</f>
        <v>100</v>
      </c>
      <c r="T24" s="774" t="s">
        <v>17</v>
      </c>
      <c r="U24" s="775">
        <f>H24</f>
        <v>100</v>
      </c>
      <c r="V24" s="774" t="s">
        <v>17</v>
      </c>
      <c r="W24" s="775">
        <f>J24</f>
        <v>100</v>
      </c>
      <c r="X24" s="1808"/>
      <c r="Y24" s="3167"/>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67"/>
      <c r="Q25" s="1790">
        <f t="shared" si="11"/>
        <v>111</v>
      </c>
      <c r="R25" s="770" t="s">
        <v>17</v>
      </c>
      <c r="S25" s="771">
        <f>F25</f>
        <v>100</v>
      </c>
      <c r="T25" s="770" t="s">
        <v>17</v>
      </c>
      <c r="U25" s="771">
        <f>H25</f>
        <v>100</v>
      </c>
      <c r="V25" s="770" t="s">
        <v>17</v>
      </c>
      <c r="W25" s="771">
        <f>J25</f>
        <v>100</v>
      </c>
      <c r="X25" s="772"/>
      <c r="Y25" s="3167"/>
      <c r="Z25" s="55">
        <f>Q25</f>
        <v>111</v>
      </c>
      <c r="AA25" s="1806">
        <f>D25/F25</f>
        <v>1</v>
      </c>
      <c r="AB25" s="1806">
        <f>D25/H25</f>
        <v>1</v>
      </c>
      <c r="AC25" s="1806">
        <f>D25/J25</f>
        <v>1</v>
      </c>
    </row>
    <row r="26" spans="1:29" ht="30">
      <c r="A26" s="652" t="s">
        <v>2546</v>
      </c>
      <c r="B26" s="70" t="s">
        <v>2695</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68" t="s">
        <v>2548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69" t="s">
        <v>2548</v>
      </c>
      <c r="Z26" s="1809" t="str">
        <f t="shared" ref="Z26:Z36" si="15">Q26</f>
        <v>配套类型</v>
      </c>
      <c r="AA26" s="1806">
        <f t="shared" si="3"/>
        <v>1</v>
      </c>
      <c r="AB26" s="1806">
        <f t="shared" si="4"/>
        <v>1</v>
      </c>
      <c r="AC26" s="1806">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69"/>
      <c r="Q27" s="776" t="str">
        <f t="shared" si="11"/>
        <v>项目停车位配比</v>
      </c>
      <c r="R27" s="777" t="s">
        <v>17</v>
      </c>
      <c r="S27" s="778">
        <f t="shared" si="12"/>
        <v>100</v>
      </c>
      <c r="T27" s="777" t="s">
        <v>17</v>
      </c>
      <c r="U27" s="778">
        <f t="shared" si="13"/>
        <v>100</v>
      </c>
      <c r="V27" s="777" t="s">
        <v>17</v>
      </c>
      <c r="W27" s="778">
        <f t="shared" si="14"/>
        <v>100</v>
      </c>
      <c r="X27" s="779"/>
      <c r="Y27" s="3169"/>
      <c r="Z27" s="780" t="str">
        <f t="shared" si="15"/>
        <v>项目停车位配比</v>
      </c>
      <c r="AA27" s="1806">
        <f t="shared" si="3"/>
        <v>1</v>
      </c>
      <c r="AB27" s="1806">
        <f t="shared" si="4"/>
        <v>1</v>
      </c>
      <c r="AC27" s="1806">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69"/>
      <c r="Q28" s="1805" t="str">
        <f t="shared" si="11"/>
        <v>公共部分装修</v>
      </c>
      <c r="R28" s="774" t="s">
        <v>17</v>
      </c>
      <c r="S28" s="775">
        <f t="shared" si="12"/>
        <v>100</v>
      </c>
      <c r="T28" s="774" t="s">
        <v>17</v>
      </c>
      <c r="U28" s="775">
        <f t="shared" si="13"/>
        <v>100</v>
      </c>
      <c r="V28" s="774" t="s">
        <v>17</v>
      </c>
      <c r="W28" s="775">
        <f t="shared" si="14"/>
        <v>100</v>
      </c>
      <c r="X28" s="1808"/>
      <c r="Y28" s="3169"/>
      <c r="Z28" s="1809" t="str">
        <f t="shared" si="15"/>
        <v>公共部分装修</v>
      </c>
      <c r="AA28" s="1806">
        <f t="shared" si="3"/>
        <v>1</v>
      </c>
      <c r="AB28" s="1806">
        <f t="shared" si="4"/>
        <v>1</v>
      </c>
      <c r="AC28" s="1806">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69"/>
      <c r="Q29" s="1805" t="str">
        <f t="shared" si="11"/>
        <v>成新率</v>
      </c>
      <c r="R29" s="774" t="s">
        <v>17</v>
      </c>
      <c r="S29" s="775" t="e">
        <f t="shared" si="12"/>
        <v>#N/A</v>
      </c>
      <c r="T29" s="774" t="s">
        <v>17</v>
      </c>
      <c r="U29" s="775" t="e">
        <f t="shared" si="13"/>
        <v>#N/A</v>
      </c>
      <c r="V29" s="774" t="s">
        <v>17</v>
      </c>
      <c r="W29" s="775" t="e">
        <f t="shared" si="14"/>
        <v>#N/A</v>
      </c>
      <c r="X29" s="1808"/>
      <c r="Y29" s="3169"/>
      <c r="Z29" s="1809" t="str">
        <f t="shared" si="15"/>
        <v>成新率</v>
      </c>
      <c r="AA29" s="1806" t="e">
        <f t="shared" si="3"/>
        <v>#N/A</v>
      </c>
      <c r="AB29" s="1806" t="e">
        <f t="shared" si="4"/>
        <v>#N/A</v>
      </c>
      <c r="AC29" s="1806"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69"/>
      <c r="Q30" s="1805" t="str">
        <f t="shared" si="11"/>
        <v>物业等级</v>
      </c>
      <c r="R30" s="774" t="s">
        <v>17</v>
      </c>
      <c r="S30" s="775">
        <f t="shared" si="12"/>
        <v>100</v>
      </c>
      <c r="T30" s="774" t="s">
        <v>17</v>
      </c>
      <c r="U30" s="775">
        <f t="shared" si="13"/>
        <v>100</v>
      </c>
      <c r="V30" s="774" t="s">
        <v>17</v>
      </c>
      <c r="W30" s="775">
        <f t="shared" si="14"/>
        <v>100</v>
      </c>
      <c r="X30" s="1808"/>
      <c r="Y30" s="3169"/>
      <c r="Z30" s="1809" t="str">
        <f t="shared" si="15"/>
        <v>物业等级</v>
      </c>
      <c r="AA30" s="1806">
        <f t="shared" si="3"/>
        <v>1</v>
      </c>
      <c r="AB30" s="1806">
        <f t="shared" si="4"/>
        <v>1</v>
      </c>
      <c r="AC30" s="1806">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69"/>
      <c r="Q31" s="1790" t="str">
        <f t="shared" si="11"/>
        <v>停车位面积</v>
      </c>
      <c r="R31" s="770" t="s">
        <v>17</v>
      </c>
      <c r="S31" s="771" t="e">
        <f t="shared" si="12"/>
        <v>#N/A</v>
      </c>
      <c r="T31" s="770" t="s">
        <v>17</v>
      </c>
      <c r="U31" s="771" t="e">
        <f t="shared" si="13"/>
        <v>#N/A</v>
      </c>
      <c r="V31" s="770" t="s">
        <v>17</v>
      </c>
      <c r="W31" s="771" t="e">
        <f t="shared" si="14"/>
        <v>#N/A</v>
      </c>
      <c r="X31" s="772"/>
      <c r="Y31" s="3169"/>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69" t="s">
        <v>2548</v>
      </c>
      <c r="Q32" s="1805" t="str">
        <f t="shared" si="11"/>
        <v>车位类型</v>
      </c>
      <c r="R32" s="774" t="s">
        <v>17</v>
      </c>
      <c r="S32" s="775">
        <f t="shared" si="12"/>
        <v>100</v>
      </c>
      <c r="T32" s="774" t="s">
        <v>17</v>
      </c>
      <c r="U32" s="775">
        <f t="shared" si="13"/>
        <v>100</v>
      </c>
      <c r="V32" s="774" t="s">
        <v>17</v>
      </c>
      <c r="W32" s="775">
        <f t="shared" si="14"/>
        <v>100</v>
      </c>
      <c r="X32" s="1808"/>
      <c r="Y32" s="3169" t="s">
        <v>2548</v>
      </c>
      <c r="Z32" s="1809" t="str">
        <f t="shared" si="15"/>
        <v>车位类型</v>
      </c>
      <c r="AA32" s="1806">
        <f t="shared" si="3"/>
        <v>1</v>
      </c>
      <c r="AB32" s="1806">
        <f t="shared" si="4"/>
        <v>1</v>
      </c>
      <c r="AC32" s="1806">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69"/>
      <c r="Q33" s="1805" t="str">
        <f t="shared" si="11"/>
        <v>是否直接入户</v>
      </c>
      <c r="R33" s="774" t="s">
        <v>17</v>
      </c>
      <c r="S33" s="775">
        <f t="shared" si="12"/>
        <v>100</v>
      </c>
      <c r="T33" s="774" t="s">
        <v>17</v>
      </c>
      <c r="U33" s="775">
        <f t="shared" si="13"/>
        <v>100</v>
      </c>
      <c r="V33" s="774" t="s">
        <v>17</v>
      </c>
      <c r="W33" s="775">
        <f t="shared" si="14"/>
        <v>100</v>
      </c>
      <c r="X33" s="1808"/>
      <c r="Y33" s="3169"/>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69"/>
      <c r="Q34" s="1805">
        <f t="shared" si="11"/>
        <v>111</v>
      </c>
      <c r="R34" s="774" t="s">
        <v>17</v>
      </c>
      <c r="S34" s="775">
        <f t="shared" si="12"/>
        <v>100</v>
      </c>
      <c r="T34" s="774" t="s">
        <v>17</v>
      </c>
      <c r="U34" s="775">
        <f t="shared" si="13"/>
        <v>100</v>
      </c>
      <c r="V34" s="774" t="s">
        <v>17</v>
      </c>
      <c r="W34" s="775">
        <f t="shared" si="14"/>
        <v>100</v>
      </c>
      <c r="X34" s="1808"/>
      <c r="Y34" s="3169"/>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69"/>
      <c r="Q35" s="776">
        <f t="shared" si="11"/>
        <v>111</v>
      </c>
      <c r="R35" s="777" t="s">
        <v>17</v>
      </c>
      <c r="S35" s="778">
        <f t="shared" si="12"/>
        <v>100</v>
      </c>
      <c r="T35" s="777" t="s">
        <v>17</v>
      </c>
      <c r="U35" s="778">
        <f t="shared" si="13"/>
        <v>100</v>
      </c>
      <c r="V35" s="777" t="s">
        <v>17</v>
      </c>
      <c r="W35" s="778">
        <f t="shared" si="14"/>
        <v>100</v>
      </c>
      <c r="X35" s="779"/>
      <c r="Y35" s="3169"/>
      <c r="Z35" s="780">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69"/>
      <c r="Q36" s="1805">
        <f t="shared" si="11"/>
        <v>111</v>
      </c>
      <c r="R36" s="774" t="s">
        <v>17</v>
      </c>
      <c r="S36" s="775">
        <f t="shared" si="12"/>
        <v>100</v>
      </c>
      <c r="T36" s="774" t="s">
        <v>17</v>
      </c>
      <c r="U36" s="775">
        <f t="shared" si="13"/>
        <v>100</v>
      </c>
      <c r="V36" s="774" t="s">
        <v>17</v>
      </c>
      <c r="W36" s="775">
        <f t="shared" si="14"/>
        <v>100</v>
      </c>
      <c r="X36" s="1808"/>
      <c r="Y36" s="3169"/>
      <c r="Z36" s="1809">
        <f t="shared" si="15"/>
        <v>111</v>
      </c>
      <c r="AA36" s="1806">
        <f t="shared" si="3"/>
        <v>1</v>
      </c>
      <c r="AB36" s="1806">
        <f t="shared" si="4"/>
        <v>1</v>
      </c>
      <c r="AC36" s="1806">
        <f t="shared" si="5"/>
        <v>1</v>
      </c>
    </row>
    <row r="37" spans="1:29" ht="14.4">
      <c r="A37" s="479" t="s">
        <v>2703</v>
      </c>
      <c r="B37" s="2688" t="s">
        <v>2704</v>
      </c>
      <c r="C37" s="1404" t="s">
        <v>1</v>
      </c>
      <c r="D37" s="1405"/>
      <c r="E37" s="1406"/>
      <c r="F37" s="1407"/>
      <c r="G37" s="1408"/>
      <c r="H37" s="1409"/>
      <c r="I37" s="1406"/>
      <c r="J37" s="1409"/>
      <c r="K37" s="619"/>
      <c r="L37" s="1140"/>
      <c r="M37" s="1141"/>
      <c r="N37" s="1128"/>
      <c r="O37" s="1141"/>
      <c r="P37" s="3164" t="str">
        <f>A37</f>
        <v>成交单价</v>
      </c>
      <c r="Q37" s="3164"/>
      <c r="R37" s="3232">
        <f>E37</f>
        <v>0</v>
      </c>
      <c r="S37" s="3232"/>
      <c r="T37" s="3232">
        <f>G37</f>
        <v>0</v>
      </c>
      <c r="U37" s="3232"/>
      <c r="V37" s="3232">
        <f>I37</f>
        <v>0</v>
      </c>
      <c r="W37" s="3232"/>
      <c r="X37" s="759"/>
      <c r="Y37" s="781"/>
      <c r="Z37" s="759"/>
      <c r="AA37" s="759"/>
      <c r="AB37" s="759"/>
      <c r="AC37" s="759"/>
    </row>
    <row r="38" spans="1:29" ht="15" thickBot="1">
      <c r="A38" s="486" t="s">
        <v>2705</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4" t="str">
        <f>A38</f>
        <v>比较价值（元/平方米）</v>
      </c>
      <c r="Q38" s="3164"/>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 thickBot="1">
      <c r="A39" s="492" t="s">
        <v>2706</v>
      </c>
      <c r="B39" s="493"/>
      <c r="C39" s="1414" t="e">
        <f>R39</f>
        <v>#DIV/0!</v>
      </c>
      <c r="D39" s="1414"/>
      <c r="E39" s="1414"/>
      <c r="F39" s="1414"/>
      <c r="G39" s="1414"/>
      <c r="H39" s="1414"/>
      <c r="I39" s="1414"/>
      <c r="J39" s="1414"/>
      <c r="K39" s="621"/>
      <c r="L39" s="1140"/>
      <c r="M39" s="1141"/>
      <c r="N39" s="1141"/>
      <c r="O39" s="1141"/>
      <c r="P39" s="3158" t="str">
        <f>A39</f>
        <v>估价对象XX用房的比较价值（楼面单价，元/平方米）</v>
      </c>
      <c r="Q39" s="3159"/>
      <c r="R39" s="3231" t="e">
        <f>IF(F1="售价",ROUND(AVERAGE(R38:V38),0),ROUND(AVERAGE(R38:V38),1))</f>
        <v>#DIV/0!</v>
      </c>
      <c r="S39" s="3231"/>
      <c r="T39" s="3231"/>
      <c r="U39" s="3231"/>
      <c r="V39" s="3231"/>
      <c r="W39" s="323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2710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2711</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2568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2533</v>
      </c>
      <c r="B51" s="510"/>
      <c r="C51" s="522" t="s">
        <v>2635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2571</v>
      </c>
      <c r="B53" s="528" t="s">
        <v>2537</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2540</v>
      </c>
      <c r="C55" s="539" t="s">
        <v>2572</v>
      </c>
      <c r="D55" s="539" t="s">
        <v>2573</v>
      </c>
      <c r="E55" s="539" t="s">
        <v>2574</v>
      </c>
      <c r="F55" s="539" t="s">
        <v>2575</v>
      </c>
      <c r="G55" s="539" t="s">
        <v>2576</v>
      </c>
      <c r="H55" s="539" t="s">
        <v>2577</v>
      </c>
      <c r="I55" s="539" t="s">
        <v>2578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2586</v>
      </c>
      <c r="C65" s="578" t="s">
        <v>2580</v>
      </c>
      <c r="D65" s="578" t="s">
        <v>2581</v>
      </c>
      <c r="E65" s="578" t="s">
        <v>2582</v>
      </c>
      <c r="F65" s="578" t="s">
        <v>2583</v>
      </c>
      <c r="G65" s="578" t="s">
        <v>2584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2672</v>
      </c>
      <c r="C67" s="660" t="s">
        <v>2658</v>
      </c>
      <c r="D67" s="660" t="s">
        <v>2659</v>
      </c>
      <c r="E67" s="660" t="s">
        <v>2660</v>
      </c>
      <c r="F67" s="660" t="s">
        <v>2661</v>
      </c>
      <c r="G67" s="660" t="s">
        <v>2662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2592</v>
      </c>
      <c r="C69" s="578" t="s">
        <v>2580</v>
      </c>
      <c r="D69" s="578" t="s">
        <v>2581</v>
      </c>
      <c r="E69" s="578" t="s">
        <v>2582</v>
      </c>
      <c r="F69" s="578" t="s">
        <v>2583</v>
      </c>
      <c r="G69" s="578" t="s">
        <v>2584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2712</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2546</v>
      </c>
      <c r="B79" s="528" t="s">
        <v>2713</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2714</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2599</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2716</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2718</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2719</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2690</v>
      </c>
      <c r="B1" s="1614"/>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IF(C2="——",ROUND(C37*D3/10000,0),ROUND(C37*D3/10000,0)-D2)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2628</v>
      </c>
      <c r="B4" s="402"/>
      <c r="C4" s="3161" t="s">
        <v>2629</v>
      </c>
      <c r="D4" s="3174"/>
      <c r="E4" s="3175" t="s">
        <v>2630</v>
      </c>
      <c r="F4" s="3176"/>
      <c r="G4" s="3161" t="s">
        <v>2631</v>
      </c>
      <c r="H4" s="3174"/>
      <c r="I4" s="3161" t="s">
        <v>2632</v>
      </c>
      <c r="J4" s="3174"/>
      <c r="K4" s="610" t="s">
        <v>2633</v>
      </c>
      <c r="L4" s="1127"/>
      <c r="M4" s="1128"/>
      <c r="N4" s="1128"/>
      <c r="O4" s="1128"/>
      <c r="P4" s="3177" t="s">
        <v>2634</v>
      </c>
      <c r="Q4" s="3178"/>
      <c r="R4" s="3183" t="s">
        <v>2630</v>
      </c>
      <c r="S4" s="3184"/>
      <c r="T4" s="3183" t="s">
        <v>2631</v>
      </c>
      <c r="U4" s="3184"/>
      <c r="V4" s="3170" t="s">
        <v>2632</v>
      </c>
      <c r="W4" s="3170"/>
      <c r="X4" s="1808"/>
      <c r="Y4" s="3183" t="s">
        <v>2634</v>
      </c>
      <c r="Z4" s="3184"/>
      <c r="AA4" s="3171" t="s">
        <v>2630</v>
      </c>
      <c r="AB4" s="3172" t="s">
        <v>2631</v>
      </c>
      <c r="AC4" s="3171" t="s">
        <v>2632</v>
      </c>
    </row>
    <row r="5" spans="1:29">
      <c r="A5" s="404"/>
      <c r="B5" s="405"/>
      <c r="C5" s="3191" t="s">
        <v>2525</v>
      </c>
      <c r="D5" s="3192"/>
      <c r="E5" s="3198" t="s">
        <v>2526</v>
      </c>
      <c r="F5" s="3199"/>
      <c r="G5" s="3191" t="s">
        <v>2527</v>
      </c>
      <c r="H5" s="3192"/>
      <c r="I5" s="3191" t="s">
        <v>2528</v>
      </c>
      <c r="J5" s="3192"/>
      <c r="K5" s="610"/>
      <c r="L5" s="1127"/>
      <c r="M5" s="1128"/>
      <c r="N5" s="1128"/>
      <c r="O5" s="1128"/>
      <c r="P5" s="3179"/>
      <c r="Q5" s="3180"/>
      <c r="R5" s="3185"/>
      <c r="S5" s="3186"/>
      <c r="T5" s="3185"/>
      <c r="U5" s="3186"/>
      <c r="V5" s="3170"/>
      <c r="W5" s="3170"/>
      <c r="X5" s="1808"/>
      <c r="Y5" s="3185"/>
      <c r="Z5" s="3186"/>
      <c r="AA5" s="3172"/>
      <c r="AB5" s="3172"/>
      <c r="AC5" s="3172"/>
    </row>
    <row r="6" spans="1:29" ht="15" thickBot="1">
      <c r="A6" s="406"/>
      <c r="B6" s="407"/>
      <c r="C6" s="3189" t="s">
        <v>2529</v>
      </c>
      <c r="D6" s="3190"/>
      <c r="E6" s="3196" t="s">
        <v>2529</v>
      </c>
      <c r="F6" s="3197"/>
      <c r="G6" s="3189" t="s">
        <v>2529</v>
      </c>
      <c r="H6" s="3190"/>
      <c r="I6" s="3189" t="s">
        <v>2529</v>
      </c>
      <c r="J6" s="3190"/>
      <c r="K6" s="610" t="s">
        <v>2530</v>
      </c>
      <c r="L6" s="1127"/>
      <c r="M6" s="1128"/>
      <c r="N6" s="1128"/>
      <c r="O6" s="1128"/>
      <c r="P6" s="3181"/>
      <c r="Q6" s="3182"/>
      <c r="R6" s="3185"/>
      <c r="S6" s="3186"/>
      <c r="T6" s="3187"/>
      <c r="U6" s="3188"/>
      <c r="V6" s="3170"/>
      <c r="W6" s="3170"/>
      <c r="X6" s="1808"/>
      <c r="Y6" s="3187"/>
      <c r="Z6" s="3188"/>
      <c r="AA6" s="3173"/>
      <c r="AB6" s="3173"/>
      <c r="AC6" s="3173"/>
    </row>
    <row r="7" spans="1:29" s="117" customFormat="1" ht="15" thickBot="1">
      <c r="A7" s="408" t="s">
        <v>2531</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93" t="s">
        <v>2532</v>
      </c>
      <c r="Q7" s="3195"/>
      <c r="R7" s="770" t="s">
        <v>17</v>
      </c>
      <c r="S7" s="771">
        <f t="shared" ref="S7:S14" si="0">F7</f>
        <v>0</v>
      </c>
      <c r="T7" s="770" t="s">
        <v>17</v>
      </c>
      <c r="U7" s="771">
        <f t="shared" ref="U7:U14" si="1">H7</f>
        <v>0</v>
      </c>
      <c r="V7" s="770" t="s">
        <v>17</v>
      </c>
      <c r="W7" s="771">
        <f t="shared" ref="W7:W14" si="2">J7</f>
        <v>0</v>
      </c>
      <c r="X7" s="772"/>
      <c r="Y7" s="3193" t="s">
        <v>2532</v>
      </c>
      <c r="Z7" s="3194"/>
      <c r="AA7" s="773" t="e">
        <f>D7/F7</f>
        <v>#DIV/0!</v>
      </c>
      <c r="AB7" s="773" t="e">
        <f>D7/H7</f>
        <v>#DIV/0!</v>
      </c>
      <c r="AC7" s="773" t="e">
        <f>D7/J7</f>
        <v>#DIV/0!</v>
      </c>
    </row>
    <row r="8" spans="1:29" s="117" customFormat="1" ht="1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3" t="s">
        <v>2535</v>
      </c>
      <c r="Q8" s="3194"/>
      <c r="R8" s="770" t="s">
        <v>17</v>
      </c>
      <c r="S8" s="771">
        <f t="shared" si="0"/>
        <v>0</v>
      </c>
      <c r="T8" s="770" t="s">
        <v>17</v>
      </c>
      <c r="U8" s="771">
        <f t="shared" si="1"/>
        <v>0</v>
      </c>
      <c r="V8" s="770" t="s">
        <v>17</v>
      </c>
      <c r="W8" s="771">
        <f t="shared" si="2"/>
        <v>0</v>
      </c>
      <c r="X8" s="772"/>
      <c r="Y8" s="3193" t="s">
        <v>2535</v>
      </c>
      <c r="Z8" s="3194"/>
      <c r="AA8" s="773" t="e">
        <f t="shared" ref="AA8:AA34" si="3">D8/F8</f>
        <v>#DIV/0!</v>
      </c>
      <c r="AB8" s="773" t="e">
        <f t="shared" ref="AB8:AB34" si="4">D8/H8</f>
        <v>#DIV/0!</v>
      </c>
      <c r="AC8" s="773" t="e">
        <f t="shared" ref="AC8:AC34" si="5">D8/J8</f>
        <v>#DIV/0!</v>
      </c>
    </row>
    <row r="9" spans="1:29" s="117" customFormat="1" ht="14.4">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4" t="s">
        <v>2538</v>
      </c>
      <c r="Q9" s="1790" t="str">
        <f t="shared" ref="Q9:Q14" si="6">B9</f>
        <v>用途</v>
      </c>
      <c r="R9" s="770" t="s">
        <v>17</v>
      </c>
      <c r="S9" s="771">
        <f t="shared" si="0"/>
        <v>100</v>
      </c>
      <c r="T9" s="770" t="s">
        <v>17</v>
      </c>
      <c r="U9" s="771">
        <f t="shared" si="1"/>
        <v>100</v>
      </c>
      <c r="V9" s="770" t="s">
        <v>17</v>
      </c>
      <c r="W9" s="771">
        <f t="shared" si="2"/>
        <v>100</v>
      </c>
      <c r="X9" s="772"/>
      <c r="Y9" s="3012" t="s">
        <v>2539</v>
      </c>
      <c r="Z9" s="55" t="str">
        <f t="shared" ref="Z9:Z14" si="7">Q9</f>
        <v>用途</v>
      </c>
      <c r="AA9" s="773">
        <f t="shared" si="3"/>
        <v>1</v>
      </c>
      <c r="AB9" s="773">
        <f t="shared" si="4"/>
        <v>1</v>
      </c>
      <c r="AC9" s="773">
        <f t="shared" si="5"/>
        <v>1</v>
      </c>
    </row>
    <row r="10" spans="1:29" s="427" customFormat="1" ht="28.8">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4"/>
      <c r="Q10" s="1790"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4"/>
      <c r="Q11" s="1790">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4"/>
      <c r="Q12" s="1790">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64"/>
      <c r="Q13" s="1790">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2542</v>
      </c>
      <c r="B14" s="69" t="s">
        <v>2692</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66" t="s">
        <v>2543</v>
      </c>
      <c r="Q14" s="1805" t="str">
        <f t="shared" si="6"/>
        <v>交通便捷度</v>
      </c>
      <c r="R14" s="774" t="s">
        <v>17</v>
      </c>
      <c r="S14" s="775">
        <f t="shared" si="0"/>
        <v>100</v>
      </c>
      <c r="T14" s="774" t="s">
        <v>17</v>
      </c>
      <c r="U14" s="775">
        <f t="shared" si="1"/>
        <v>100</v>
      </c>
      <c r="V14" s="774" t="s">
        <v>17</v>
      </c>
      <c r="W14" s="775">
        <f t="shared" si="2"/>
        <v>100</v>
      </c>
      <c r="X14" s="1808"/>
      <c r="Y14" s="3166" t="s">
        <v>2543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67"/>
      <c r="Q15" s="1805"/>
      <c r="R15" s="774"/>
      <c r="S15" s="775"/>
      <c r="T15" s="774"/>
      <c r="U15" s="775"/>
      <c r="V15" s="774"/>
      <c r="W15" s="775"/>
      <c r="X15" s="1808"/>
      <c r="Y15" s="3167"/>
      <c r="Z15" s="1809"/>
      <c r="AA15" s="1806">
        <v>1</v>
      </c>
      <c r="AB15" s="1806">
        <v>1</v>
      </c>
      <c r="AC15" s="1806">
        <v>1</v>
      </c>
    </row>
    <row r="16" spans="1:29" ht="15">
      <c r="A16" s="428"/>
      <c r="B16" s="451" t="s">
        <v>2671</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67"/>
      <c r="Q16" s="1805" t="str">
        <f>B16</f>
        <v>公共配套设施</v>
      </c>
      <c r="R16" s="774" t="s">
        <v>17</v>
      </c>
      <c r="S16" s="775">
        <f>F16</f>
        <v>100</v>
      </c>
      <c r="T16" s="774" t="s">
        <v>17</v>
      </c>
      <c r="U16" s="775">
        <f>H16</f>
        <v>100</v>
      </c>
      <c r="V16" s="774" t="s">
        <v>17</v>
      </c>
      <c r="W16" s="775">
        <f>J16</f>
        <v>100</v>
      </c>
      <c r="X16" s="1808"/>
      <c r="Y16" s="3167"/>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67"/>
      <c r="Q17" s="1805"/>
      <c r="R17" s="774"/>
      <c r="S17" s="775"/>
      <c r="T17" s="774"/>
      <c r="U17" s="775"/>
      <c r="V17" s="774"/>
      <c r="W17" s="775"/>
      <c r="X17" s="1808"/>
      <c r="Y17" s="3167"/>
      <c r="Z17" s="1809"/>
      <c r="AA17" s="1806">
        <v>1</v>
      </c>
      <c r="AB17" s="1806">
        <v>1</v>
      </c>
      <c r="AC17" s="1806">
        <v>1</v>
      </c>
    </row>
    <row r="18" spans="1:29" ht="15">
      <c r="A18" s="428"/>
      <c r="B18" s="1381" t="s">
        <v>2672</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67"/>
      <c r="Q18" s="1805" t="str">
        <f>B18</f>
        <v>基础设施水平</v>
      </c>
      <c r="R18" s="774" t="s">
        <v>17</v>
      </c>
      <c r="S18" s="775">
        <f>F18</f>
        <v>100</v>
      </c>
      <c r="T18" s="774" t="s">
        <v>17</v>
      </c>
      <c r="U18" s="775">
        <f>H18</f>
        <v>100</v>
      </c>
      <c r="V18" s="774" t="s">
        <v>17</v>
      </c>
      <c r="W18" s="775">
        <f>J18</f>
        <v>100</v>
      </c>
      <c r="X18" s="1808"/>
      <c r="Y18" s="3167"/>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67"/>
      <c r="Q19" s="1805"/>
      <c r="R19" s="774"/>
      <c r="S19" s="775"/>
      <c r="T19" s="774"/>
      <c r="U19" s="775"/>
      <c r="V19" s="774"/>
      <c r="W19" s="775"/>
      <c r="X19" s="1808"/>
      <c r="Y19" s="3167"/>
      <c r="Z19" s="1809"/>
      <c r="AA19" s="1806">
        <v>1</v>
      </c>
      <c r="AB19" s="1806">
        <v>1</v>
      </c>
      <c r="AC19" s="1806">
        <v>1</v>
      </c>
    </row>
    <row r="20" spans="1:29" ht="15">
      <c r="A20" s="428"/>
      <c r="B20" s="451" t="s">
        <v>2693</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67"/>
      <c r="Q20" s="1805" t="str">
        <f>B20</f>
        <v>自然及人文环境</v>
      </c>
      <c r="R20" s="774" t="s">
        <v>17</v>
      </c>
      <c r="S20" s="775">
        <f>F20</f>
        <v>100</v>
      </c>
      <c r="T20" s="774" t="s">
        <v>17</v>
      </c>
      <c r="U20" s="775">
        <f>H20</f>
        <v>100</v>
      </c>
      <c r="V20" s="774" t="s">
        <v>17</v>
      </c>
      <c r="W20" s="775">
        <f>J20</f>
        <v>100</v>
      </c>
      <c r="X20" s="1808"/>
      <c r="Y20" s="316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67"/>
      <c r="Q21" s="1805"/>
      <c r="R21" s="774"/>
      <c r="S21" s="775"/>
      <c r="T21" s="774"/>
      <c r="U21" s="775"/>
      <c r="V21" s="774"/>
      <c r="W21" s="775"/>
      <c r="X21" s="1808"/>
      <c r="Y21" s="3167"/>
      <c r="Z21" s="1809"/>
      <c r="AA21" s="1806">
        <v>1</v>
      </c>
      <c r="AB21" s="1806">
        <v>1</v>
      </c>
      <c r="AC21" s="1806">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67"/>
      <c r="Q22" s="1805" t="str">
        <f>B22</f>
        <v>楼层</v>
      </c>
      <c r="R22" s="774" t="s">
        <v>17</v>
      </c>
      <c r="S22" s="775">
        <f>F22</f>
        <v>100</v>
      </c>
      <c r="T22" s="774" t="s">
        <v>17</v>
      </c>
      <c r="U22" s="775">
        <f>H22</f>
        <v>100</v>
      </c>
      <c r="V22" s="774" t="s">
        <v>17</v>
      </c>
      <c r="W22" s="775">
        <f>J22</f>
        <v>100</v>
      </c>
      <c r="X22" s="1808"/>
      <c r="Y22" s="3167"/>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67"/>
      <c r="Q23" s="1805">
        <f>B23</f>
        <v>111</v>
      </c>
      <c r="R23" s="774" t="s">
        <v>17</v>
      </c>
      <c r="S23" s="775">
        <f>F23</f>
        <v>100</v>
      </c>
      <c r="T23" s="774" t="s">
        <v>17</v>
      </c>
      <c r="U23" s="775">
        <f>H23</f>
        <v>100</v>
      </c>
      <c r="V23" s="774" t="s">
        <v>17</v>
      </c>
      <c r="W23" s="775">
        <f>J23</f>
        <v>100</v>
      </c>
      <c r="X23" s="1808"/>
      <c r="Y23" s="3167"/>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67"/>
      <c r="Q24" s="1805">
        <f t="shared" ref="Q24:Q34" si="11">B24</f>
        <v>111</v>
      </c>
      <c r="R24" s="774" t="s">
        <v>17</v>
      </c>
      <c r="S24" s="775">
        <f>F24</f>
        <v>100</v>
      </c>
      <c r="T24" s="774" t="s">
        <v>17</v>
      </c>
      <c r="U24" s="775">
        <f>H24</f>
        <v>100</v>
      </c>
      <c r="V24" s="774" t="s">
        <v>17</v>
      </c>
      <c r="W24" s="775">
        <f>J24</f>
        <v>100</v>
      </c>
      <c r="X24" s="1808"/>
      <c r="Y24" s="3167"/>
      <c r="Z24" s="1809">
        <f>Q24</f>
        <v>111</v>
      </c>
      <c r="AA24" s="1806">
        <f t="shared" si="3"/>
        <v>1</v>
      </c>
      <c r="AB24" s="1806">
        <f t="shared" si="4"/>
        <v>1</v>
      </c>
      <c r="AC24" s="1806">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67"/>
      <c r="Q25" s="1790">
        <f t="shared" si="11"/>
        <v>111</v>
      </c>
      <c r="R25" s="770" t="s">
        <v>17</v>
      </c>
      <c r="S25" s="771">
        <f>F25</f>
        <v>100</v>
      </c>
      <c r="T25" s="770" t="s">
        <v>17</v>
      </c>
      <c r="U25" s="771">
        <f>H25</f>
        <v>100</v>
      </c>
      <c r="V25" s="770" t="s">
        <v>17</v>
      </c>
      <c r="W25" s="771">
        <f>J25</f>
        <v>100</v>
      </c>
      <c r="X25" s="772"/>
      <c r="Y25" s="3167"/>
      <c r="Z25" s="55">
        <f>Q25</f>
        <v>111</v>
      </c>
      <c r="AA25" s="1806">
        <f>D25/F25</f>
        <v>1</v>
      </c>
      <c r="AB25" s="1806">
        <f>D25/H25</f>
        <v>1</v>
      </c>
      <c r="AC25" s="1806">
        <f>D25/J25</f>
        <v>1</v>
      </c>
    </row>
    <row r="26" spans="1:29" ht="30">
      <c r="A26" s="466" t="s">
        <v>2546</v>
      </c>
      <c r="B26" s="71" t="s">
        <v>2697</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68" t="s">
        <v>2548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69" t="s">
        <v>2548</v>
      </c>
      <c r="Z26" s="1809" t="str">
        <f t="shared" ref="Z26:Z34" si="15">Q26</f>
        <v>公共部分装修</v>
      </c>
      <c r="AA26" s="1806">
        <f t="shared" si="3"/>
        <v>1</v>
      </c>
      <c r="AB26" s="1806">
        <f t="shared" si="4"/>
        <v>1</v>
      </c>
      <c r="AC26" s="1806">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69"/>
      <c r="Q27" s="776" t="str">
        <f t="shared" si="11"/>
        <v>成新率</v>
      </c>
      <c r="R27" s="777" t="s">
        <v>17</v>
      </c>
      <c r="S27" s="778" t="e">
        <f t="shared" si="12"/>
        <v>#N/A</v>
      </c>
      <c r="T27" s="777" t="s">
        <v>17</v>
      </c>
      <c r="U27" s="778" t="e">
        <f t="shared" si="13"/>
        <v>#N/A</v>
      </c>
      <c r="V27" s="777" t="s">
        <v>17</v>
      </c>
      <c r="W27" s="778" t="e">
        <f t="shared" si="14"/>
        <v>#N/A</v>
      </c>
      <c r="X27" s="779"/>
      <c r="Y27" s="3169"/>
      <c r="Z27" s="780" t="str">
        <f t="shared" si="15"/>
        <v>成新率</v>
      </c>
      <c r="AA27" s="1806" t="e">
        <f t="shared" si="3"/>
        <v>#N/A</v>
      </c>
      <c r="AB27" s="1806" t="e">
        <f t="shared" si="4"/>
        <v>#N/A</v>
      </c>
      <c r="AC27" s="1806"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69"/>
      <c r="Q28" s="1805" t="str">
        <f t="shared" si="11"/>
        <v>物业等级</v>
      </c>
      <c r="R28" s="774" t="s">
        <v>17</v>
      </c>
      <c r="S28" s="775">
        <f t="shared" si="12"/>
        <v>100</v>
      </c>
      <c r="T28" s="774" t="s">
        <v>17</v>
      </c>
      <c r="U28" s="775">
        <f t="shared" si="13"/>
        <v>100</v>
      </c>
      <c r="V28" s="774" t="s">
        <v>17</v>
      </c>
      <c r="W28" s="775">
        <f t="shared" si="14"/>
        <v>100</v>
      </c>
      <c r="X28" s="1808"/>
      <c r="Y28" s="3169"/>
      <c r="Z28" s="1809" t="str">
        <f t="shared" si="15"/>
        <v>物业等级</v>
      </c>
      <c r="AA28" s="1806">
        <f t="shared" si="3"/>
        <v>1</v>
      </c>
      <c r="AB28" s="1806">
        <f t="shared" si="4"/>
        <v>1</v>
      </c>
      <c r="AC28" s="1806">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69"/>
      <c r="Q29" s="1805" t="str">
        <f t="shared" si="11"/>
        <v>有无电梯</v>
      </c>
      <c r="R29" s="774" t="s">
        <v>17</v>
      </c>
      <c r="S29" s="775">
        <f t="shared" si="12"/>
        <v>100</v>
      </c>
      <c r="T29" s="774" t="s">
        <v>17</v>
      </c>
      <c r="U29" s="775">
        <f t="shared" si="13"/>
        <v>100</v>
      </c>
      <c r="V29" s="774" t="s">
        <v>17</v>
      </c>
      <c r="W29" s="775">
        <f t="shared" si="14"/>
        <v>100</v>
      </c>
      <c r="X29" s="1808"/>
      <c r="Y29" s="3169"/>
      <c r="Z29" s="1809" t="str">
        <f t="shared" si="15"/>
        <v>有无电梯</v>
      </c>
      <c r="AA29" s="1806">
        <f t="shared" si="3"/>
        <v>1</v>
      </c>
      <c r="AB29" s="1806">
        <f t="shared" si="4"/>
        <v>1</v>
      </c>
      <c r="AC29" s="1806">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69"/>
      <c r="Q30" s="1805" t="str">
        <f t="shared" si="11"/>
        <v>建筑面积</v>
      </c>
      <c r="R30" s="774" t="s">
        <v>17</v>
      </c>
      <c r="S30" s="775" t="e">
        <f t="shared" si="12"/>
        <v>#N/A</v>
      </c>
      <c r="T30" s="774" t="s">
        <v>17</v>
      </c>
      <c r="U30" s="775" t="e">
        <f t="shared" si="13"/>
        <v>#N/A</v>
      </c>
      <c r="V30" s="774" t="s">
        <v>17</v>
      </c>
      <c r="W30" s="775" t="e">
        <f t="shared" si="14"/>
        <v>#N/A</v>
      </c>
      <c r="X30" s="1808"/>
      <c r="Y30" s="3169"/>
      <c r="Z30" s="1809" t="str">
        <f t="shared" si="15"/>
        <v>建筑面积</v>
      </c>
      <c r="AA30" s="1806" t="e">
        <f t="shared" si="3"/>
        <v>#N/A</v>
      </c>
      <c r="AB30" s="1806" t="e">
        <f t="shared" si="4"/>
        <v>#N/A</v>
      </c>
      <c r="AC30" s="1806"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69"/>
      <c r="Q31" s="1790" t="str">
        <f t="shared" si="11"/>
        <v>是否封闭</v>
      </c>
      <c r="R31" s="770" t="s">
        <v>17</v>
      </c>
      <c r="S31" s="771">
        <f t="shared" si="12"/>
        <v>100</v>
      </c>
      <c r="T31" s="770" t="s">
        <v>17</v>
      </c>
      <c r="U31" s="771">
        <f t="shared" si="13"/>
        <v>100</v>
      </c>
      <c r="V31" s="770" t="s">
        <v>17</v>
      </c>
      <c r="W31" s="771">
        <f t="shared" si="14"/>
        <v>100</v>
      </c>
      <c r="X31" s="772"/>
      <c r="Y31" s="3169"/>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69" t="s">
        <v>2548</v>
      </c>
      <c r="Q32" s="1805">
        <f t="shared" si="11"/>
        <v>111</v>
      </c>
      <c r="R32" s="774" t="s">
        <v>17</v>
      </c>
      <c r="S32" s="775">
        <f t="shared" si="12"/>
        <v>100</v>
      </c>
      <c r="T32" s="774" t="s">
        <v>17</v>
      </c>
      <c r="U32" s="775">
        <f t="shared" si="13"/>
        <v>100</v>
      </c>
      <c r="V32" s="774" t="s">
        <v>17</v>
      </c>
      <c r="W32" s="775">
        <f t="shared" si="14"/>
        <v>100</v>
      </c>
      <c r="X32" s="1808"/>
      <c r="Y32" s="3169" t="s">
        <v>2548</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69"/>
      <c r="Q33" s="1805">
        <f t="shared" si="11"/>
        <v>111</v>
      </c>
      <c r="R33" s="774" t="s">
        <v>17</v>
      </c>
      <c r="S33" s="775">
        <f t="shared" si="12"/>
        <v>100</v>
      </c>
      <c r="T33" s="774" t="s">
        <v>17</v>
      </c>
      <c r="U33" s="775">
        <f t="shared" si="13"/>
        <v>100</v>
      </c>
      <c r="V33" s="774" t="s">
        <v>17</v>
      </c>
      <c r="W33" s="775">
        <f t="shared" si="14"/>
        <v>100</v>
      </c>
      <c r="X33" s="1808"/>
      <c r="Y33" s="3169"/>
      <c r="Z33" s="1809">
        <f t="shared" si="15"/>
        <v>111</v>
      </c>
      <c r="AA33" s="1806">
        <f t="shared" si="3"/>
        <v>1</v>
      </c>
      <c r="AB33" s="1806">
        <f t="shared" si="4"/>
        <v>1</v>
      </c>
      <c r="AC33" s="1806">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69"/>
      <c r="Q34" s="1805">
        <f t="shared" si="11"/>
        <v>111</v>
      </c>
      <c r="R34" s="774" t="s">
        <v>17</v>
      </c>
      <c r="S34" s="775">
        <f t="shared" si="12"/>
        <v>100</v>
      </c>
      <c r="T34" s="774" t="s">
        <v>17</v>
      </c>
      <c r="U34" s="775">
        <f t="shared" si="13"/>
        <v>100</v>
      </c>
      <c r="V34" s="774" t="s">
        <v>17</v>
      </c>
      <c r="W34" s="775">
        <f t="shared" si="14"/>
        <v>100</v>
      </c>
      <c r="X34" s="1808"/>
      <c r="Y34" s="3169"/>
      <c r="Z34" s="1809">
        <f t="shared" si="15"/>
        <v>111</v>
      </c>
      <c r="AA34" s="1806">
        <f t="shared" si="3"/>
        <v>1</v>
      </c>
      <c r="AB34" s="1806">
        <f t="shared" si="4"/>
        <v>1</v>
      </c>
      <c r="AC34" s="1806">
        <f t="shared" si="5"/>
        <v>1</v>
      </c>
    </row>
    <row r="35" spans="1:29" ht="14.4">
      <c r="A35" s="479" t="s">
        <v>2560</v>
      </c>
      <c r="B35" s="480"/>
      <c r="C35" s="1404" t="s">
        <v>1</v>
      </c>
      <c r="D35" s="1405"/>
      <c r="E35" s="1406"/>
      <c r="F35" s="1407"/>
      <c r="G35" s="1408"/>
      <c r="H35" s="1409"/>
      <c r="I35" s="1406"/>
      <c r="J35" s="1409"/>
      <c r="K35" s="783"/>
      <c r="L35" s="1140"/>
      <c r="M35" s="1141"/>
      <c r="N35" s="1128"/>
      <c r="O35" s="1141"/>
      <c r="P35" s="3164" t="str">
        <f>A35</f>
        <v>成交单价（元/平方米）</v>
      </c>
      <c r="Q35" s="3164"/>
      <c r="R35" s="3232">
        <f>E35</f>
        <v>0</v>
      </c>
      <c r="S35" s="3232"/>
      <c r="T35" s="3232">
        <f>G35</f>
        <v>0</v>
      </c>
      <c r="U35" s="3232"/>
      <c r="V35" s="3232">
        <f>I35</f>
        <v>0</v>
      </c>
      <c r="W35" s="3232"/>
      <c r="X35" s="759"/>
      <c r="Y35" s="781"/>
      <c r="Z35" s="759"/>
      <c r="AA35" s="759"/>
      <c r="AB35" s="759"/>
      <c r="AC35" s="759"/>
    </row>
    <row r="36" spans="1:29" ht="15" thickBot="1">
      <c r="A36" s="486" t="s">
        <v>2652</v>
      </c>
      <c r="B36" s="487"/>
      <c r="C36" s="1410" t="e">
        <f>R37</f>
        <v>#DIV/0!</v>
      </c>
      <c r="D36" s="1411"/>
      <c r="E36" s="1412" t="e">
        <f>R36</f>
        <v>#DIV/0!</v>
      </c>
      <c r="F36" s="1412"/>
      <c r="G36" s="1410" t="e">
        <f>T36</f>
        <v>#DIV/0!</v>
      </c>
      <c r="H36" s="1411"/>
      <c r="I36" s="1412" t="e">
        <f>V36</f>
        <v>#DIV/0!</v>
      </c>
      <c r="J36" s="1411"/>
      <c r="K36" s="784"/>
      <c r="L36" s="1140"/>
      <c r="M36" s="1141"/>
      <c r="N36" s="1128"/>
      <c r="O36" s="1141"/>
      <c r="P36" s="3164" t="str">
        <f>A36</f>
        <v>比较价值（元/平方米）</v>
      </c>
      <c r="Q36" s="3164"/>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 thickBot="1">
      <c r="A37" s="492" t="s">
        <v>2653</v>
      </c>
      <c r="B37" s="493"/>
      <c r="C37" s="1414" t="e">
        <f>R37</f>
        <v>#DIV/0!</v>
      </c>
      <c r="D37" s="1414"/>
      <c r="E37" s="1414"/>
      <c r="F37" s="1414"/>
      <c r="G37" s="1414"/>
      <c r="H37" s="1414"/>
      <c r="I37" s="1414"/>
      <c r="J37" s="1414"/>
      <c r="K37" s="785"/>
      <c r="L37" s="1140"/>
      <c r="M37" s="1141"/>
      <c r="N37" s="1141"/>
      <c r="O37" s="1141"/>
      <c r="P37" s="3158" t="str">
        <f>A37</f>
        <v>估价对象XX用房的比较价值（楼面单价，元/平方米）</v>
      </c>
      <c r="Q37" s="3159"/>
      <c r="R37" s="3231" t="e">
        <f>IF(F1="售价",ROUND(AVERAGE(R36:V36),0),ROUND(AVERAGE(R36:V36),1))</f>
        <v>#DIV/0!</v>
      </c>
      <c r="S37" s="3231"/>
      <c r="T37" s="3231"/>
      <c r="U37" s="3231"/>
      <c r="V37" s="3231"/>
      <c r="W37" s="323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2657</v>
      </c>
      <c r="B45" s="759"/>
      <c r="C45" s="764"/>
      <c r="D45" s="764"/>
      <c r="E45" s="764"/>
      <c r="F45" s="765"/>
      <c r="G45" s="765"/>
      <c r="H45" s="764"/>
      <c r="I45" s="764"/>
      <c r="J45" s="764"/>
      <c r="K45" s="766"/>
      <c r="L45" s="767"/>
      <c r="M45" s="764"/>
      <c r="N45" s="764"/>
      <c r="O45" s="764"/>
      <c r="P45" s="503"/>
      <c r="Q45" s="504"/>
    </row>
    <row r="46" spans="1:29" s="508" customFormat="1" ht="14.4">
      <c r="A46" s="505" t="s">
        <v>2531</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2568</v>
      </c>
      <c r="B48" s="516"/>
      <c r="C48" s="517"/>
      <c r="D48" s="518"/>
      <c r="E48" s="518"/>
      <c r="F48" s="518"/>
      <c r="G48" s="518"/>
      <c r="H48" s="518"/>
      <c r="I48" s="518"/>
      <c r="J48" s="518"/>
      <c r="K48" s="518"/>
      <c r="L48" s="518"/>
      <c r="M48" s="519"/>
      <c r="N48" s="518"/>
      <c r="O48" s="520"/>
      <c r="P48" s="504"/>
      <c r="Q48" s="504"/>
    </row>
    <row r="49" spans="1:17" s="117" customFormat="1" ht="14.4">
      <c r="A49" s="521" t="s">
        <v>2533</v>
      </c>
      <c r="B49" s="510"/>
      <c r="C49" s="522" t="s">
        <v>2635</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2571</v>
      </c>
      <c r="B51" s="528" t="s">
        <v>2537</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2540</v>
      </c>
      <c r="C53" s="539" t="s">
        <v>2572</v>
      </c>
      <c r="D53" s="539" t="s">
        <v>2573</v>
      </c>
      <c r="E53" s="539" t="s">
        <v>2574</v>
      </c>
      <c r="F53" s="539" t="s">
        <v>2575</v>
      </c>
      <c r="G53" s="539" t="s">
        <v>2576</v>
      </c>
      <c r="H53" s="539" t="s">
        <v>2577</v>
      </c>
      <c r="I53" s="539" t="s">
        <v>2578</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2723</v>
      </c>
      <c r="C63" s="578" t="s">
        <v>2580</v>
      </c>
      <c r="D63" s="578" t="s">
        <v>2581</v>
      </c>
      <c r="E63" s="578" t="s">
        <v>2582</v>
      </c>
      <c r="F63" s="578" t="s">
        <v>2583</v>
      </c>
      <c r="G63" s="578" t="s">
        <v>2584</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2672</v>
      </c>
      <c r="C65" s="660" t="s">
        <v>2658</v>
      </c>
      <c r="D65" s="660" t="s">
        <v>2659</v>
      </c>
      <c r="E65" s="660" t="s">
        <v>2660</v>
      </c>
      <c r="F65" s="660" t="s">
        <v>2661</v>
      </c>
      <c r="G65" s="660" t="s">
        <v>2662</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2592</v>
      </c>
      <c r="C67" s="578" t="s">
        <v>2580</v>
      </c>
      <c r="D67" s="578" t="s">
        <v>2581</v>
      </c>
      <c r="E67" s="578" t="s">
        <v>2582</v>
      </c>
      <c r="F67" s="578" t="s">
        <v>2583</v>
      </c>
      <c r="G67" s="578" t="s">
        <v>2584</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2712</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2546</v>
      </c>
      <c r="B77" s="528" t="s">
        <v>2599</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2716</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2724</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2726</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9" customWidth="1"/>
    <col min="33" max="36" width="9.33203125" style="2780" customWidth="1"/>
    <col min="37" max="38" width="9.33203125" style="2712" customWidth="1"/>
    <col min="39" max="16384" width="12" style="2712"/>
  </cols>
  <sheetData>
    <row r="1" spans="1:36" ht="31.2">
      <c r="A1" s="240" t="s">
        <v>2785</v>
      </c>
      <c r="B1" s="241"/>
      <c r="C1" s="245" t="s">
        <v>2786</v>
      </c>
      <c r="D1" s="388">
        <f>SUM(D29:D30,D33:D39)</f>
        <v>0</v>
      </c>
      <c r="E1" s="2709"/>
      <c r="F1" s="2709"/>
      <c r="G1" s="2709"/>
      <c r="H1" s="2709"/>
      <c r="I1" s="2709"/>
      <c r="J1" s="2709"/>
      <c r="K1" s="1367"/>
      <c r="L1" s="2710" t="s">
        <v>2787</v>
      </c>
      <c r="M1" s="1077">
        <f>SUMPRODUCT((区片价!B5:B9=I2)*(区片价!C3:F3=E2)*(区片价!C5:F9))</f>
        <v>0</v>
      </c>
      <c r="N1" s="1080">
        <f>SUMPRODUCT((因素修正幅度!B5:B9=I2)*(因素修正幅度!C3:F3=E2)*(因素修正幅度!C5:F9))</f>
        <v>0</v>
      </c>
      <c r="O1" s="2711"/>
      <c r="P1" s="2711"/>
      <c r="Q1" s="1367"/>
      <c r="R1" s="1597" t="s">
        <v>2788</v>
      </c>
      <c r="S1" s="1597" t="s">
        <v>2789</v>
      </c>
      <c r="T1" s="1597" t="s">
        <v>2790</v>
      </c>
      <c r="U1" s="1597" t="s">
        <v>2791</v>
      </c>
      <c r="V1" s="1597" t="s">
        <v>2792</v>
      </c>
      <c r="W1" s="1601"/>
      <c r="X1" s="1601"/>
      <c r="Y1" s="1601"/>
      <c r="Z1" s="1601"/>
      <c r="AA1" s="1601"/>
      <c r="AB1" s="1601"/>
      <c r="AC1" s="1602"/>
      <c r="AD1" s="1603"/>
      <c r="AE1" s="1603"/>
      <c r="AF1" s="1603"/>
      <c r="AG1" s="1603"/>
      <c r="AH1" s="1603"/>
      <c r="AI1" s="1603"/>
      <c r="AJ1" s="1604"/>
    </row>
    <row r="2" spans="1:36" ht="15.6">
      <c r="A2" s="245" t="s">
        <v>2793</v>
      </c>
      <c r="B2" s="248" t="e">
        <f>C26</f>
        <v>#DIV/0!</v>
      </c>
      <c r="C2" s="2713" t="s">
        <v>2794</v>
      </c>
      <c r="D2" s="2714" t="s">
        <v>2795</v>
      </c>
      <c r="E2" s="2715"/>
      <c r="F2" s="2714" t="s">
        <v>2796</v>
      </c>
      <c r="G2" s="2716">
        <f>IF(E2="商业",项目基本情况!B37,IF(E2="办公",项目基本情况!C37,IF(E2="住宅",项目基本情况!D37,项目基本情况!E37)))</f>
        <v>0</v>
      </c>
      <c r="H2" s="2714" t="s">
        <v>2797</v>
      </c>
      <c r="I2" s="2716">
        <f>IF(E2="商业",项目基本情况!B38,IF(E2="办公",项目基本情况!C38,IF(E2="住宅",项目基本情况!D38,项目基本情况!E38)))</f>
        <v>0</v>
      </c>
      <c r="J2" s="2717"/>
      <c r="K2" s="1367"/>
      <c r="L2" s="2718" t="s">
        <v>2798</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2799</v>
      </c>
      <c r="B3" s="248" t="e">
        <f>ROUND(B2*10000/D1,0)</f>
        <v>#DIV/0!</v>
      </c>
      <c r="C3" s="2713" t="s">
        <v>2800</v>
      </c>
      <c r="D3" s="2714" t="s">
        <v>2801</v>
      </c>
      <c r="E3" s="2719"/>
      <c r="F3" s="2720" t="s">
        <v>2802</v>
      </c>
      <c r="G3" s="913">
        <f>IF(F3="宗地容积率",'数据-汇总表'!I4,IF(F3="估价对象容积率",'数据-汇总表'!I6,'数据-汇总表'!I7))</f>
        <v>0.55000000000000004</v>
      </c>
      <c r="H3" s="198" t="s">
        <v>2803</v>
      </c>
      <c r="I3" s="941"/>
      <c r="J3" s="2717" t="s">
        <v>2804</v>
      </c>
      <c r="K3" s="1367"/>
      <c r="L3" s="2718" t="s">
        <v>2805</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57"/>
      <c r="B4" s="3258"/>
      <c r="C4" s="3258"/>
      <c r="D4" s="3259"/>
      <c r="E4" s="3259"/>
      <c r="F4" s="3259"/>
      <c r="G4" s="3259"/>
      <c r="H4" s="3259"/>
      <c r="I4" s="3259"/>
      <c r="J4" s="3260"/>
      <c r="K4" s="1367"/>
      <c r="L4" s="2718" t="s">
        <v>2806</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6" thickBot="1">
      <c r="A5" s="2721" t="s">
        <v>807</v>
      </c>
      <c r="B5" s="2722" t="s">
        <v>2807</v>
      </c>
      <c r="C5" s="914" t="e">
        <f>ROUND(IF(E2="商业",C6*C7+C16,(IF(E2="住宅",C6*C12+C16,C6+C16))),0)</f>
        <v>#DIV/0!</v>
      </c>
      <c r="D5" s="1782" t="e">
        <f>ROUND(IF(F17="增加",C6+C16,C6-C16),0)</f>
        <v>#DIV/0!</v>
      </c>
      <c r="E5" s="1782"/>
      <c r="F5" s="2723"/>
      <c r="G5" s="2724"/>
      <c r="H5" s="2724"/>
      <c r="I5" s="2724"/>
      <c r="J5" s="2725"/>
      <c r="K5" s="2726"/>
      <c r="L5" s="2718" t="s">
        <v>2808</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6" thickBot="1">
      <c r="A6" s="2731" t="s">
        <v>2809</v>
      </c>
      <c r="B6" s="2732" t="s">
        <v>2810</v>
      </c>
      <c r="C6" s="915">
        <f>SUMIF(L1:L12,G2,M1:M12)</f>
        <v>0</v>
      </c>
      <c r="D6" s="2733" t="s">
        <v>2811</v>
      </c>
      <c r="E6" s="2734"/>
      <c r="F6" s="2734"/>
      <c r="G6" s="2735"/>
      <c r="H6" s="2735"/>
      <c r="I6" s="2735"/>
      <c r="J6" s="2736"/>
      <c r="K6" s="1837"/>
      <c r="L6" s="2718" t="s">
        <v>2812</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61" t="str">
        <f>IF(E2="商业",IF(C8="不临58条商业街","",2),"")</f>
        <v/>
      </c>
      <c r="B7" s="2737" t="s">
        <v>2813</v>
      </c>
      <c r="C7" s="916" t="e">
        <f>IF(C8="不临58条商业街",1,ROUND(1+(1.6*E8+1.2*E9+0.8*E10+0.4*E11)*C9,4))</f>
        <v>#DIV/0!</v>
      </c>
      <c r="D7" s="2738" t="s">
        <v>2814</v>
      </c>
      <c r="E7" s="942"/>
      <c r="F7" s="2739"/>
      <c r="G7" s="2740"/>
      <c r="H7" s="2740"/>
      <c r="I7" s="2740"/>
      <c r="J7" s="2741"/>
      <c r="K7" s="1837"/>
      <c r="L7" s="2718" t="s">
        <v>2815</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2816</v>
      </c>
      <c r="X7" s="1599">
        <f>G2</f>
        <v>0</v>
      </c>
      <c r="Y7" s="1599" t="s">
        <v>2817</v>
      </c>
      <c r="Z7" s="1600">
        <f>G3</f>
        <v>0.55000000000000004</v>
      </c>
      <c r="AA7" s="1601"/>
      <c r="AB7" s="1601"/>
      <c r="AC7" s="1602"/>
      <c r="AD7" s="1603"/>
      <c r="AE7" s="1603"/>
      <c r="AF7" s="1603"/>
      <c r="AG7" s="1603"/>
      <c r="AH7" s="1603"/>
      <c r="AI7" s="1603"/>
      <c r="AJ7" s="1604"/>
    </row>
    <row r="8" spans="1:36" ht="15">
      <c r="A8" s="3262"/>
      <c r="B8" s="198" t="s">
        <v>2818</v>
      </c>
      <c r="C8" s="2742"/>
      <c r="D8" s="917" t="s">
        <v>139</v>
      </c>
      <c r="E8" s="918" t="e">
        <f>ROUND(C11/E7,4)</f>
        <v>#DIV/0!</v>
      </c>
      <c r="F8" s="2743" t="s">
        <v>2819</v>
      </c>
      <c r="G8" s="2744"/>
      <c r="H8" s="2744"/>
      <c r="I8" s="2744"/>
      <c r="J8" s="2745"/>
      <c r="K8" s="1367"/>
      <c r="L8" s="2718" t="s">
        <v>2820</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54" t="s">
        <v>2821</v>
      </c>
      <c r="X8" s="3255"/>
      <c r="Y8" s="1605" t="s">
        <v>2822</v>
      </c>
      <c r="Z8" s="1605" t="s">
        <v>2823</v>
      </c>
      <c r="AA8" s="1605" t="s">
        <v>2824</v>
      </c>
      <c r="AB8" s="1605" t="s">
        <v>2825</v>
      </c>
      <c r="AC8" s="1605" t="s">
        <v>2826</v>
      </c>
      <c r="AD8" s="1605" t="s">
        <v>2827</v>
      </c>
      <c r="AE8" s="1605" t="s">
        <v>2828</v>
      </c>
      <c r="AF8" s="1605" t="s">
        <v>2829</v>
      </c>
      <c r="AG8" s="1605" t="s">
        <v>2830</v>
      </c>
      <c r="AH8" s="1605" t="s">
        <v>2831</v>
      </c>
      <c r="AI8" s="1605" t="s">
        <v>2832</v>
      </c>
      <c r="AJ8" s="1605" t="s">
        <v>2833</v>
      </c>
    </row>
    <row r="9" spans="1:36" ht="15">
      <c r="A9" s="3262"/>
      <c r="B9" s="198" t="s">
        <v>2834</v>
      </c>
      <c r="C9" s="919">
        <f>SUMIF(修正!C59:C119,C8,修正!E59:E119)</f>
        <v>0</v>
      </c>
      <c r="D9" s="200" t="s">
        <v>140</v>
      </c>
      <c r="E9" s="200" t="e">
        <f>ROUND(C11/E7,4)</f>
        <v>#DIV/0!</v>
      </c>
      <c r="F9" s="2743" t="s">
        <v>2835</v>
      </c>
      <c r="G9" s="2744"/>
      <c r="H9" s="2744"/>
      <c r="I9" s="2744"/>
      <c r="J9" s="2745"/>
      <c r="K9" s="1367"/>
      <c r="L9" s="2718" t="s">
        <v>2836</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56" t="s">
        <v>2837</v>
      </c>
      <c r="X9" s="1606" t="s">
        <v>2838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62"/>
      <c r="B10" s="198" t="s">
        <v>2839</v>
      </c>
      <c r="C10" s="200">
        <f>SUMIF(修正!C59:C119,C8,修正!F59:F119)</f>
        <v>0</v>
      </c>
      <c r="D10" s="200" t="s">
        <v>141</v>
      </c>
      <c r="E10" s="200" t="e">
        <f>ROUND(C11/E7,4)</f>
        <v>#DIV/0!</v>
      </c>
      <c r="F10" s="2743" t="s">
        <v>2840</v>
      </c>
      <c r="G10" s="2744"/>
      <c r="H10" s="2744"/>
      <c r="I10" s="2744"/>
      <c r="J10" s="2745"/>
      <c r="K10" s="1367"/>
      <c r="L10" s="2718" t="s">
        <v>2841</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5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62"/>
      <c r="B11" s="2746" t="s">
        <v>2842</v>
      </c>
      <c r="C11" s="920">
        <f>C10/4</f>
        <v>0</v>
      </c>
      <c r="D11" s="920" t="s">
        <v>142</v>
      </c>
      <c r="E11" s="920" t="e">
        <f>ROUND(C11/E7,4)</f>
        <v>#DIV/0!</v>
      </c>
      <c r="F11" s="2747" t="s">
        <v>2843</v>
      </c>
      <c r="G11" s="2748"/>
      <c r="H11" s="2748"/>
      <c r="I11" s="2748"/>
      <c r="J11" s="2749"/>
      <c r="K11" s="1367"/>
      <c r="L11" s="2718" t="s">
        <v>2844</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56" t="s">
        <v>2845</v>
      </c>
      <c r="X11" s="1609" t="s">
        <v>2846</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8" thickBot="1">
      <c r="A12" s="3261" t="s">
        <v>2847</v>
      </c>
      <c r="B12" s="2750" t="s">
        <v>2848</v>
      </c>
      <c r="C12" s="916">
        <f>ROUND(C15*D15*E15*F15*G15*H15*I15*J15,4)</f>
        <v>1</v>
      </c>
      <c r="D12" s="2751" t="s">
        <v>2849</v>
      </c>
      <c r="E12" s="2752"/>
      <c r="F12" s="2752"/>
      <c r="G12" s="2753"/>
      <c r="H12" s="2753"/>
      <c r="I12" s="2753"/>
      <c r="J12" s="2754"/>
      <c r="K12" s="1367"/>
      <c r="L12" s="2755" t="s">
        <v>2850</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56"/>
      <c r="X12" s="1611" t="s">
        <v>2851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63"/>
      <c r="B13" s="2756" t="s">
        <v>2852</v>
      </c>
      <c r="C13" s="2757" t="s">
        <v>2853</v>
      </c>
      <c r="D13" s="1803" t="s">
        <v>2854</v>
      </c>
      <c r="E13" s="1803" t="s">
        <v>2855</v>
      </c>
      <c r="F13" s="30" t="s">
        <v>2856</v>
      </c>
      <c r="G13" s="2758" t="s">
        <v>2857</v>
      </c>
      <c r="H13" s="2758" t="s">
        <v>2857</v>
      </c>
      <c r="I13" s="2758" t="s">
        <v>2857</v>
      </c>
      <c r="J13" s="2759" t="s">
        <v>2857</v>
      </c>
      <c r="K13" s="1367"/>
      <c r="L13" s="1367"/>
      <c r="M13" s="1367"/>
      <c r="N13" s="1367"/>
      <c r="O13" s="1367"/>
      <c r="P13" s="1367"/>
      <c r="Q13" s="1367"/>
      <c r="R13" s="1597">
        <v>12</v>
      </c>
      <c r="S13" s="1598"/>
      <c r="T13" s="1597" t="e">
        <f t="shared" si="0"/>
        <v>#DIV/0!</v>
      </c>
      <c r="U13" s="1598"/>
      <c r="V13" s="1597" t="e">
        <f t="shared" si="1"/>
        <v>#DIV/0!</v>
      </c>
      <c r="W13" s="3256"/>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63"/>
      <c r="B14" s="2760"/>
      <c r="C14" s="2761"/>
      <c r="D14" s="2762"/>
      <c r="E14" s="2762"/>
      <c r="F14" s="2763"/>
      <c r="G14" s="2764" t="s">
        <v>2858</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64"/>
      <c r="B15" s="2768" t="s">
        <v>2859</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61" t="s">
        <v>2864</v>
      </c>
      <c r="B16" s="2737" t="s">
        <v>2865</v>
      </c>
      <c r="C16" s="2927" t="e">
        <f>ROUND(IF(F17="与级别开发程度一致",0,(G17-E17)/C17),0)</f>
        <v>#DIV/0!</v>
      </c>
      <c r="D16" s="3275" t="s">
        <v>2869</v>
      </c>
      <c r="E16" s="3276"/>
      <c r="F16" s="3275" t="s">
        <v>2866</v>
      </c>
      <c r="G16" s="3276"/>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65"/>
      <c r="B17" s="2938" t="s">
        <v>2868</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 thickBot="1">
      <c r="A18" s="2932" t="s">
        <v>808</v>
      </c>
      <c r="B18" s="2933" t="s">
        <v>2871</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4" thickBot="1">
      <c r="A19" s="2776" t="s">
        <v>809</v>
      </c>
      <c r="B19" s="2777" t="s">
        <v>2872</v>
      </c>
      <c r="C19" s="921" t="e">
        <f>ROUND(IF(H19="按公示增长率计算",SUMPRODUCT((地价!A3:A26=YEAR(G19)&amp;"-"&amp;ROUNDUP(MONTH(G19)/3,0))*(地价!X2:AB2=E2)*(地价!X3:AB26)),IF(H19="地价指数",M20/M19,(1+I19)^O19)),4)</f>
        <v>#DIV/0!</v>
      </c>
      <c r="D19" s="2781" t="s">
        <v>2873</v>
      </c>
      <c r="E19" s="922">
        <v>41640</v>
      </c>
      <c r="F19" s="2781" t="s">
        <v>2874</v>
      </c>
      <c r="G19" s="923">
        <f>'数据-取费表'!B2</f>
        <v>43584</v>
      </c>
      <c r="H19" s="2782" t="s">
        <v>2875</v>
      </c>
      <c r="I19" s="924" t="str">
        <f>IF(H19="季度增幅（自定义）",SUMIF(N21:N24,E2,O21:O24),"")</f>
        <v/>
      </c>
      <c r="J19" s="2779"/>
      <c r="K19" s="1374"/>
      <c r="L19" s="2783" t="s">
        <v>2876</v>
      </c>
      <c r="M19" s="1729">
        <f>ROUND(SUMIF(地价!B2:F2,E2,地价!B26:F26),0)</f>
        <v>0</v>
      </c>
      <c r="N19" s="2784" t="s">
        <v>2877</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9.4" thickBot="1">
      <c r="A20" s="2788" t="s">
        <v>810</v>
      </c>
      <c r="B20" s="2789" t="s">
        <v>2878</v>
      </c>
      <c r="C20" s="926" t="e">
        <f>ROUND(POWER(1+G20,J20-I20)*(POWER(1+G20,I20)-1)/(POWER(1+G20,J20)-1),4)</f>
        <v>#DIV/0!</v>
      </c>
      <c r="D20" s="2790" t="s">
        <v>2879</v>
      </c>
      <c r="E20" s="1763">
        <f ca="1">存贷款利率!D4/100</f>
        <v>4.3499999999999997E-2</v>
      </c>
      <c r="F20" s="2790" t="s">
        <v>2870</v>
      </c>
      <c r="G20" s="931">
        <f>SUMIF(M26:P26,E2,M28:P28)</f>
        <v>0</v>
      </c>
      <c r="H20" s="2790" t="s">
        <v>2880</v>
      </c>
      <c r="I20" s="932" t="e">
        <f>SUMIF('数据-取费表'!C6:C15,E2,'数据-取费表'!F6:F15)/COUNTIF('数据-取费表'!C6:C15,E2)</f>
        <v>#DIV/0!</v>
      </c>
      <c r="J20" s="933">
        <f>IF(E2="住宅",70,IF(E2="商业",40,50))</f>
        <v>50</v>
      </c>
      <c r="K20" s="1374"/>
      <c r="L20" s="2791" t="s">
        <v>2881</v>
      </c>
      <c r="M20" s="1730">
        <f>ROUND(SUMPRODUCT((地价!A4:A26=YEAR(G19)&amp;"-"&amp;ROUNDUP(MONTH(G19)/3,0))*(地价!B2:F2=E2)*(地价!B4:F26)),0)</f>
        <v>0</v>
      </c>
      <c r="N20" s="2792" t="s">
        <v>2882</v>
      </c>
      <c r="O20" s="2793" t="s">
        <v>2883</v>
      </c>
      <c r="P20" s="2794" t="s">
        <v>2884</v>
      </c>
      <c r="R20" s="1373"/>
      <c r="S20" s="1373"/>
      <c r="T20" s="1368"/>
      <c r="U20" s="1368"/>
      <c r="V20" s="1368"/>
      <c r="W20" s="1367"/>
      <c r="X20" s="1367"/>
      <c r="Y20" s="1367"/>
      <c r="Z20" s="1374"/>
      <c r="AA20" s="1375"/>
      <c r="AB20" s="1375"/>
      <c r="AC20" s="1375"/>
      <c r="AD20" s="1375"/>
      <c r="AE20" s="1375"/>
      <c r="AF20" s="1375"/>
    </row>
    <row r="21" spans="1:37" s="2730" customFormat="1" ht="14.4">
      <c r="A21" s="2795" t="s">
        <v>811</v>
      </c>
      <c r="B21" s="2796" t="s">
        <v>2885</v>
      </c>
      <c r="C21" s="934">
        <f>IF(B21="容积率修正",IF(G3&lt;=10,D22,J22),C23)</f>
        <v>0</v>
      </c>
      <c r="D21" s="2797"/>
      <c r="E21" s="2797"/>
      <c r="F21" s="2797"/>
      <c r="G21" s="2797"/>
      <c r="H21" s="2797"/>
      <c r="I21" s="2797"/>
      <c r="J21" s="2798"/>
      <c r="K21" s="1374"/>
      <c r="N21" s="2799" t="s">
        <v>2886</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4">
      <c r="A22" s="2657" t="s">
        <v>2887</v>
      </c>
      <c r="B22" s="2800" t="s">
        <v>2888</v>
      </c>
      <c r="C22" s="1805" t="s">
        <v>2889</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2890</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57" t="s">
        <v>2891</v>
      </c>
      <c r="B23" s="2801" t="s">
        <v>2892</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2893</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 thickBot="1">
      <c r="A24" s="2788" t="s">
        <v>812</v>
      </c>
      <c r="B24" s="2777" t="s">
        <v>2894</v>
      </c>
      <c r="C24" s="921">
        <f>SUMIF(A45:A88,E2,B45:B88)</f>
        <v>0</v>
      </c>
      <c r="D24" s="2778"/>
      <c r="E24" s="2807"/>
      <c r="F24" s="2807"/>
      <c r="G24" s="2807"/>
      <c r="H24" s="2807"/>
      <c r="I24" s="2807"/>
      <c r="J24" s="2808"/>
      <c r="K24" s="1374"/>
      <c r="N24" s="2809" t="s">
        <v>2895</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88" t="s">
        <v>813</v>
      </c>
      <c r="B25" s="2810" t="s">
        <v>2896</v>
      </c>
      <c r="C25" s="927"/>
      <c r="D25" s="2740"/>
      <c r="E25" s="2740"/>
      <c r="F25" s="2811"/>
      <c r="G25" s="2740"/>
      <c r="H25" s="2740"/>
      <c r="I25" s="2740"/>
      <c r="J25" s="2741"/>
      <c r="K25" s="1367"/>
      <c r="N25" s="2812" t="s">
        <v>2897</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3"/>
      <c r="B26" s="2800" t="s">
        <v>2898</v>
      </c>
      <c r="C26" s="206" t="e">
        <f>E29+SUM(E33:E39)</f>
        <v>#DIV/0!</v>
      </c>
      <c r="D26" s="2814"/>
      <c r="E26" s="2765"/>
      <c r="F26" s="2815"/>
      <c r="G26" s="2765"/>
      <c r="H26" s="2765"/>
      <c r="I26" s="2765"/>
      <c r="J26" s="2816"/>
      <c r="K26" s="1367"/>
      <c r="L26" s="2769" t="s">
        <v>2795</v>
      </c>
      <c r="M26" s="917" t="s">
        <v>2860</v>
      </c>
      <c r="N26" s="917" t="s">
        <v>2861</v>
      </c>
      <c r="O26" s="917" t="s">
        <v>2862</v>
      </c>
      <c r="P26" s="2770" t="s">
        <v>2863</v>
      </c>
      <c r="R26" s="1373"/>
      <c r="S26" s="1373"/>
      <c r="T26" s="1368"/>
      <c r="U26" s="1368"/>
      <c r="V26" s="1368"/>
      <c r="W26" s="1367"/>
      <c r="X26" s="1367"/>
      <c r="Y26" s="1367"/>
      <c r="Z26" s="1374"/>
      <c r="AA26" s="1375"/>
      <c r="AB26" s="1375"/>
      <c r="AC26" s="1375"/>
      <c r="AD26" s="1375"/>
    </row>
    <row r="27" spans="1:37" ht="15" thickBot="1">
      <c r="A27" s="2813"/>
      <c r="B27" s="2817" t="s">
        <v>2899</v>
      </c>
      <c r="C27" s="928" t="e">
        <f>E30+SUM(I33:I39)</f>
        <v>#DIV/0!</v>
      </c>
      <c r="D27" s="2818"/>
      <c r="E27" s="2819"/>
      <c r="F27" s="2820"/>
      <c r="G27" s="2819"/>
      <c r="H27" s="2819"/>
      <c r="I27" s="2819"/>
      <c r="J27" s="2821"/>
      <c r="K27" s="1367"/>
      <c r="L27" s="2773" t="s">
        <v>2867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2"/>
      <c r="B28" s="2823" t="s">
        <v>2900</v>
      </c>
      <c r="C28" s="2824" t="s">
        <v>2901</v>
      </c>
      <c r="D28" s="2824" t="s">
        <v>2902</v>
      </c>
      <c r="E28" s="2825" t="s">
        <v>2903</v>
      </c>
      <c r="F28" s="2826"/>
      <c r="G28" s="2753"/>
      <c r="H28" s="2753"/>
      <c r="I28" s="2753"/>
      <c r="J28" s="2754"/>
      <c r="K28" s="1367"/>
      <c r="L28" s="2774" t="s">
        <v>2870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2904</v>
      </c>
      <c r="C29" s="206" t="e">
        <f>ROUND(C5*C18*C19*C20*C21*C24,0)</f>
        <v>#DIV/0!</v>
      </c>
      <c r="D29" s="2829"/>
      <c r="E29" s="939" t="e">
        <f>ROUND(C29*D29/10000,0)</f>
        <v>#DIV/0!</v>
      </c>
      <c r="F29" s="2830" t="s">
        <v>2905</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8" thickBot="1">
      <c r="A30" s="2833"/>
      <c r="B30" s="2834" t="s">
        <v>2906</v>
      </c>
      <c r="C30" s="229" t="e">
        <f>ROUND(IF(E2="工业",C29*M39,C29*M38),0)</f>
        <v>#DIV/0!</v>
      </c>
      <c r="D30" s="2835"/>
      <c r="E30" s="939" t="e">
        <f>ROUND(C30*D30/10000,0)</f>
        <v>#DIV/0!</v>
      </c>
      <c r="F30" s="2836" t="s">
        <v>2907</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3.8">
      <c r="A31" s="2839"/>
      <c r="B31" s="2840" t="s">
        <v>2908</v>
      </c>
      <c r="C31" s="2841" t="s">
        <v>2909</v>
      </c>
      <c r="D31" s="2753"/>
      <c r="E31" s="2841"/>
      <c r="F31" s="2841"/>
      <c r="G31" s="2751" t="s">
        <v>2910</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36">
      <c r="A32" s="2827"/>
      <c r="B32" s="2843"/>
      <c r="C32" s="501" t="s">
        <v>2901</v>
      </c>
      <c r="D32" s="498" t="s">
        <v>2902</v>
      </c>
      <c r="E32" s="498" t="s">
        <v>2903</v>
      </c>
      <c r="F32" s="388" t="s">
        <v>2911</v>
      </c>
      <c r="G32" s="2844" t="s">
        <v>2901</v>
      </c>
      <c r="H32" s="2844" t="s">
        <v>2902</v>
      </c>
      <c r="I32" s="2844" t="s">
        <v>2903</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72" t="s">
        <v>2912</v>
      </c>
      <c r="B33" s="2845" t="s">
        <v>2913</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73"/>
      <c r="B34" s="2757" t="s">
        <v>2914</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3"/>
      <c r="B35" s="2757" t="s">
        <v>2915</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8" thickBot="1">
      <c r="A36" s="3274"/>
      <c r="B36" s="2757" t="s">
        <v>2916</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2917</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2918</v>
      </c>
      <c r="M37" s="2849"/>
      <c r="N37" s="1367"/>
      <c r="O37" s="1367"/>
      <c r="P37" s="1367"/>
      <c r="Q37" s="1367"/>
      <c r="R37" s="1367"/>
      <c r="S37" s="1367"/>
      <c r="T37" s="1367"/>
      <c r="U37" s="1367"/>
      <c r="V37" s="1367"/>
      <c r="W37" s="1367"/>
      <c r="X37" s="1367"/>
      <c r="Y37" s="1367"/>
      <c r="Z37" s="1368"/>
    </row>
    <row r="38" spans="1:37">
      <c r="A38" s="2847"/>
      <c r="B38" s="2757" t="s">
        <v>2919</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2920</v>
      </c>
      <c r="M38" s="2850">
        <v>0.25</v>
      </c>
      <c r="N38" s="1367"/>
      <c r="O38" s="1367"/>
      <c r="P38" s="1367"/>
      <c r="Q38" s="1367"/>
      <c r="R38" s="1367"/>
      <c r="S38" s="1367"/>
      <c r="T38" s="1367"/>
      <c r="U38" s="1367"/>
      <c r="V38" s="1367"/>
      <c r="W38" s="1367"/>
      <c r="X38" s="1367"/>
      <c r="Y38" s="1367"/>
      <c r="Z38" s="1368"/>
    </row>
    <row r="39" spans="1:37" ht="13.8" thickBot="1">
      <c r="A39" s="2833"/>
      <c r="B39" s="2851" t="s">
        <v>2921</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2863</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2" t="s">
        <v>3032</v>
      </c>
      <c r="C41" s="388" t="e">
        <f>ROUND(POWER(1+E41,H41-G41)*(POWER(1+E41,G41)-1)/(POWER(1+E41,H41)-1),4)</f>
        <v>#DIV/0!</v>
      </c>
      <c r="D41" s="200" t="s">
        <v>2870</v>
      </c>
      <c r="E41" s="2921">
        <f>G20</f>
        <v>0</v>
      </c>
      <c r="F41" s="200" t="s">
        <v>2880</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 thickBot="1">
      <c r="A45" s="2856" t="s">
        <v>2922</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4.4">
      <c r="A46" s="2858" t="s">
        <v>2923</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5.2">
      <c r="A47" s="2862" t="s">
        <v>2924</v>
      </c>
      <c r="B47" s="1804" t="s">
        <v>2925</v>
      </c>
      <c r="C47" s="1804" t="s">
        <v>2926</v>
      </c>
      <c r="D47" s="1804" t="s">
        <v>2927</v>
      </c>
      <c r="E47" s="816" t="s">
        <v>2928</v>
      </c>
      <c r="F47" s="2863" t="s">
        <v>2929</v>
      </c>
      <c r="G47" s="1804" t="s">
        <v>754</v>
      </c>
      <c r="H47" s="2864" t="s">
        <v>2930</v>
      </c>
      <c r="I47" s="1804" t="s">
        <v>2931</v>
      </c>
      <c r="J47" s="603" t="s">
        <v>2580</v>
      </c>
      <c r="K47" s="603" t="s">
        <v>2581</v>
      </c>
      <c r="L47" s="603" t="s">
        <v>2582</v>
      </c>
      <c r="M47" s="603" t="s">
        <v>2583</v>
      </c>
      <c r="N47" s="603" t="s">
        <v>2584</v>
      </c>
      <c r="AA47" s="1368"/>
      <c r="AB47" s="1368"/>
      <c r="AC47" s="1368"/>
      <c r="AD47" s="1368"/>
      <c r="AE47" s="1368"/>
      <c r="AF47" s="1368"/>
      <c r="AG47" s="1368"/>
      <c r="AH47" s="1368"/>
      <c r="AI47" s="1368"/>
      <c r="AJ47" s="1368"/>
      <c r="AK47" s="1368"/>
    </row>
    <row r="48" spans="1:37" s="1367" customFormat="1" ht="25.2">
      <c r="A48" s="2862" t="s">
        <v>2932</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2" t="s">
        <v>2933</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2934</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2" t="s">
        <v>2935</v>
      </c>
      <c r="B51" s="2867" t="s">
        <v>2936</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2937</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2" t="s">
        <v>2938</v>
      </c>
      <c r="B53" s="2868" t="s">
        <v>2939</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2940</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2941</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70" t="s">
        <v>2942</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8" t="s">
        <v>2943</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2" t="s">
        <v>2924</v>
      </c>
      <c r="B58" s="1804"/>
      <c r="C58" s="1804" t="s">
        <v>2926</v>
      </c>
      <c r="D58" s="1804" t="s">
        <v>2927</v>
      </c>
      <c r="E58" s="816" t="s">
        <v>2928</v>
      </c>
      <c r="F58" s="2863" t="s">
        <v>2944</v>
      </c>
      <c r="G58" s="1804" t="s">
        <v>754</v>
      </c>
      <c r="H58" s="2864" t="s">
        <v>2930</v>
      </c>
      <c r="I58" s="1804" t="s">
        <v>2931</v>
      </c>
      <c r="J58" s="603" t="s">
        <v>2580</v>
      </c>
      <c r="K58" s="603" t="s">
        <v>2581</v>
      </c>
      <c r="L58" s="603" t="s">
        <v>2582</v>
      </c>
      <c r="M58" s="603" t="s">
        <v>2583</v>
      </c>
      <c r="N58" s="603" t="s">
        <v>2584</v>
      </c>
      <c r="AA58" s="1368"/>
      <c r="AB58" s="1368"/>
      <c r="AC58" s="1368"/>
      <c r="AD58" s="1368"/>
      <c r="AE58" s="1368"/>
      <c r="AF58" s="1368"/>
      <c r="AG58" s="1368"/>
      <c r="AH58" s="1368"/>
      <c r="AI58" s="1368"/>
      <c r="AJ58" s="1368"/>
      <c r="AK58" s="1368"/>
    </row>
    <row r="59" spans="1:37" s="1367" customFormat="1" ht="24">
      <c r="A59" s="2862" t="s">
        <v>2945</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2" t="s">
        <v>2933</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2934</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2" t="s">
        <v>2935</v>
      </c>
      <c r="B62" s="2867" t="s">
        <v>2936</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2937</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2" t="s">
        <v>2938</v>
      </c>
      <c r="B64" s="2868" t="s">
        <v>2939</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2940</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2941</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70" t="s">
        <v>2942</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8" t="s">
        <v>2946</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2" t="s">
        <v>2924</v>
      </c>
      <c r="B69" s="1804"/>
      <c r="C69" s="1804" t="s">
        <v>2926</v>
      </c>
      <c r="D69" s="1804" t="s">
        <v>2927</v>
      </c>
      <c r="E69" s="816" t="s">
        <v>2928</v>
      </c>
      <c r="F69" s="2863" t="s">
        <v>2944</v>
      </c>
      <c r="G69" s="1804" t="s">
        <v>754</v>
      </c>
      <c r="H69" s="2864" t="s">
        <v>2930</v>
      </c>
      <c r="I69" s="1804" t="s">
        <v>2931</v>
      </c>
      <c r="J69" s="603" t="s">
        <v>2580</v>
      </c>
      <c r="K69" s="603" t="s">
        <v>2581</v>
      </c>
      <c r="L69" s="603" t="s">
        <v>2582</v>
      </c>
      <c r="M69" s="603" t="s">
        <v>2583</v>
      </c>
      <c r="N69" s="603" t="s">
        <v>2584</v>
      </c>
      <c r="AA69" s="1368"/>
      <c r="AB69" s="1368"/>
      <c r="AC69" s="1368"/>
      <c r="AD69" s="1368"/>
      <c r="AE69" s="1368"/>
      <c r="AF69" s="1368"/>
      <c r="AG69" s="1368"/>
      <c r="AH69" s="1368"/>
      <c r="AI69" s="1368"/>
      <c r="AJ69" s="1368"/>
      <c r="AK69" s="1368"/>
    </row>
    <row r="70" spans="1:37" s="1367" customFormat="1" ht="24">
      <c r="A70" s="2862" t="s">
        <v>2947</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2" t="s">
        <v>2933</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2934</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2" t="s">
        <v>2948</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2940</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2941</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36">
      <c r="A76" s="2862" t="s">
        <v>2938</v>
      </c>
      <c r="B76" s="2868" t="s">
        <v>2939</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6">
      <c r="A77" s="2862" t="s">
        <v>2942</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36.6" thickBot="1">
      <c r="A78" s="2870" t="s">
        <v>2949</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4.4">
      <c r="A79" s="2858" t="s">
        <v>2950</v>
      </c>
      <c r="B79" s="2859">
        <f>1+E81</f>
        <v>1</v>
      </c>
      <c r="C79" s="811"/>
      <c r="D79" s="811"/>
      <c r="E79" s="812"/>
      <c r="F79" s="2861"/>
      <c r="G79" s="6"/>
      <c r="H79" s="6"/>
      <c r="I79" s="6"/>
      <c r="J79" s="7"/>
      <c r="K79" s="7"/>
      <c r="L79" s="7"/>
      <c r="M79" s="7"/>
      <c r="N79" s="7"/>
      <c r="Z79" s="2712"/>
      <c r="AA79" s="2780"/>
      <c r="AG79" s="1369"/>
      <c r="AK79" s="2780"/>
    </row>
    <row r="80" spans="1:37" ht="25.2">
      <c r="A80" s="2862" t="s">
        <v>2924</v>
      </c>
      <c r="B80" s="1804"/>
      <c r="C80" s="1804" t="s">
        <v>2926</v>
      </c>
      <c r="D80" s="1804" t="s">
        <v>2927</v>
      </c>
      <c r="E80" s="816" t="s">
        <v>2928</v>
      </c>
      <c r="F80" s="2863" t="s">
        <v>2944</v>
      </c>
      <c r="G80" s="1804" t="s">
        <v>754</v>
      </c>
      <c r="H80" s="2864" t="s">
        <v>2930</v>
      </c>
      <c r="I80" s="1804" t="s">
        <v>2931</v>
      </c>
      <c r="J80" s="603" t="s">
        <v>2580</v>
      </c>
      <c r="K80" s="603" t="s">
        <v>2581</v>
      </c>
      <c r="L80" s="603" t="s">
        <v>2582</v>
      </c>
      <c r="M80" s="603" t="s">
        <v>2583</v>
      </c>
      <c r="N80" s="603" t="s">
        <v>2584</v>
      </c>
      <c r="Z80" s="2712"/>
      <c r="AA80" s="2780"/>
      <c r="AG80" s="1369"/>
      <c r="AK80" s="2780"/>
    </row>
    <row r="81" spans="1:37" ht="24">
      <c r="A81" s="2862" t="s">
        <v>2951</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24">
      <c r="A82" s="2862" t="s">
        <v>2933</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2934</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3.8">
      <c r="A84" s="2862" t="s">
        <v>2948</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2940</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2941</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36">
      <c r="A87" s="2862" t="s">
        <v>2938</v>
      </c>
      <c r="B87" s="2868" t="s">
        <v>2952</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4.4" thickBot="1">
      <c r="A88" s="2870" t="s">
        <v>2953</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66" t="s">
        <v>2954</v>
      </c>
      <c r="B90" s="3266"/>
      <c r="C90" s="3266"/>
      <c r="D90" s="3266"/>
      <c r="E90" s="3266"/>
      <c r="F90" s="3266"/>
      <c r="G90" s="3266"/>
      <c r="H90" s="3266"/>
      <c r="I90" s="3266"/>
      <c r="J90" s="3266"/>
      <c r="K90" s="2876"/>
      <c r="L90" s="2876"/>
      <c r="M90" s="2876"/>
      <c r="N90" s="2876"/>
    </row>
    <row r="91" spans="1:37">
      <c r="A91" s="3268" t="s">
        <v>2955</v>
      </c>
      <c r="B91" s="3268" t="s">
        <v>2956</v>
      </c>
      <c r="C91" s="2830" t="s">
        <v>2957</v>
      </c>
      <c r="D91" s="2831"/>
      <c r="E91" s="2831"/>
      <c r="F91" s="2831"/>
      <c r="G91" s="2831"/>
      <c r="H91" s="2831"/>
      <c r="I91" s="2831"/>
      <c r="J91" s="2877"/>
      <c r="K91" s="2878"/>
      <c r="L91" s="2878"/>
      <c r="M91" s="2878"/>
      <c r="N91" s="2878"/>
    </row>
    <row r="92" spans="1:37">
      <c r="A92" s="3268"/>
      <c r="B92" s="3268"/>
      <c r="C92" s="939" t="s">
        <v>2822</v>
      </c>
      <c r="D92" s="939" t="s">
        <v>2823</v>
      </c>
      <c r="E92" s="939" t="s">
        <v>2824</v>
      </c>
      <c r="F92" s="939" t="s">
        <v>2825</v>
      </c>
      <c r="G92" s="939" t="s">
        <v>2826</v>
      </c>
      <c r="H92" s="939" t="s">
        <v>2827</v>
      </c>
      <c r="I92" s="939" t="s">
        <v>2828</v>
      </c>
      <c r="J92" s="939" t="s">
        <v>2829</v>
      </c>
      <c r="K92" s="939" t="s">
        <v>2830</v>
      </c>
      <c r="L92" s="939" t="s">
        <v>2831</v>
      </c>
      <c r="M92" s="939" t="s">
        <v>2832</v>
      </c>
      <c r="N92" s="939" t="s">
        <v>2833</v>
      </c>
    </row>
    <row r="93" spans="1:37">
      <c r="A93" s="3269" t="s">
        <v>2958</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0"/>
      <c r="B99" s="2879" t="s">
        <v>2838</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1"/>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9" t="s">
        <v>2959</v>
      </c>
      <c r="B101" s="2883" t="s">
        <v>2960</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70"/>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70"/>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70"/>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70"/>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70"/>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70"/>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70"/>
      <c r="B108" s="3127" t="s">
        <v>2961</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1"/>
      <c r="B109" s="3128"/>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67" t="s">
        <v>2962</v>
      </c>
      <c r="B110" s="3267"/>
      <c r="C110" s="3267"/>
      <c r="D110" s="3267"/>
      <c r="E110" s="3267"/>
      <c r="F110" s="3267"/>
      <c r="G110" s="3267"/>
      <c r="H110" s="3267"/>
      <c r="I110" s="3267"/>
      <c r="J110" s="3267"/>
      <c r="K110" s="2885"/>
      <c r="L110" s="2885"/>
      <c r="M110" s="2885"/>
      <c r="N110" s="2885"/>
    </row>
    <row r="112" spans="1:14" ht="13.8" thickBot="1"/>
    <row r="113" spans="1:13" ht="25.8" thickBot="1">
      <c r="A113" s="900" t="s">
        <v>2963</v>
      </c>
      <c r="B113" s="1284">
        <f>G3</f>
        <v>0.55000000000000004</v>
      </c>
      <c r="C113" s="901" t="s">
        <v>2964</v>
      </c>
      <c r="D113" s="902">
        <f>SUMPRODUCT((A115:A118=F113)*(B114:M114=H113)*B115:M118)</f>
        <v>0</v>
      </c>
      <c r="E113" s="2716" t="s">
        <v>2795</v>
      </c>
      <c r="F113" s="2887">
        <f>E2</f>
        <v>0</v>
      </c>
      <c r="G113" s="2716" t="s">
        <v>2796</v>
      </c>
      <c r="H113" s="2887">
        <f>G2</f>
        <v>0</v>
      </c>
      <c r="I113" s="2716"/>
      <c r="J113" s="2888"/>
      <c r="K113" s="2888"/>
      <c r="L113" s="2888"/>
      <c r="M113" s="2888"/>
    </row>
    <row r="114" spans="1:13">
      <c r="A114" s="905"/>
      <c r="B114" s="2889" t="s">
        <v>2965</v>
      </c>
      <c r="C114" s="2889" t="s">
        <v>2966</v>
      </c>
      <c r="D114" s="2889" t="s">
        <v>2967</v>
      </c>
      <c r="E114" s="2890" t="s">
        <v>2968</v>
      </c>
      <c r="F114" s="2890" t="s">
        <v>2969</v>
      </c>
      <c r="G114" s="2890" t="s">
        <v>2970</v>
      </c>
      <c r="H114" s="2891" t="s">
        <v>2971</v>
      </c>
      <c r="I114" s="2891" t="s">
        <v>2972</v>
      </c>
      <c r="J114" s="2892" t="s">
        <v>2973</v>
      </c>
      <c r="K114" s="2892" t="s">
        <v>2974</v>
      </c>
      <c r="L114" s="2892" t="s">
        <v>2975</v>
      </c>
      <c r="M114" s="2893" t="s">
        <v>2976</v>
      </c>
    </row>
    <row r="115" spans="1:13">
      <c r="A115" s="906" t="s">
        <v>2860</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2861</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2862</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8" thickBot="1">
      <c r="A118" s="714" t="s">
        <v>2863</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7" t="s">
        <v>183</v>
      </c>
      <c r="B18" s="879" t="s">
        <v>560</v>
      </c>
      <c r="C18" s="880" t="s">
        <v>561</v>
      </c>
      <c r="D18" s="881"/>
      <c r="E18" s="879">
        <v>1</v>
      </c>
      <c r="F18" s="882" t="s">
        <v>562</v>
      </c>
      <c r="G18" s="883"/>
      <c r="H18" s="875"/>
      <c r="I18" s="875"/>
    </row>
    <row r="19" spans="1:9" s="884" customFormat="1" ht="19.5" customHeight="1">
      <c r="A19" s="3277"/>
      <c r="B19" s="3277" t="s">
        <v>563</v>
      </c>
      <c r="C19" s="880" t="s">
        <v>564</v>
      </c>
      <c r="D19" s="881"/>
      <c r="E19" s="879">
        <v>0.9</v>
      </c>
      <c r="F19" s="882" t="s">
        <v>565</v>
      </c>
      <c r="G19" s="883"/>
      <c r="H19" s="875"/>
      <c r="I19" s="875"/>
    </row>
    <row r="20" spans="1:9" s="884" customFormat="1" ht="19.5" customHeight="1">
      <c r="A20" s="3277"/>
      <c r="B20" s="3277"/>
      <c r="C20" s="880" t="s">
        <v>566</v>
      </c>
      <c r="D20" s="881"/>
      <c r="E20" s="879">
        <v>1.1000000000000001</v>
      </c>
      <c r="F20" s="882" t="s">
        <v>567</v>
      </c>
      <c r="G20" s="883"/>
      <c r="H20" s="875"/>
      <c r="I20" s="875"/>
    </row>
    <row r="21" spans="1:9" s="884" customFormat="1" ht="19.5" customHeight="1">
      <c r="A21" s="3277"/>
      <c r="B21" s="3277"/>
      <c r="C21" s="880" t="s">
        <v>568</v>
      </c>
      <c r="D21" s="881"/>
      <c r="E21" s="879">
        <v>0.8</v>
      </c>
      <c r="F21" s="882" t="s">
        <v>569</v>
      </c>
      <c r="G21" s="883"/>
      <c r="H21" s="875"/>
      <c r="I21" s="875"/>
    </row>
    <row r="22" spans="1:9" s="884" customFormat="1" ht="19.5" customHeight="1">
      <c r="A22" s="3277"/>
      <c r="B22" s="3277"/>
      <c r="C22" s="880" t="s">
        <v>570</v>
      </c>
      <c r="D22" s="881"/>
      <c r="E22" s="879">
        <v>0.5</v>
      </c>
      <c r="F22" s="882"/>
      <c r="G22" s="883"/>
      <c r="H22" s="875"/>
      <c r="I22" s="875"/>
    </row>
    <row r="23" spans="1:9" s="884" customFormat="1" ht="19.5" customHeight="1">
      <c r="A23" s="3277" t="s">
        <v>184</v>
      </c>
      <c r="B23" s="879" t="s">
        <v>560</v>
      </c>
      <c r="C23" s="880" t="s">
        <v>571</v>
      </c>
      <c r="D23" s="881"/>
      <c r="E23" s="879">
        <v>1</v>
      </c>
      <c r="F23" s="882" t="s">
        <v>572</v>
      </c>
      <c r="G23" s="883"/>
      <c r="H23" s="875"/>
      <c r="I23" s="875"/>
    </row>
    <row r="24" spans="1:9" s="884" customFormat="1" ht="19.5" customHeight="1">
      <c r="A24" s="3277"/>
      <c r="B24" s="3277" t="s">
        <v>563</v>
      </c>
      <c r="C24" s="880" t="s">
        <v>573</v>
      </c>
      <c r="D24" s="881"/>
      <c r="E24" s="879">
        <v>0.5</v>
      </c>
      <c r="F24" s="882"/>
      <c r="G24" s="883"/>
      <c r="H24" s="875"/>
      <c r="I24" s="875"/>
    </row>
    <row r="25" spans="1:9" s="884" customFormat="1" ht="19.5" customHeight="1">
      <c r="A25" s="3277"/>
      <c r="B25" s="3277"/>
      <c r="C25" s="880" t="s">
        <v>574</v>
      </c>
      <c r="D25" s="881"/>
      <c r="E25" s="879">
        <v>1.1000000000000001</v>
      </c>
      <c r="F25" s="882"/>
      <c r="G25" s="883"/>
      <c r="H25" s="875"/>
      <c r="I25" s="875"/>
    </row>
    <row r="26" spans="1:9" s="884" customFormat="1" ht="19.5" customHeight="1">
      <c r="A26" s="3277"/>
      <c r="B26" s="3277"/>
      <c r="C26" s="880" t="s">
        <v>575</v>
      </c>
      <c r="D26" s="881"/>
      <c r="E26" s="879">
        <v>1.1000000000000001</v>
      </c>
      <c r="F26" s="882"/>
      <c r="G26" s="883"/>
      <c r="H26" s="875"/>
      <c r="I26" s="875"/>
    </row>
    <row r="27" spans="1:9" s="884" customFormat="1" ht="19.5" customHeight="1">
      <c r="A27" s="3277"/>
      <c r="B27" s="3277"/>
      <c r="C27" s="880" t="s">
        <v>576</v>
      </c>
      <c r="D27" s="881"/>
      <c r="E27" s="879">
        <v>0.9</v>
      </c>
      <c r="F27" s="882" t="s">
        <v>577</v>
      </c>
      <c r="G27" s="883"/>
      <c r="H27" s="875"/>
      <c r="I27" s="875"/>
    </row>
    <row r="28" spans="1:9" s="884" customFormat="1" ht="19.5" customHeight="1">
      <c r="A28" s="3277"/>
      <c r="B28" s="3277"/>
      <c r="C28" s="880" t="s">
        <v>578</v>
      </c>
      <c r="D28" s="881"/>
      <c r="E28" s="879">
        <v>0.9</v>
      </c>
      <c r="F28" s="882" t="s">
        <v>579</v>
      </c>
      <c r="G28" s="883"/>
      <c r="H28" s="875"/>
      <c r="I28" s="875"/>
    </row>
    <row r="29" spans="1:9" s="884" customFormat="1" ht="19.5" customHeight="1">
      <c r="A29" s="3277"/>
      <c r="B29" s="3277"/>
      <c r="C29" s="880" t="s">
        <v>580</v>
      </c>
      <c r="D29" s="881"/>
      <c r="E29" s="879">
        <v>0.9</v>
      </c>
      <c r="F29" s="882" t="s">
        <v>581</v>
      </c>
      <c r="G29" s="883"/>
      <c r="H29" s="875"/>
      <c r="I29" s="875"/>
    </row>
    <row r="30" spans="1:9" s="884" customFormat="1" ht="19.5" customHeight="1">
      <c r="A30" s="3277"/>
      <c r="B30" s="3277"/>
      <c r="C30" s="880" t="s">
        <v>582</v>
      </c>
      <c r="D30" s="881"/>
      <c r="E30" s="879">
        <v>0.9</v>
      </c>
      <c r="F30" s="882" t="s">
        <v>583</v>
      </c>
      <c r="G30" s="883"/>
      <c r="H30" s="875"/>
      <c r="I30" s="875"/>
    </row>
    <row r="31" spans="1:9" s="884" customFormat="1" ht="19.5" customHeight="1">
      <c r="A31" s="3277"/>
      <c r="B31" s="3277"/>
      <c r="C31" s="880" t="s">
        <v>584</v>
      </c>
      <c r="D31" s="881"/>
      <c r="E31" s="879">
        <v>0.8</v>
      </c>
      <c r="F31" s="882" t="s">
        <v>585</v>
      </c>
      <c r="G31" s="883"/>
      <c r="H31" s="875"/>
      <c r="I31" s="875"/>
    </row>
    <row r="32" spans="1:9" s="884" customFormat="1" ht="19.5" customHeight="1">
      <c r="A32" s="3277"/>
      <c r="B32" s="3277"/>
      <c r="C32" s="880" t="s">
        <v>586</v>
      </c>
      <c r="D32" s="881"/>
      <c r="E32" s="879">
        <v>0.8</v>
      </c>
      <c r="F32" s="882" t="s">
        <v>587</v>
      </c>
      <c r="G32" s="883"/>
      <c r="H32" s="875"/>
      <c r="I32" s="875"/>
    </row>
    <row r="33" spans="1:9" s="884" customFormat="1" ht="19.5" customHeight="1">
      <c r="A33" s="3277" t="s">
        <v>185</v>
      </c>
      <c r="B33" s="879" t="s">
        <v>560</v>
      </c>
      <c r="C33" s="880" t="s">
        <v>588</v>
      </c>
      <c r="D33" s="881"/>
      <c r="E33" s="879">
        <v>1</v>
      </c>
      <c r="F33" s="882" t="s">
        <v>589</v>
      </c>
      <c r="G33" s="883"/>
      <c r="H33" s="875"/>
      <c r="I33" s="875"/>
    </row>
    <row r="34" spans="1:9" s="884" customFormat="1" ht="19.5" customHeight="1">
      <c r="A34" s="3277"/>
      <c r="B34" s="879" t="s">
        <v>563</v>
      </c>
      <c r="C34" s="880" t="s">
        <v>590</v>
      </c>
      <c r="D34" s="881"/>
      <c r="E34" s="879">
        <v>1.5</v>
      </c>
      <c r="F34" s="882" t="s">
        <v>591</v>
      </c>
      <c r="G34" s="883"/>
      <c r="H34" s="875"/>
      <c r="I34" s="875"/>
    </row>
    <row r="35" spans="1:9" s="884" customFormat="1" ht="19.5" customHeight="1">
      <c r="A35" s="3277" t="s">
        <v>186</v>
      </c>
      <c r="B35" s="879" t="s">
        <v>560</v>
      </c>
      <c r="C35" s="880" t="s">
        <v>592</v>
      </c>
      <c r="D35" s="881"/>
      <c r="E35" s="879">
        <v>1</v>
      </c>
      <c r="F35" s="882" t="s">
        <v>593</v>
      </c>
      <c r="G35" s="883"/>
      <c r="H35" s="875"/>
      <c r="I35" s="875"/>
    </row>
    <row r="36" spans="1:9" s="884" customFormat="1" ht="19.5" customHeight="1">
      <c r="A36" s="3277"/>
      <c r="B36" s="3277" t="s">
        <v>563</v>
      </c>
      <c r="C36" s="880" t="s">
        <v>594</v>
      </c>
      <c r="D36" s="881"/>
      <c r="E36" s="879">
        <v>1</v>
      </c>
      <c r="F36" s="882" t="s">
        <v>595</v>
      </c>
      <c r="G36" s="883"/>
      <c r="H36" s="875"/>
      <c r="I36" s="875"/>
    </row>
    <row r="37" spans="1:9" s="884" customFormat="1" ht="19.5" customHeight="1">
      <c r="A37" s="3277"/>
      <c r="B37" s="3277"/>
      <c r="C37" s="880" t="s">
        <v>596</v>
      </c>
      <c r="D37" s="881"/>
      <c r="E37" s="879">
        <v>1.5</v>
      </c>
      <c r="F37" s="882" t="s">
        <v>597</v>
      </c>
      <c r="G37" s="883"/>
      <c r="H37" s="875"/>
      <c r="I37" s="875"/>
    </row>
    <row r="38" spans="1:9" s="884" customFormat="1" ht="19.5" customHeight="1">
      <c r="A38" s="3277"/>
      <c r="B38" s="3277"/>
      <c r="C38" s="880" t="s">
        <v>598</v>
      </c>
      <c r="D38" s="881"/>
      <c r="E38" s="879">
        <v>1</v>
      </c>
      <c r="F38" s="882" t="s">
        <v>599</v>
      </c>
      <c r="G38" s="883"/>
      <c r="H38" s="875"/>
      <c r="I38" s="875"/>
    </row>
    <row r="39" spans="1:9" s="884" customFormat="1" ht="19.5" customHeight="1">
      <c r="A39" s="3277"/>
      <c r="B39" s="327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77" t="s">
        <v>614</v>
      </c>
      <c r="C61" s="815" t="s">
        <v>615</v>
      </c>
      <c r="D61" s="815" t="s">
        <v>616</v>
      </c>
      <c r="E61" s="892">
        <v>0.5</v>
      </c>
      <c r="F61" s="879">
        <v>80</v>
      </c>
    </row>
    <row r="62" spans="1:8" s="875" customFormat="1" ht="36">
      <c r="A62" s="879">
        <v>2</v>
      </c>
      <c r="B62" s="3277"/>
      <c r="C62" s="815" t="s">
        <v>617</v>
      </c>
      <c r="D62" s="815" t="s">
        <v>618</v>
      </c>
      <c r="E62" s="892">
        <v>0.5</v>
      </c>
      <c r="F62" s="879">
        <v>80</v>
      </c>
    </row>
    <row r="63" spans="1:8" s="875" customFormat="1" ht="48">
      <c r="A63" s="879">
        <v>3</v>
      </c>
      <c r="B63" s="3277"/>
      <c r="C63" s="815" t="s">
        <v>619</v>
      </c>
      <c r="D63" s="815" t="s">
        <v>620</v>
      </c>
      <c r="E63" s="892">
        <v>0.5</v>
      </c>
      <c r="F63" s="879">
        <v>80</v>
      </c>
    </row>
    <row r="64" spans="1:8" s="875" customFormat="1" ht="48">
      <c r="A64" s="879">
        <v>4</v>
      </c>
      <c r="B64" s="3277"/>
      <c r="C64" s="815" t="s">
        <v>621</v>
      </c>
      <c r="D64" s="815" t="s">
        <v>622</v>
      </c>
      <c r="E64" s="892">
        <v>0.4</v>
      </c>
      <c r="F64" s="879">
        <v>60</v>
      </c>
    </row>
    <row r="65" spans="1:6" s="875" customFormat="1" ht="48">
      <c r="A65" s="879">
        <v>5</v>
      </c>
      <c r="B65" s="3277"/>
      <c r="C65" s="815" t="s">
        <v>623</v>
      </c>
      <c r="D65" s="815" t="s">
        <v>624</v>
      </c>
      <c r="E65" s="892">
        <v>0.2</v>
      </c>
      <c r="F65" s="879">
        <v>30</v>
      </c>
    </row>
    <row r="66" spans="1:6" s="875" customFormat="1" ht="48">
      <c r="A66" s="879">
        <v>6</v>
      </c>
      <c r="B66" s="3277"/>
      <c r="C66" s="815" t="s">
        <v>625</v>
      </c>
      <c r="D66" s="815" t="s">
        <v>626</v>
      </c>
      <c r="E66" s="892">
        <v>0.3</v>
      </c>
      <c r="F66" s="879">
        <v>50</v>
      </c>
    </row>
    <row r="67" spans="1:6" s="875" customFormat="1" ht="48">
      <c r="A67" s="879">
        <v>7</v>
      </c>
      <c r="B67" s="3277"/>
      <c r="C67" s="815" t="s">
        <v>627</v>
      </c>
      <c r="D67" s="815" t="s">
        <v>628</v>
      </c>
      <c r="E67" s="892">
        <v>0.2</v>
      </c>
      <c r="F67" s="879">
        <v>30</v>
      </c>
    </row>
    <row r="68" spans="1:6" s="875" customFormat="1" ht="48">
      <c r="A68" s="879">
        <v>8</v>
      </c>
      <c r="B68" s="3277"/>
      <c r="C68" s="815" t="s">
        <v>629</v>
      </c>
      <c r="D68" s="815" t="s">
        <v>630</v>
      </c>
      <c r="E68" s="892">
        <v>0.2</v>
      </c>
      <c r="F68" s="879">
        <v>30</v>
      </c>
    </row>
    <row r="69" spans="1:6" s="875" customFormat="1" ht="48">
      <c r="A69" s="879">
        <v>9</v>
      </c>
      <c r="B69" s="3277"/>
      <c r="C69" s="815" t="s">
        <v>631</v>
      </c>
      <c r="D69" s="815" t="s">
        <v>632</v>
      </c>
      <c r="E69" s="892">
        <v>0.2</v>
      </c>
      <c r="F69" s="879">
        <v>30</v>
      </c>
    </row>
    <row r="70" spans="1:6" s="875" customFormat="1" ht="60">
      <c r="A70" s="879">
        <v>10</v>
      </c>
      <c r="B70" s="3277"/>
      <c r="C70" s="815" t="s">
        <v>633</v>
      </c>
      <c r="D70" s="815" t="s">
        <v>634</v>
      </c>
      <c r="E70" s="892">
        <v>0.2</v>
      </c>
      <c r="F70" s="879">
        <v>30</v>
      </c>
    </row>
    <row r="71" spans="1:6" s="875" customFormat="1" ht="60">
      <c r="A71" s="879">
        <v>11</v>
      </c>
      <c r="B71" s="3277"/>
      <c r="C71" s="815" t="s">
        <v>635</v>
      </c>
      <c r="D71" s="815" t="s">
        <v>636</v>
      </c>
      <c r="E71" s="892">
        <v>0.2</v>
      </c>
      <c r="F71" s="879">
        <v>30</v>
      </c>
    </row>
    <row r="72" spans="1:6" s="875" customFormat="1" ht="36">
      <c r="A72" s="879">
        <v>12</v>
      </c>
      <c r="B72" s="3277"/>
      <c r="C72" s="815" t="s">
        <v>637</v>
      </c>
      <c r="D72" s="815" t="s">
        <v>638</v>
      </c>
      <c r="E72" s="892">
        <v>0.5</v>
      </c>
      <c r="F72" s="879">
        <v>80</v>
      </c>
    </row>
    <row r="73" spans="1:6" s="875" customFormat="1" ht="36">
      <c r="A73" s="879">
        <v>13</v>
      </c>
      <c r="B73" s="3277"/>
      <c r="C73" s="815" t="s">
        <v>639</v>
      </c>
      <c r="D73" s="815" t="s">
        <v>640</v>
      </c>
      <c r="E73" s="892">
        <v>0.4</v>
      </c>
      <c r="F73" s="879">
        <v>60</v>
      </c>
    </row>
    <row r="74" spans="1:6" s="875" customFormat="1" ht="36">
      <c r="A74" s="879">
        <v>14</v>
      </c>
      <c r="B74" s="3277"/>
      <c r="C74" s="815" t="s">
        <v>641</v>
      </c>
      <c r="D74" s="815" t="s">
        <v>642</v>
      </c>
      <c r="E74" s="892">
        <v>0.2</v>
      </c>
      <c r="F74" s="879">
        <v>30</v>
      </c>
    </row>
    <row r="75" spans="1:6" s="875" customFormat="1" ht="36">
      <c r="A75" s="879">
        <v>15</v>
      </c>
      <c r="B75" s="3277"/>
      <c r="C75" s="815" t="s">
        <v>643</v>
      </c>
      <c r="D75" s="815" t="s">
        <v>644</v>
      </c>
      <c r="E75" s="892">
        <v>0.2</v>
      </c>
      <c r="F75" s="879">
        <v>30</v>
      </c>
    </row>
    <row r="76" spans="1:6" s="875" customFormat="1" ht="36">
      <c r="A76" s="879">
        <v>16</v>
      </c>
      <c r="B76" s="3277" t="s">
        <v>645</v>
      </c>
      <c r="C76" s="815" t="s">
        <v>646</v>
      </c>
      <c r="D76" s="815" t="s">
        <v>647</v>
      </c>
      <c r="E76" s="892">
        <v>0.5</v>
      </c>
      <c r="F76" s="879">
        <v>80</v>
      </c>
    </row>
    <row r="77" spans="1:6" s="875" customFormat="1" ht="36">
      <c r="A77" s="879">
        <v>17</v>
      </c>
      <c r="B77" s="3277"/>
      <c r="C77" s="815" t="s">
        <v>648</v>
      </c>
      <c r="D77" s="815" t="s">
        <v>649</v>
      </c>
      <c r="E77" s="892">
        <v>0.5</v>
      </c>
      <c r="F77" s="879">
        <v>80</v>
      </c>
    </row>
    <row r="78" spans="1:6" s="875" customFormat="1" ht="36">
      <c r="A78" s="879">
        <v>18</v>
      </c>
      <c r="B78" s="3277"/>
      <c r="C78" s="815" t="s">
        <v>650</v>
      </c>
      <c r="D78" s="815" t="s">
        <v>651</v>
      </c>
      <c r="E78" s="892">
        <v>0.2</v>
      </c>
      <c r="F78" s="879">
        <v>30</v>
      </c>
    </row>
    <row r="79" spans="1:6" s="875" customFormat="1" ht="36">
      <c r="A79" s="879">
        <v>19</v>
      </c>
      <c r="B79" s="3277"/>
      <c r="C79" s="815" t="s">
        <v>652</v>
      </c>
      <c r="D79" s="815" t="s">
        <v>653</v>
      </c>
      <c r="E79" s="892">
        <v>0.5</v>
      </c>
      <c r="F79" s="879">
        <v>80</v>
      </c>
    </row>
    <row r="80" spans="1:6" s="875" customFormat="1" ht="36">
      <c r="A80" s="879">
        <v>20</v>
      </c>
      <c r="B80" s="3277"/>
      <c r="C80" s="815" t="s">
        <v>654</v>
      </c>
      <c r="D80" s="815" t="s">
        <v>655</v>
      </c>
      <c r="E80" s="892">
        <v>0.2</v>
      </c>
      <c r="F80" s="879">
        <v>30</v>
      </c>
    </row>
    <row r="81" spans="1:6" s="875" customFormat="1" ht="36">
      <c r="A81" s="879">
        <v>21</v>
      </c>
      <c r="B81" s="3277"/>
      <c r="C81" s="815" t="s">
        <v>656</v>
      </c>
      <c r="D81" s="815" t="s">
        <v>657</v>
      </c>
      <c r="E81" s="892">
        <v>0.2</v>
      </c>
      <c r="F81" s="879">
        <v>30</v>
      </c>
    </row>
    <row r="82" spans="1:6" s="875" customFormat="1" ht="60">
      <c r="A82" s="879">
        <v>22</v>
      </c>
      <c r="B82" s="3277"/>
      <c r="C82" s="815" t="s">
        <v>658</v>
      </c>
      <c r="D82" s="815" t="s">
        <v>659</v>
      </c>
      <c r="E82" s="892">
        <v>0.2</v>
      </c>
      <c r="F82" s="879">
        <v>30</v>
      </c>
    </row>
    <row r="83" spans="1:6" s="875" customFormat="1" ht="60">
      <c r="A83" s="879">
        <v>23</v>
      </c>
      <c r="B83" s="3277"/>
      <c r="C83" s="815" t="s">
        <v>660</v>
      </c>
      <c r="D83" s="815" t="s">
        <v>661</v>
      </c>
      <c r="E83" s="892">
        <v>0.2</v>
      </c>
      <c r="F83" s="879">
        <v>30</v>
      </c>
    </row>
    <row r="84" spans="1:6" s="875" customFormat="1" ht="48">
      <c r="A84" s="879">
        <v>24</v>
      </c>
      <c r="B84" s="3277"/>
      <c r="C84" s="815" t="s">
        <v>662</v>
      </c>
      <c r="D84" s="815" t="s">
        <v>663</v>
      </c>
      <c r="E84" s="892">
        <v>0.2</v>
      </c>
      <c r="F84" s="879">
        <v>30</v>
      </c>
    </row>
    <row r="85" spans="1:6" s="875" customFormat="1" ht="36">
      <c r="A85" s="879">
        <v>25</v>
      </c>
      <c r="B85" s="3277"/>
      <c r="C85" s="815" t="s">
        <v>664</v>
      </c>
      <c r="D85" s="815" t="s">
        <v>665</v>
      </c>
      <c r="E85" s="892">
        <v>0.5</v>
      </c>
      <c r="F85" s="879">
        <v>80</v>
      </c>
    </row>
    <row r="86" spans="1:6" s="875" customFormat="1" ht="36">
      <c r="A86" s="879">
        <v>26</v>
      </c>
      <c r="B86" s="3277"/>
      <c r="C86" s="815" t="s">
        <v>666</v>
      </c>
      <c r="D86" s="815" t="s">
        <v>667</v>
      </c>
      <c r="E86" s="892">
        <v>0.2</v>
      </c>
      <c r="F86" s="879">
        <v>30</v>
      </c>
    </row>
    <row r="87" spans="1:6" s="875" customFormat="1" ht="36">
      <c r="A87" s="879">
        <v>27</v>
      </c>
      <c r="B87" s="3277"/>
      <c r="C87" s="815" t="s">
        <v>668</v>
      </c>
      <c r="D87" s="815" t="s">
        <v>669</v>
      </c>
      <c r="E87" s="892">
        <v>0.2</v>
      </c>
      <c r="F87" s="879">
        <v>30</v>
      </c>
    </row>
    <row r="88" spans="1:6" s="875" customFormat="1" ht="36">
      <c r="A88" s="879">
        <v>28</v>
      </c>
      <c r="B88" s="3277"/>
      <c r="C88" s="815" t="s">
        <v>670</v>
      </c>
      <c r="D88" s="815" t="s">
        <v>671</v>
      </c>
      <c r="E88" s="892">
        <v>0.2</v>
      </c>
      <c r="F88" s="879">
        <v>30</v>
      </c>
    </row>
    <row r="89" spans="1:6" s="875" customFormat="1" ht="36">
      <c r="A89" s="879">
        <v>29</v>
      </c>
      <c r="B89" s="3277"/>
      <c r="C89" s="815" t="s">
        <v>672</v>
      </c>
      <c r="D89" s="815" t="s">
        <v>673</v>
      </c>
      <c r="E89" s="892">
        <v>0.2</v>
      </c>
      <c r="F89" s="879">
        <v>30</v>
      </c>
    </row>
    <row r="90" spans="1:6" s="875" customFormat="1" ht="36">
      <c r="A90" s="879">
        <v>30</v>
      </c>
      <c r="B90" s="3277"/>
      <c r="C90" s="815" t="s">
        <v>674</v>
      </c>
      <c r="D90" s="815" t="s">
        <v>675</v>
      </c>
      <c r="E90" s="892">
        <v>0.2</v>
      </c>
      <c r="F90" s="879">
        <v>30</v>
      </c>
    </row>
    <row r="91" spans="1:6" s="875" customFormat="1" ht="48">
      <c r="A91" s="879">
        <v>31</v>
      </c>
      <c r="B91" s="3277"/>
      <c r="C91" s="815" t="s">
        <v>676</v>
      </c>
      <c r="D91" s="815" t="s">
        <v>677</v>
      </c>
      <c r="E91" s="892">
        <v>0.2</v>
      </c>
      <c r="F91" s="879">
        <v>30</v>
      </c>
    </row>
    <row r="92" spans="1:6" s="875" customFormat="1" ht="36">
      <c r="A92" s="879">
        <v>32</v>
      </c>
      <c r="B92" s="3277" t="s">
        <v>678</v>
      </c>
      <c r="C92" s="879" t="s">
        <v>679</v>
      </c>
      <c r="D92" s="815" t="s">
        <v>680</v>
      </c>
      <c r="E92" s="892">
        <v>0.2</v>
      </c>
      <c r="F92" s="879">
        <v>30</v>
      </c>
    </row>
    <row r="93" spans="1:6" s="875" customFormat="1" ht="36">
      <c r="A93" s="879">
        <v>33</v>
      </c>
      <c r="B93" s="3277"/>
      <c r="C93" s="879" t="s">
        <v>681</v>
      </c>
      <c r="D93" s="815" t="s">
        <v>682</v>
      </c>
      <c r="E93" s="892">
        <v>0.2</v>
      </c>
      <c r="F93" s="879">
        <v>30</v>
      </c>
    </row>
    <row r="94" spans="1:6" s="875" customFormat="1" ht="60">
      <c r="A94" s="879">
        <v>34</v>
      </c>
      <c r="B94" s="3277"/>
      <c r="C94" s="879" t="s">
        <v>683</v>
      </c>
      <c r="D94" s="815" t="s">
        <v>684</v>
      </c>
      <c r="E94" s="892">
        <v>0.2</v>
      </c>
      <c r="F94" s="879">
        <v>30</v>
      </c>
    </row>
    <row r="95" spans="1:6" s="875" customFormat="1" ht="48">
      <c r="A95" s="879">
        <v>35</v>
      </c>
      <c r="B95" s="3277"/>
      <c r="C95" s="879" t="s">
        <v>685</v>
      </c>
      <c r="D95" s="815" t="s">
        <v>686</v>
      </c>
      <c r="E95" s="892">
        <v>0.2</v>
      </c>
      <c r="F95" s="879">
        <v>30</v>
      </c>
    </row>
    <row r="96" spans="1:6" s="875" customFormat="1" ht="72">
      <c r="A96" s="879">
        <v>36</v>
      </c>
      <c r="B96" s="3277"/>
      <c r="C96" s="815" t="s">
        <v>687</v>
      </c>
      <c r="D96" s="815" t="s">
        <v>688</v>
      </c>
      <c r="E96" s="892">
        <v>0.2</v>
      </c>
      <c r="F96" s="879">
        <v>30</v>
      </c>
    </row>
    <row r="97" spans="1:6" s="875" customFormat="1" ht="36">
      <c r="A97" s="879">
        <v>37</v>
      </c>
      <c r="B97" s="3277"/>
      <c r="C97" s="879" t="s">
        <v>689</v>
      </c>
      <c r="D97" s="815" t="s">
        <v>690</v>
      </c>
      <c r="E97" s="892">
        <v>0.2</v>
      </c>
      <c r="F97" s="879">
        <v>30</v>
      </c>
    </row>
    <row r="98" spans="1:6" s="875" customFormat="1" ht="36">
      <c r="A98" s="879">
        <v>38</v>
      </c>
      <c r="B98" s="3277"/>
      <c r="C98" s="879" t="s">
        <v>691</v>
      </c>
      <c r="D98" s="815" t="s">
        <v>692</v>
      </c>
      <c r="E98" s="892">
        <v>0.2</v>
      </c>
      <c r="F98" s="879">
        <v>30</v>
      </c>
    </row>
    <row r="99" spans="1:6" s="875" customFormat="1" ht="36">
      <c r="A99" s="879">
        <v>39</v>
      </c>
      <c r="B99" s="3277" t="s">
        <v>693</v>
      </c>
      <c r="C99" s="879" t="s">
        <v>694</v>
      </c>
      <c r="D99" s="815" t="s">
        <v>695</v>
      </c>
      <c r="E99" s="892">
        <v>0.3</v>
      </c>
      <c r="F99" s="879">
        <v>50</v>
      </c>
    </row>
    <row r="100" spans="1:6" s="875" customFormat="1" ht="36">
      <c r="A100" s="879">
        <v>40</v>
      </c>
      <c r="B100" s="3277"/>
      <c r="C100" s="879" t="s">
        <v>696</v>
      </c>
      <c r="D100" s="815" t="s">
        <v>697</v>
      </c>
      <c r="E100" s="892">
        <v>0.2</v>
      </c>
      <c r="F100" s="879">
        <v>30</v>
      </c>
    </row>
    <row r="101" spans="1:6" s="875" customFormat="1" ht="36">
      <c r="A101" s="879">
        <v>41</v>
      </c>
      <c r="B101" s="3277"/>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77" t="s">
        <v>708</v>
      </c>
      <c r="C105" s="879" t="s">
        <v>709</v>
      </c>
      <c r="D105" s="815" t="s">
        <v>710</v>
      </c>
      <c r="E105" s="892">
        <v>0.2</v>
      </c>
      <c r="F105" s="879">
        <v>30</v>
      </c>
    </row>
    <row r="106" spans="1:6" s="875" customFormat="1" ht="48">
      <c r="A106" s="879">
        <v>46</v>
      </c>
      <c r="B106" s="3277"/>
      <c r="C106" s="879" t="s">
        <v>711</v>
      </c>
      <c r="D106" s="815" t="s">
        <v>712</v>
      </c>
      <c r="E106" s="892">
        <v>0.2</v>
      </c>
      <c r="F106" s="879">
        <v>30</v>
      </c>
    </row>
    <row r="107" spans="1:6" s="875" customFormat="1" ht="36">
      <c r="A107" s="879">
        <v>47</v>
      </c>
      <c r="B107" s="3277" t="s">
        <v>713</v>
      </c>
      <c r="C107" s="879" t="s">
        <v>714</v>
      </c>
      <c r="D107" s="815" t="s">
        <v>715</v>
      </c>
      <c r="E107" s="892">
        <v>0.3</v>
      </c>
      <c r="F107" s="879">
        <v>50</v>
      </c>
    </row>
    <row r="108" spans="1:6" s="875" customFormat="1" ht="48">
      <c r="A108" s="879">
        <v>48</v>
      </c>
      <c r="B108" s="327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77" t="s">
        <v>724</v>
      </c>
      <c r="C111" s="879" t="s">
        <v>725</v>
      </c>
      <c r="D111" s="815" t="s">
        <v>726</v>
      </c>
      <c r="E111" s="892">
        <v>0.2</v>
      </c>
      <c r="F111" s="879">
        <v>30</v>
      </c>
    </row>
    <row r="112" spans="1:6" s="875" customFormat="1" ht="36">
      <c r="A112" s="879">
        <v>52</v>
      </c>
      <c r="B112" s="3277"/>
      <c r="C112" s="879" t="s">
        <v>727</v>
      </c>
      <c r="D112" s="815" t="s">
        <v>728</v>
      </c>
      <c r="E112" s="892">
        <v>0.2</v>
      </c>
      <c r="F112" s="879">
        <v>30</v>
      </c>
    </row>
    <row r="113" spans="1:6" s="875" customFormat="1" ht="36">
      <c r="A113" s="879">
        <v>53</v>
      </c>
      <c r="B113" s="3277"/>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77" t="s">
        <v>737</v>
      </c>
      <c r="C116" s="879" t="s">
        <v>738</v>
      </c>
      <c r="D116" s="815" t="s">
        <v>739</v>
      </c>
      <c r="E116" s="892">
        <v>0.2</v>
      </c>
      <c r="F116" s="879">
        <v>30</v>
      </c>
    </row>
    <row r="117" spans="1:6" ht="36">
      <c r="A117" s="879">
        <v>57</v>
      </c>
      <c r="B117" s="3277"/>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1616</v>
      </c>
      <c r="B1" s="1954"/>
      <c r="C1" s="1954"/>
      <c r="D1" s="1954"/>
      <c r="E1" s="1954"/>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v>
      </c>
      <c r="B3" s="2974"/>
      <c r="C3" s="2974"/>
      <c r="D3" s="2974"/>
      <c r="E3" s="2974"/>
    </row>
    <row r="4" spans="1:5" ht="18" thickBot="1">
      <c r="A4" s="1956"/>
      <c r="B4" s="2972" t="s">
        <v>1625</v>
      </c>
      <c r="C4" s="2972"/>
      <c r="D4" s="2972"/>
      <c r="E4" s="1956"/>
    </row>
    <row r="5" spans="1:5" ht="16.2" thickTop="1">
      <c r="A5" s="1954"/>
      <c r="B5" s="2970" t="s">
        <v>1617</v>
      </c>
      <c r="C5" s="1957" t="s">
        <v>1618</v>
      </c>
      <c r="D5" s="1037">
        <f ca="1">结果表!H101</f>
        <v>31319</v>
      </c>
      <c r="E5" s="1954"/>
    </row>
    <row r="6" spans="1:5" ht="15.6">
      <c r="A6" s="1954"/>
      <c r="B6" s="2970"/>
      <c r="C6" s="1957" t="s">
        <v>1619</v>
      </c>
      <c r="D6" s="1037" t="str">
        <f ca="1">NUMBERSTRING(INT(D5*10000),2)&amp;"元整"</f>
        <v>叁亿壹仟叁佰壹拾玖万元整</v>
      </c>
      <c r="E6" s="1954"/>
    </row>
    <row r="7" spans="1:5" ht="15.6">
      <c r="A7" s="1954"/>
      <c r="B7" s="2975"/>
      <c r="C7" s="1958" t="s">
        <v>1620</v>
      </c>
      <c r="D7" s="1038">
        <f ca="1">结果表!H102</f>
        <v>9749</v>
      </c>
      <c r="E7" s="1954"/>
    </row>
    <row r="8" spans="1:5" ht="15.6">
      <c r="A8" s="1954"/>
      <c r="B8" s="2976" t="str">
        <f>结果表!E103</f>
        <v>2.估价师知悉的法定优先受偿款</v>
      </c>
      <c r="C8" s="1959" t="s">
        <v>1621</v>
      </c>
      <c r="D8" s="1038">
        <f>结果表!H103</f>
        <v>0</v>
      </c>
      <c r="E8" s="1954"/>
    </row>
    <row r="9" spans="1:5" ht="15.6">
      <c r="A9" s="1954"/>
      <c r="B9" s="2978"/>
      <c r="C9" s="1957" t="s">
        <v>1619</v>
      </c>
      <c r="D9" s="1037" t="str">
        <f>NUMBERSTRING(INT(D8*10000),2)&amp;"元整"</f>
        <v>零元整</v>
      </c>
      <c r="E9" s="1954"/>
    </row>
    <row r="10" spans="1:5" ht="15.6">
      <c r="A10" s="1954"/>
      <c r="B10" s="1960" t="s">
        <v>1624</v>
      </c>
      <c r="C10" s="1961" t="s">
        <v>1622</v>
      </c>
      <c r="D10" s="1039">
        <f>结果表!H104</f>
        <v>0</v>
      </c>
      <c r="E10" s="1954"/>
    </row>
    <row r="11" spans="1:5" ht="15.6">
      <c r="A11" s="1954"/>
      <c r="B11" s="1960" t="s">
        <v>1626</v>
      </c>
      <c r="C11" s="1961" t="s">
        <v>1627</v>
      </c>
      <c r="D11" s="1039">
        <f>结果表!H105</f>
        <v>0</v>
      </c>
      <c r="E11" s="1954"/>
    </row>
    <row r="12" spans="1:5" ht="15.6">
      <c r="A12" s="1954"/>
      <c r="B12" s="1960" t="s">
        <v>1628</v>
      </c>
      <c r="C12" s="1961" t="s">
        <v>1627</v>
      </c>
      <c r="D12" s="1039">
        <f>结果表!H106</f>
        <v>0</v>
      </c>
      <c r="E12" s="1954"/>
    </row>
    <row r="13" spans="1:5" ht="15.6">
      <c r="A13" s="1954"/>
      <c r="B13" s="2969" t="str">
        <f>结果表!E107</f>
        <v>3.房地产抵押价值</v>
      </c>
      <c r="C13" s="1962" t="s">
        <v>1618</v>
      </c>
      <c r="D13" s="1040">
        <f ca="1">结果表!H107</f>
        <v>31319</v>
      </c>
      <c r="E13" s="1954"/>
    </row>
    <row r="14" spans="1:5" ht="15.6">
      <c r="A14" s="1954"/>
      <c r="B14" s="2970"/>
      <c r="C14" s="1957" t="s">
        <v>1619</v>
      </c>
      <c r="D14" s="1037" t="str">
        <f ca="1">NUMBERSTRING(INT(D13*10000),2)&amp;"元整"</f>
        <v>叁亿壹仟叁佰壹拾玖万元整</v>
      </c>
      <c r="E14" s="1954"/>
    </row>
    <row r="15" spans="1:5" ht="15.6">
      <c r="A15" s="1954"/>
      <c r="B15" s="2975"/>
      <c r="C15" s="1958" t="s">
        <v>1629</v>
      </c>
      <c r="D15" s="1049">
        <f ca="1">结果表!H108</f>
        <v>9749</v>
      </c>
      <c r="E15" s="1954"/>
    </row>
    <row r="16" spans="1:5" ht="15.6">
      <c r="A16" s="1954"/>
      <c r="B16" s="2976" t="str">
        <f>结果表!E109</f>
        <v>——</v>
      </c>
      <c r="C16" s="1962" t="s">
        <v>1630</v>
      </c>
      <c r="D16" s="1963" t="str">
        <f>结果表!H109</f>
        <v>——</v>
      </c>
      <c r="E16" s="1954"/>
    </row>
    <row r="17" spans="1:5" ht="15.6">
      <c r="A17" s="1954"/>
      <c r="B17" s="2977"/>
      <c r="C17" s="1957" t="s">
        <v>1631</v>
      </c>
      <c r="D17" s="1037" t="e">
        <f>NUMBERSTRING(INT(D16*10000),2)&amp;"元整"</f>
        <v>#VALUE!</v>
      </c>
      <c r="E17" s="1954"/>
    </row>
    <row r="18" spans="1:5" ht="15.6">
      <c r="A18" s="1954"/>
      <c r="B18" s="2978"/>
      <c r="C18" s="1958" t="s">
        <v>1620</v>
      </c>
      <c r="D18" s="1049" t="str">
        <f>结果表!H110</f>
        <v>——</v>
      </c>
      <c r="E18" s="1954"/>
    </row>
    <row r="19" spans="1:5" ht="15.6">
      <c r="A19" s="1954"/>
      <c r="B19" s="2969" t="str">
        <f>结果表!E111</f>
        <v>——</v>
      </c>
      <c r="C19" s="1962" t="s">
        <v>1618</v>
      </c>
      <c r="D19" s="1038" t="str">
        <f>结果表!H111</f>
        <v>——</v>
      </c>
      <c r="E19" s="1954"/>
    </row>
    <row r="20" spans="1:5" ht="15.6">
      <c r="A20" s="1954"/>
      <c r="B20" s="2970"/>
      <c r="C20" s="1957" t="s">
        <v>1631</v>
      </c>
      <c r="D20" s="1037" t="e">
        <f>NUMBERSTRING(INT(D19*10000),2)&amp;"元整"</f>
        <v>#VALUE!</v>
      </c>
      <c r="E20" s="1954"/>
    </row>
    <row r="21" spans="1:5" ht="16.2" thickBot="1">
      <c r="A21" s="1954"/>
      <c r="B21" s="2971"/>
      <c r="C21" s="1964" t="s">
        <v>1629</v>
      </c>
      <c r="D21" s="1050" t="str">
        <f>结果表!H112</f>
        <v>——</v>
      </c>
      <c r="E21" s="1954"/>
    </row>
    <row r="22" spans="1:5" ht="14.4" thickTop="1">
      <c r="A22" s="1954"/>
      <c r="B22" s="1965" t="s">
        <v>1632</v>
      </c>
      <c r="C22" s="1954"/>
      <c r="D22" s="1954"/>
      <c r="E22" s="1954"/>
    </row>
    <row r="23" spans="1:5">
      <c r="A23" s="1954"/>
      <c r="B23" s="1954"/>
      <c r="C23" s="1954"/>
      <c r="D23" s="1954"/>
      <c r="E23" s="1954"/>
    </row>
    <row r="24" spans="1:5" ht="17.399999999999999">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2985</v>
      </c>
    </row>
    <row r="2" spans="1:5" ht="15.6">
      <c r="A2" s="2894" t="s">
        <v>2977</v>
      </c>
      <c r="B2" s="2895" t="e">
        <f ca="1">SUMIF(B6:B13,"&lt;&gt;#ref!",B6:B13)</f>
        <v>#DIV/0!</v>
      </c>
      <c r="C2" s="2894" t="s">
        <v>2978</v>
      </c>
      <c r="D2" s="2894" t="s">
        <v>2979</v>
      </c>
      <c r="E2" s="2895">
        <f ca="1">SUMIF(E6:E13,"&lt;&gt;#ref!",E6:E13)</f>
        <v>0</v>
      </c>
    </row>
    <row r="3" spans="1:5" ht="15.6">
      <c r="A3" s="2894" t="s">
        <v>2980</v>
      </c>
      <c r="B3" s="2895" t="e">
        <f ca="1">ROUND(B2*10000/E2,0)</f>
        <v>#DIV/0!</v>
      </c>
      <c r="C3" s="2894" t="s">
        <v>2986</v>
      </c>
      <c r="D3" s="2896"/>
      <c r="E3" s="2896"/>
    </row>
    <row r="4" spans="1:5" ht="15.6">
      <c r="A4" s="2897"/>
      <c r="B4" s="2896"/>
      <c r="C4" s="2896"/>
      <c r="D4" s="2896"/>
      <c r="E4" s="2896"/>
    </row>
    <row r="5" spans="1:5" ht="31.2">
      <c r="A5" s="2898" t="s">
        <v>2981</v>
      </c>
      <c r="B5" s="2894" t="s">
        <v>2982</v>
      </c>
      <c r="C5" s="2895"/>
      <c r="D5" s="2896"/>
      <c r="E5" s="2894" t="s">
        <v>2983</v>
      </c>
    </row>
    <row r="6" spans="1:5" ht="15.6">
      <c r="A6" s="2899" t="s">
        <v>2984</v>
      </c>
      <c r="B6" s="2895" t="e">
        <f ca="1">SUMIF(INDIRECT("'"&amp;A6&amp;"'"&amp;"!A:A"),"总价",INDIRECT("'"&amp;A6&amp;"'"&amp;"!B:B"))</f>
        <v>#DIV/0!</v>
      </c>
      <c r="C6" s="2894" t="s">
        <v>2978</v>
      </c>
      <c r="D6" s="2896"/>
      <c r="E6" s="2568">
        <f ca="1">SUMIF(INDIRECT("'"&amp;A6&amp;"'"&amp;"!C:C"),"建筑面积",INDIRECT("'"&amp;A6&amp;"'"&amp;"!D:D"))</f>
        <v>0</v>
      </c>
    </row>
    <row r="7" spans="1:5" ht="15.6">
      <c r="A7" s="2899"/>
      <c r="B7" s="2895" t="e">
        <f ca="1">SUMIF(INDIRECT("'"&amp;A7&amp;"'"&amp;"!A:A"),"总价",INDIRECT("'"&amp;A7&amp;"'"&amp;"!B:B"))</f>
        <v>#REF!</v>
      </c>
      <c r="C7" s="2894" t="s">
        <v>2978</v>
      </c>
      <c r="D7" s="2896"/>
      <c r="E7" s="2568" t="e">
        <f t="shared" ref="E7:E13" ca="1" si="0">SUMIF(INDIRECT("'"&amp;A7&amp;"'"&amp;"!C:C"),"建筑面积",INDIRECT("'"&amp;A7&amp;"'"&amp;"!D:D"))</f>
        <v>#REF!</v>
      </c>
    </row>
    <row r="8" spans="1:5" ht="15.6">
      <c r="A8" s="2899"/>
      <c r="B8" s="2895" t="e">
        <f t="shared" ref="B8:B13" ca="1" si="1">SUMIF(INDIRECT("'"&amp;A8&amp;"'"&amp;"!A:A"),"总价",INDIRECT("'"&amp;A8&amp;"'"&amp;"!B:B"))</f>
        <v>#REF!</v>
      </c>
      <c r="C8" s="2894" t="s">
        <v>2978</v>
      </c>
      <c r="D8" s="2896"/>
      <c r="E8" s="2568" t="e">
        <f t="shared" ca="1" si="0"/>
        <v>#REF!</v>
      </c>
    </row>
    <row r="9" spans="1:5" ht="15.6">
      <c r="A9" s="2899"/>
      <c r="B9" s="2895" t="e">
        <f t="shared" ca="1" si="1"/>
        <v>#REF!</v>
      </c>
      <c r="C9" s="2894" t="s">
        <v>2978</v>
      </c>
      <c r="D9" s="2896"/>
      <c r="E9" s="2568" t="e">
        <f t="shared" ca="1" si="0"/>
        <v>#REF!</v>
      </c>
    </row>
    <row r="10" spans="1:5" ht="15.6">
      <c r="A10" s="2899"/>
      <c r="B10" s="2895" t="e">
        <f t="shared" ca="1" si="1"/>
        <v>#REF!</v>
      </c>
      <c r="C10" s="2894" t="s">
        <v>2978</v>
      </c>
      <c r="D10" s="2896"/>
      <c r="E10" s="2568" t="e">
        <f t="shared" ca="1" si="0"/>
        <v>#REF!</v>
      </c>
    </row>
    <row r="11" spans="1:5" ht="15.6">
      <c r="A11" s="2899"/>
      <c r="B11" s="2895" t="e">
        <f t="shared" ca="1" si="1"/>
        <v>#REF!</v>
      </c>
      <c r="C11" s="2894" t="s">
        <v>2978</v>
      </c>
      <c r="D11" s="2896"/>
      <c r="E11" s="2568" t="e">
        <f t="shared" ca="1" si="0"/>
        <v>#REF!</v>
      </c>
    </row>
    <row r="12" spans="1:5" ht="15.6">
      <c r="A12" s="2899"/>
      <c r="B12" s="2895" t="e">
        <f t="shared" ca="1" si="1"/>
        <v>#REF!</v>
      </c>
      <c r="C12" s="2894" t="s">
        <v>2978</v>
      </c>
      <c r="D12" s="2896"/>
      <c r="E12" s="2568" t="e">
        <f t="shared" ca="1" si="0"/>
        <v>#REF!</v>
      </c>
    </row>
    <row r="13" spans="1:5" ht="15.6">
      <c r="A13" s="2899"/>
      <c r="B13" s="2895" t="e">
        <f t="shared" ca="1" si="1"/>
        <v>#REF!</v>
      </c>
      <c r="C13" s="2894" t="s">
        <v>2978</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83" t="s">
        <v>1146</v>
      </c>
      <c r="C1" s="3283"/>
      <c r="D1" s="3283"/>
      <c r="E1" s="3283"/>
      <c r="F1" s="3283"/>
      <c r="G1" s="3282" t="s">
        <v>1147</v>
      </c>
      <c r="H1" s="3282"/>
      <c r="I1" s="3282"/>
      <c r="J1" s="3282"/>
      <c r="K1" s="3282"/>
      <c r="L1" s="3282"/>
      <c r="N1" s="3282" t="s">
        <v>1148</v>
      </c>
      <c r="O1" s="3282"/>
      <c r="P1" s="3282"/>
      <c r="Q1" s="3282"/>
      <c r="R1" s="1443"/>
      <c r="S1" s="3282" t="s">
        <v>1149</v>
      </c>
      <c r="T1" s="3282"/>
      <c r="U1" s="3282"/>
      <c r="V1" s="3282"/>
      <c r="X1" s="3281" t="s">
        <v>1150</v>
      </c>
      <c r="Y1" s="3282"/>
      <c r="Z1" s="3282"/>
      <c r="AA1" s="3282"/>
      <c r="AB1" s="3282"/>
      <c r="AD1" s="3281" t="s">
        <v>1151</v>
      </c>
      <c r="AE1" s="3282"/>
      <c r="AF1" s="3282"/>
      <c r="AG1" s="3282"/>
      <c r="AH1" s="3282"/>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4">
      <c r="A3" s="2919" t="s">
        <v>3020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4">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8" thickBot="1">
      <c r="A5" s="1724" t="s">
        <v>3034</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3021</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3035</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3033</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9">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 customHeight="1">
      <c r="A8" s="1458" t="s">
        <v>3027</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9"/>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 customHeight="1">
      <c r="A9" s="1458" t="s">
        <v>3026</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9"/>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3019</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8"/>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3016</v>
      </c>
      <c r="B11" s="1466">
        <v>439</v>
      </c>
      <c r="C11" s="1466">
        <v>327</v>
      </c>
      <c r="D11" s="1466">
        <f>C11</f>
        <v>327</v>
      </c>
      <c r="E11" s="1466">
        <v>627</v>
      </c>
      <c r="F11" s="1467">
        <v>283</v>
      </c>
      <c r="G11" s="3284">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3017</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9"/>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9"/>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8"/>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84">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9"/>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9"/>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0"/>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278">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9"/>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9"/>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0"/>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278">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9"/>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9"/>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0"/>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8" thickBot="1">
      <c r="A27" s="1458" t="s">
        <v>1159</v>
      </c>
      <c r="B27" s="1466">
        <v>299</v>
      </c>
      <c r="C27" s="1466">
        <v>252</v>
      </c>
      <c r="D27" s="1466">
        <f t="shared" si="87"/>
        <v>252</v>
      </c>
      <c r="E27" s="1466">
        <v>409</v>
      </c>
      <c r="F27" s="1467">
        <v>227</v>
      </c>
      <c r="G27" s="3285">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6"/>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6"/>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7"/>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278">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9"/>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9"/>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280"/>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278">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9">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9">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0">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278">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9">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9">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0">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278">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9">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9">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0">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278">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9">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9">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0">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278">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9">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9">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0">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278">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9">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9">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0">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278">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9">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9">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0">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278">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9">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9">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0">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278">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9">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9">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280">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278">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9">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9">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280">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2987</v>
      </c>
      <c r="C1" s="3290" t="s">
        <v>2988</v>
      </c>
      <c r="D1" s="3291"/>
      <c r="E1" s="3291"/>
      <c r="F1" s="3291"/>
      <c r="G1" s="3291"/>
      <c r="H1" s="3291"/>
      <c r="I1" s="3291"/>
      <c r="J1" s="3291"/>
      <c r="K1" s="3291"/>
      <c r="L1" s="3291"/>
      <c r="M1" s="3291"/>
      <c r="N1" s="3291"/>
      <c r="O1" s="3291"/>
      <c r="P1" s="3291"/>
      <c r="Q1" s="3291"/>
      <c r="R1" s="3291"/>
      <c r="S1" s="3292"/>
      <c r="T1" s="1201" t="s">
        <v>2989</v>
      </c>
    </row>
    <row r="2" spans="1:45" s="707" customFormat="1">
      <c r="A2" s="1202"/>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2991</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2992</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2993</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2997</v>
      </c>
      <c r="B17" s="2901" t="s">
        <v>2998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2999</v>
      </c>
      <c r="E19" s="1787"/>
      <c r="F19" s="1787"/>
      <c r="G19" s="1787"/>
      <c r="H19" s="1277"/>
      <c r="I19" s="168"/>
      <c r="J19" s="168"/>
      <c r="K19" s="168"/>
      <c r="L19" s="168"/>
      <c r="M19" s="168"/>
      <c r="N19" s="168"/>
      <c r="O19" s="168"/>
      <c r="P19" s="168"/>
      <c r="Q19" s="168"/>
      <c r="R19" s="788"/>
      <c r="S19" s="138"/>
    </row>
    <row r="20" spans="1:45" ht="16.2" thickBot="1">
      <c r="A20" s="715" t="s">
        <v>3000</v>
      </c>
      <c r="B20" s="338" t="e">
        <f ca="1">IF(D20="——",S22,S22-F20)</f>
        <v>#REF!</v>
      </c>
      <c r="C20" s="168"/>
      <c r="D20" s="2903" t="s">
        <v>3001</v>
      </c>
      <c r="E20" s="1788"/>
      <c r="F20" s="1201" t="e">
        <f ca="1">SUMIF(INDIRECT("'"&amp;H20&amp;"'"&amp;"!A:A"),"承租人权益价值",INDIRECT("'"&amp;H20&amp;"'"&amp;"!c:c"))</f>
        <v>#REF!</v>
      </c>
      <c r="G20" s="1201" t="s">
        <v>3002</v>
      </c>
      <c r="H20" s="2904"/>
      <c r="I20" s="168"/>
      <c r="J20" s="168"/>
      <c r="K20" s="168"/>
      <c r="L20" s="168"/>
      <c r="M20" s="168"/>
      <c r="N20" s="168"/>
      <c r="O20" s="168"/>
      <c r="P20" s="168"/>
      <c r="Q20" s="168"/>
      <c r="R20" s="788"/>
      <c r="S20" s="138"/>
    </row>
    <row r="21" spans="1:45" ht="15.6">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49" t="s">
        <v>33</v>
      </c>
      <c r="D22" s="3150"/>
      <c r="E22" s="3150"/>
      <c r="F22" s="3150"/>
      <c r="G22" s="3150"/>
      <c r="H22" s="3150"/>
      <c r="I22" s="3150"/>
      <c r="J22" s="3150"/>
      <c r="K22" s="3150"/>
      <c r="L22" s="3150"/>
      <c r="M22" s="3150"/>
      <c r="N22" s="3150"/>
      <c r="O22" s="3150"/>
      <c r="P22" s="3150"/>
      <c r="Q22" s="3289"/>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6.4">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54" t="s">
        <v>121</v>
      </c>
    </row>
    <row r="43" spans="1:7" ht="13.5" customHeight="1">
      <c r="A43" s="948" t="s">
        <v>792</v>
      </c>
      <c r="B43" s="259" t="s">
        <v>1061</v>
      </c>
      <c r="C43" s="282">
        <f ca="1">ROUND(IF('数据-取费表'!B22&lt;=1,C39*F22*'数据-取费表'!B21/2,C39*(POWER((1+F22),'数据-取费表'!B21/2)-1)),0)</f>
        <v>15</v>
      </c>
      <c r="D43" s="282"/>
      <c r="E43" s="282"/>
      <c r="F43" s="283"/>
      <c r="G43" s="3155"/>
    </row>
    <row r="44" spans="1:7" ht="13.5" customHeight="1">
      <c r="A44" s="948"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8"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93" t="s">
        <v>156</v>
      </c>
      <c r="B1" s="3293"/>
      <c r="C1" s="3293"/>
      <c r="D1" s="3293"/>
      <c r="E1" s="3293"/>
      <c r="F1" s="329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4" t="s">
        <v>169</v>
      </c>
      <c r="B2" s="3294"/>
      <c r="C2" s="3294"/>
      <c r="D2" s="3294"/>
      <c r="E2" s="3294"/>
      <c r="F2" s="329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93" t="s">
        <v>868</v>
      </c>
      <c r="B1" s="3293"/>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6">
      <c r="A3" s="2983"/>
      <c r="B3" s="2983"/>
      <c r="C3" s="2983"/>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14720</v>
      </c>
      <c r="E4" s="1041">
        <f ca="1">结果表!E118</f>
        <v>4582</v>
      </c>
      <c r="F4" s="1041">
        <f ca="1">结果表!F118</f>
        <v>16599</v>
      </c>
      <c r="G4" s="1041">
        <f ca="1">结果表!G118</f>
        <v>5167</v>
      </c>
      <c r="H4" s="1041">
        <f ca="1">结果表!H118</f>
        <v>31319</v>
      </c>
      <c r="I4" s="1041">
        <f ca="1">结果表!I118</f>
        <v>9749</v>
      </c>
    </row>
    <row r="5" spans="1:9" ht="30" customHeight="1">
      <c r="A5" s="2983" t="s">
        <v>1635</v>
      </c>
      <c r="B5" s="2983"/>
      <c r="C5" s="2983"/>
      <c r="D5" s="2984" t="str">
        <f ca="1">结果表!D119</f>
        <v>壹亿肆仟柒佰贰拾万元整</v>
      </c>
      <c r="E5" s="2984"/>
      <c r="F5" s="2984" t="str">
        <f ca="1">结果表!F119</f>
        <v>壹亿陆仟伍佰玖拾玖万元整</v>
      </c>
      <c r="G5" s="2984"/>
      <c r="H5" s="2984" t="str">
        <f ca="1">结果表!H119</f>
        <v>叁亿壹仟叁佰壹拾玖万元整</v>
      </c>
      <c r="I5" s="2984"/>
    </row>
    <row r="6" spans="1:9" ht="15.6">
      <c r="A6" s="2982" t="str">
        <f>结果表!A120</f>
        <v>估价师知悉的法定优先受偿款</v>
      </c>
      <c r="B6" s="2982"/>
      <c r="C6" s="2982"/>
      <c r="D6" s="2982">
        <f>结果表!D120</f>
        <v>0</v>
      </c>
      <c r="E6" s="2982"/>
      <c r="F6" s="2982"/>
      <c r="G6" s="2982"/>
      <c r="H6" s="2982"/>
      <c r="I6" s="2982"/>
    </row>
    <row r="7" spans="1:9" ht="15">
      <c r="A7" s="2983" t="s">
        <v>1635</v>
      </c>
      <c r="B7" s="2983"/>
      <c r="C7" s="2983"/>
      <c r="D7" s="2985" t="str">
        <f>结果表!D121</f>
        <v>零元整</v>
      </c>
      <c r="E7" s="2986"/>
      <c r="F7" s="2986"/>
      <c r="G7" s="2986"/>
      <c r="H7" s="2986"/>
      <c r="I7" s="2987"/>
    </row>
    <row r="8" spans="1:9" ht="15.6">
      <c r="A8" s="2982" t="str">
        <f>结果表!A122</f>
        <v>房地产抵押价值</v>
      </c>
      <c r="B8" s="2982"/>
      <c r="C8" s="2982"/>
      <c r="D8" s="2982">
        <f ca="1">结果表!D122</f>
        <v>31319</v>
      </c>
      <c r="E8" s="2982"/>
      <c r="F8" s="2982"/>
      <c r="G8" s="2982"/>
      <c r="H8" s="2982"/>
      <c r="I8" s="2982"/>
    </row>
    <row r="9" spans="1:9" ht="15">
      <c r="A9" s="2983" t="s">
        <v>1635</v>
      </c>
      <c r="B9" s="2983"/>
      <c r="C9" s="2983"/>
      <c r="D9" s="2984" t="str">
        <f ca="1">结果表!D123</f>
        <v>叁亿壹仟叁佰壹拾玖万元整</v>
      </c>
      <c r="E9" s="2984"/>
      <c r="F9" s="2984"/>
      <c r="G9" s="2984"/>
      <c r="H9" s="2984"/>
      <c r="I9" s="2984"/>
    </row>
    <row r="10" spans="1:9" ht="15.6">
      <c r="A10" s="2982" t="str">
        <f>结果表!A124</f>
        <v/>
      </c>
      <c r="B10" s="2982"/>
      <c r="C10" s="2982"/>
      <c r="D10" s="2982" t="str">
        <f>结果表!D124</f>
        <v>——</v>
      </c>
      <c r="E10" s="2982"/>
      <c r="F10" s="2982"/>
      <c r="G10" s="2982"/>
      <c r="H10" s="2982"/>
      <c r="I10" s="2982"/>
    </row>
    <row r="11" spans="1:9" ht="15">
      <c r="A11" s="2983" t="s">
        <v>1635</v>
      </c>
      <c r="B11" s="2983"/>
      <c r="C11" s="2983"/>
      <c r="D11" s="2984" t="e">
        <f>结果表!D125</f>
        <v>#VALUE!</v>
      </c>
      <c r="E11" s="2984"/>
      <c r="F11" s="2984"/>
      <c r="G11" s="2984"/>
      <c r="H11" s="2984"/>
      <c r="I11" s="2984"/>
    </row>
    <row r="12" spans="1:9" ht="15.6">
      <c r="A12" s="2982" t="str">
        <f>结果表!A126</f>
        <v/>
      </c>
      <c r="B12" s="2982"/>
      <c r="C12" s="2982"/>
      <c r="D12" s="2982" t="str">
        <f>结果表!D126</f>
        <v>——</v>
      </c>
      <c r="E12" s="2982"/>
      <c r="F12" s="2982"/>
      <c r="G12" s="2982"/>
      <c r="H12" s="2982"/>
      <c r="I12" s="2982"/>
    </row>
    <row r="13" spans="1:9" ht="15.6" thickBot="1">
      <c r="A13" s="2979" t="s">
        <v>1635</v>
      </c>
      <c r="B13" s="2979"/>
      <c r="C13" s="2979"/>
      <c r="D13" s="2980" t="e">
        <f>结果表!D127</f>
        <v>#VALUE!</v>
      </c>
      <c r="E13" s="2980"/>
      <c r="F13" s="2980"/>
      <c r="G13" s="2980"/>
      <c r="H13" s="2980"/>
      <c r="I13" s="2980"/>
    </row>
    <row r="14" spans="1:9" ht="14.4" thickTop="1">
      <c r="A14" s="2981" t="s">
        <v>1640</v>
      </c>
      <c r="B14" s="2981"/>
      <c r="C14" s="2981"/>
      <c r="D14" s="2981"/>
      <c r="E14" s="2981"/>
      <c r="F14" s="2981"/>
      <c r="G14" s="2981"/>
      <c r="H14" s="2981"/>
      <c r="I14" s="2981"/>
    </row>
    <row r="16" spans="1:9" ht="17.399999999999999">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2996" t="s">
        <v>1657</v>
      </c>
      <c r="B1" s="2996"/>
      <c r="C1" s="2996"/>
      <c r="D1" s="2996"/>
    </row>
    <row r="2" spans="1:4" ht="17.399999999999999">
      <c r="A2" s="2997" t="s">
        <v>1641</v>
      </c>
      <c r="B2" s="2997"/>
      <c r="C2" s="2997"/>
      <c r="D2" s="2997"/>
    </row>
    <row r="3" spans="1:4" ht="17.399999999999999">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7.399999999999999">
      <c r="A6" s="2997" t="s">
        <v>1647</v>
      </c>
      <c r="B6" s="2997"/>
      <c r="C6" s="2997"/>
      <c r="D6" s="2997"/>
    </row>
    <row r="7" spans="1:4" ht="17.399999999999999">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7.399999999999999">
      <c r="A10" s="1979" t="s">
        <v>1649</v>
      </c>
      <c r="B10" s="728"/>
      <c r="C10" s="728"/>
      <c r="D10" s="728"/>
    </row>
    <row r="11" spans="1:4" ht="30" customHeight="1">
      <c r="A11" s="2998" t="s">
        <v>1650</v>
      </c>
      <c r="B11" s="2990"/>
      <c r="C11" s="2990"/>
      <c r="D11" s="2990"/>
    </row>
    <row r="12" spans="1:4" ht="15.6">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（1）根据估价对象《房屋所有权证》复印件、，截至价值时点，估价对象抵押权未见登记。</v>
      </c>
      <c r="B15" s="2990"/>
      <c r="C15" s="2990"/>
      <c r="D15" s="2990"/>
    </row>
    <row r="16" spans="1:4" ht="30" customHeight="1">
      <c r="A16" s="2992" t="s">
        <v>1651</v>
      </c>
      <c r="B16" s="2992"/>
      <c r="C16" s="2992"/>
      <c r="D16" s="2992"/>
    </row>
    <row r="17" spans="1:4" ht="144" customHeight="1">
      <c r="A17" s="2992" t="s">
        <v>1652</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0"/>
      <c r="B23" s="1952"/>
      <c r="C23" s="1952"/>
      <c r="D23" s="1952"/>
    </row>
    <row r="24" spans="1:4">
      <c r="A24" s="1980"/>
      <c r="B24" s="1952"/>
      <c r="C24" s="1952"/>
      <c r="D24" s="1952"/>
    </row>
    <row r="25" spans="1:4" ht="17.399999999999999">
      <c r="A25" s="1981" t="s">
        <v>1654</v>
      </c>
    </row>
    <row r="26" spans="1:4" ht="17.399999999999999">
      <c r="A26" s="1950"/>
    </row>
    <row r="27" spans="1:4" ht="17.399999999999999">
      <c r="A27" s="1950" t="s">
        <v>1655</v>
      </c>
    </row>
    <row r="30" spans="1:4" ht="17.399999999999999">
      <c r="D30" s="1981" t="s">
        <v>1656</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4.4">
      <c r="A15" s="3004" t="s">
        <v>1664</v>
      </c>
      <c r="B15" s="2999" t="s">
        <v>136</v>
      </c>
      <c r="C15" s="3000"/>
    </row>
    <row r="16" spans="1:7" ht="14.4">
      <c r="A16" s="3005"/>
      <c r="B16" s="2999" t="s">
        <v>69</v>
      </c>
      <c r="C16" s="3000"/>
    </row>
    <row r="17" spans="1:3" ht="14.4">
      <c r="A17" s="3005"/>
      <c r="B17" s="3002" t="s">
        <v>1665</v>
      </c>
      <c r="C17" s="1995" t="s">
        <v>1664</v>
      </c>
    </row>
    <row r="18" spans="1:3" ht="14.4">
      <c r="A18" s="3005"/>
      <c r="B18" s="3002"/>
      <c r="C18" s="1995" t="s">
        <v>1666</v>
      </c>
    </row>
    <row r="19" spans="1:3" ht="14.4">
      <c r="A19" s="3005"/>
      <c r="B19" s="3002"/>
      <c r="C19" s="1995" t="s">
        <v>1667</v>
      </c>
    </row>
    <row r="20" spans="1:3" ht="14.4">
      <c r="A20" s="3006"/>
      <c r="B20" s="3001" t="s">
        <v>1668</v>
      </c>
      <c r="C20" s="3000"/>
    </row>
    <row r="21" spans="1:3" ht="14.4">
      <c r="A21" s="1996" t="s">
        <v>1669</v>
      </c>
      <c r="B21" s="1997"/>
      <c r="C21" s="1998"/>
    </row>
    <row r="22" spans="1:3" ht="14.4">
      <c r="A22" s="3003" t="s">
        <v>1670</v>
      </c>
      <c r="B22" s="3001" t="s">
        <v>1671</v>
      </c>
      <c r="C22" s="3000"/>
    </row>
    <row r="23" spans="1:3" ht="14.4">
      <c r="A23" s="3003"/>
      <c r="B23" s="3001" t="s">
        <v>1672</v>
      </c>
      <c r="C23" s="3000"/>
    </row>
    <row r="24" spans="1:3" ht="14.4">
      <c r="A24" s="3003"/>
      <c r="B24" s="3001" t="s">
        <v>1673</v>
      </c>
      <c r="C24" s="3000"/>
    </row>
    <row r="25" spans="1:3" ht="14.4">
      <c r="A25" s="3003"/>
      <c r="B25" s="3002" t="s">
        <v>1674</v>
      </c>
      <c r="C25" s="1995" t="s">
        <v>1675</v>
      </c>
    </row>
    <row r="26" spans="1:3" ht="14.4">
      <c r="A26" s="3003"/>
      <c r="B26" s="3002"/>
      <c r="C26" s="1995" t="s">
        <v>1676</v>
      </c>
    </row>
    <row r="27" spans="1:3" ht="14.4">
      <c r="A27" s="3003"/>
      <c r="B27" s="3002"/>
      <c r="C27" s="1995" t="s">
        <v>1677</v>
      </c>
    </row>
    <row r="28" spans="1:3" ht="14.4">
      <c r="A28" s="3003"/>
      <c r="B28" s="3002"/>
      <c r="C28" s="1995" t="s">
        <v>1678</v>
      </c>
    </row>
    <row r="29" spans="1:3" ht="14.4">
      <c r="A29" s="3003"/>
      <c r="B29" s="3002"/>
      <c r="C29" s="1995" t="s">
        <v>1679</v>
      </c>
    </row>
    <row r="30" spans="1:3" ht="14.4">
      <c r="A30" s="3003"/>
      <c r="B30" s="3002"/>
      <c r="C30" s="1995" t="s">
        <v>1680</v>
      </c>
    </row>
    <row r="31" spans="1:3" ht="14.4">
      <c r="A31" s="3003"/>
      <c r="B31" s="3002"/>
      <c r="C31" s="1995" t="s">
        <v>1681</v>
      </c>
    </row>
    <row r="32" spans="1:3" ht="14.4">
      <c r="A32" s="3003"/>
      <c r="B32" s="3002"/>
      <c r="C32" s="1995" t="s">
        <v>1682</v>
      </c>
    </row>
    <row r="33" spans="1:3" ht="14.4">
      <c r="A33" s="3003"/>
      <c r="B33" s="3002"/>
      <c r="C33" s="1995" t="s">
        <v>1683</v>
      </c>
    </row>
    <row r="34" spans="1:3">
      <c r="A34" s="1999" t="s">
        <v>76</v>
      </c>
    </row>
    <row r="37" spans="1:3">
      <c r="A37" s="1999" t="s">
        <v>1684</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43630</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t="str">
        <f ca="1">IF(C11&lt;B2,"已过期",1120100036)</f>
        <v>已过期</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3028</v>
      </c>
      <c r="B14" s="1019">
        <f ca="1">IF(C14&lt;B2,"已过期",1120040230)</f>
        <v>1120040230</v>
      </c>
      <c r="C14" s="2338">
        <v>43835</v>
      </c>
      <c r="D14" s="2341" t="s">
        <v>3028</v>
      </c>
      <c r="E14" s="1019">
        <f ca="1">IF(F14&lt;B2,"已过期",98030020)</f>
        <v>98030020</v>
      </c>
      <c r="F14" s="1027">
        <v>47118</v>
      </c>
    </row>
    <row r="15" spans="1:6" ht="24" customHeight="1">
      <c r="A15" s="1698" t="s">
        <v>3029</v>
      </c>
      <c r="B15" s="1019">
        <f ca="1">IF(C15&lt;B2,"已过期",1120070085)</f>
        <v>1120070085</v>
      </c>
      <c r="C15" s="2338">
        <v>43814</v>
      </c>
      <c r="D15" s="2342" t="s">
        <v>3029</v>
      </c>
      <c r="E15" s="1019">
        <f ca="1">IF(F15&lt;B2,"已过期",2004110128)</f>
        <v>2004110128</v>
      </c>
      <c r="F15" s="1020">
        <v>47118</v>
      </c>
    </row>
    <row r="16" spans="1:6" ht="24" customHeight="1">
      <c r="A16" s="1697" t="s">
        <v>3030</v>
      </c>
      <c r="B16" s="1019">
        <f ca="1">IF(C16&lt;B2,"已过期",1120140022)</f>
        <v>1120140022</v>
      </c>
      <c r="C16" s="2920">
        <v>44029</v>
      </c>
      <c r="D16" s="2341" t="s">
        <v>3030</v>
      </c>
      <c r="E16" s="1019">
        <f ca="1">IF(F16&lt;B2,"已过期",2008110059)</f>
        <v>2008110059</v>
      </c>
      <c r="F16" s="1027">
        <v>47177</v>
      </c>
    </row>
    <row r="17" spans="1:7" ht="24" customHeight="1">
      <c r="A17" s="1697"/>
      <c r="B17" s="1019"/>
      <c r="C17" s="2338"/>
      <c r="D17" s="2341" t="s">
        <v>3031</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7" t="s">
        <v>843</v>
      </c>
      <c r="B25" s="3007"/>
      <c r="C25" s="3007"/>
      <c r="D25" s="3007"/>
      <c r="E25" s="3007"/>
      <c r="F25" s="3007"/>
      <c r="G25" s="3007"/>
    </row>
    <row r="26" spans="1:7" s="1022" customFormat="1" ht="24" customHeight="1">
      <c r="A26" s="3008" t="s">
        <v>844</v>
      </c>
      <c r="B26" s="3008"/>
      <c r="C26" s="3009"/>
      <c r="D26" s="3010" t="s">
        <v>845</v>
      </c>
      <c r="E26" s="3008"/>
      <c r="F26" s="3008"/>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2019-06-14T07:48:13Z</dcterms:modified>
</cp:coreProperties>
</file>