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s>
  <externalReferences>
    <externalReference r:id="rId46"/>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<sst xmlns="http://schemas.openxmlformats.org/spreadsheetml/2006/main" count="7556" uniqueCount="2669">
  <si>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</si>
  <si>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</si>
  <si>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</si>
  <si>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</si>
  <si>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</si>
  <si>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</si>
  <si>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</si>
  <si>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</si>
  <si>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</si>
  <si>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</si>
  <si>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</si>
  <si>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</si>
  <si>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</si>
  <si>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</si>
  <si>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</si>
  <si>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</si>
  <si>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</si>
  <si>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</si>
  <si>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</si>
  <si>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</si>
  <si>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</si>
  <si>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</si>
  <si>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</si>
  <si>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</si>
  <si>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</si>
  <si>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</si>
  <si>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</si>
  <si>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</si>
  <si>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</si>
  <si>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</si>
  <si>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</si>
  <si>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</si>
  <si>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</si>
  <si>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</si>
  <si>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</si>
  <si>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</si>
  <si>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</si>
  <si>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</si>
  <si>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</si>
  <si>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</si>
  <si>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</si>
  <si>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</si>
  <si>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</si>
  <si>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</si>
  <si>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</si>
  <si>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</si>
  <si>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</si>
  <si>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</si>
  <si>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</si>
  <si>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</si>
  <si>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</si>
  <si>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</si>
  <si>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</si>
  <si>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</si>
  <si>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</si>
  <si>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</si>
  <si>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</si>
  <si>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</si>
  <si>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</si>
  <si>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</si>
  <si>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</si>
  <si>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</si>
  <si>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</si>
  <si>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</si>
  <si>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</si>
  <si>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</si>
  <si>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</si>
  <si>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</si>
  <si>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</si>
  <si>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</si>
  <si>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</si>
  <si>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</si>
  <si>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</si>
  <si>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</si>
  <si>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</si>
  <si>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</si>
  <si>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</si>
  <si>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</si>
  <si>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</si>
  <si>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</si>
  <si>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</si>
  <si>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</si>
  <si>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</si>
  <si>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</si>
  <si>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</si>
  <si>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</si>
  <si>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</si>
  <si>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</si>
  <si>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</si>
  <si>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</si>
  <si>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</si>
  <si>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</si>
  <si>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</si>
  <si>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</si>
  <si>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</si>
  <si>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</si>
  <si>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</si>
  <si>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</si>
  <si>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</si>
  <si>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</si>
  <si>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</si>
  <si>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</si>
  <si>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</si>
  <si>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</si>
  <si>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</si>
  <si>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</si>
  <si>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</si>
  <si>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</si>
  <si>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</si>
  <si>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</si>
  <si>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</si>
  <si>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</si>
  <si>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</si>
  <si>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</si>
  <si>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</si>
  <si>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</si>
  <si>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</si>
  <si>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</si>
  <si>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</si>
  <si>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</si>
  <si>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</si>
  <si>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</si>
  <si>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</si>
  <si>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</si>
  <si>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</si>
  <si>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</si>
  <si>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</si>
  <si>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</si>
  <si>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</si>
  <si>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</si>
  <si>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</si>
  <si>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</si>
  <si>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</si>
  <si>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</si>
  <si>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</si>
  <si>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</si>
  <si>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</si>
  <si>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</si>
  <si>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</si>
  <si>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</si>
  <si>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</si>
  <si>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</si>
  <si>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</si>
  <si>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</si>
  <si>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</si>
  <si>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</si>
  <si>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</si>
  <si>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</si>
  <si>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</si>
  <si>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</si>
  <si>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</si>
  <si>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</si>
  <si>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</si>
  <si>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</si>
  <si>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</si>
  <si>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</si>
  <si>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</si>
  <si>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</si>
  <si>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</si>
  <si>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</si>
  <si>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</si>
  <si>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</si>
  <si>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</si>
  <si>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</si>
  <si>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</si>
  <si>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</si>
  <si>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</si>
  <si>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</si>
  <si>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</si>
  <si>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</si>
  <si>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</si>
  <si>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</si>
  <si>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</si>
  <si>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</si>
  <si>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</si>
  <si>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</si>
  <si>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</si>
  <si>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</si>
  <si>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</si>
  <si>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</si>
  <si>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</si>
  <si>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</si>
  <si>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</si>
  <si>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</si>
  <si>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</si>
  <si>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</si>
  <si>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</si>
  <si>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</si>
  <si>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</si>
  <si>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</si>
  <si>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</si>
  <si>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</si>
  <si>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</si>
  <si>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</si>
  <si>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</si>
  <si>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</si>
  <si>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</si>
  <si>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</si>
  <si>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</si>
  <si>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</si>
  <si>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</si>
  <si>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</si>
  <si>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</si>
  <si>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</si>
  <si>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</si>
  <si>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</si>
  <si>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</si>
  <si>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</si>
  <si>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</si>
  <si>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</si>
  <si>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</si>
  <si>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</si>
  <si>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</si>
  <si>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</si>
  <si>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</si>
  <si>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</si>
  <si>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</si>
  <si>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</si>
  <si>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</si>
  <si>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</si>
  <si>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</si>
  <si>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</si>
  <si>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</si>
  <si>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</si>
  <si>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</si>
  <si>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</si>
  <si>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</si>
  <si>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</si>
  <si>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</si>
  <si>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</si>
  <si>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</si>
  <si>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</si>
  <si>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</si>
  <si>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</si>
  <si>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</si>
  <si>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</si>
  <si>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</si>
  <si>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</si>
  <si>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</si>
  <si>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</si>
  <si>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</si>
  <si>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</si>
  <si>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</si>
  <si>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</si>
  <si>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</si>
  <si>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</si>
  <si>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</si>
  <si>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</si>
  <si>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</si>
  <si>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</si>
  <si>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</si>
  <si>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</si>
  <si>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</si>
  <si>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</si>
  <si>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</si>
  <si>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</si>
  <si>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</si>
  <si>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</si>
  <si>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</si>
  <si>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</si>
  <si>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</si>
  <si>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</si>
  <si>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</si>
  <si>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</si>
  <si>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</si>
  <si>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</si>
  <si>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</si>
  <si>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</si>
  <si>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</si>
  <si>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</si>
  <si>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</si>
  <si>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</si>
  <si>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</si>
  <si>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</si>
  <si>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</si>
  <si>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</si>
  <si>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</si>
  <si>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</si>
  <si>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</si>
  <si>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</si>
  <si>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</si>
  <si>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</si>
  <si>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</si>
  <si>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</si>
  <si>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</si>
  <si>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</si>
  <si>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</si>
  <si>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</si>
  <si>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</si>
  <si>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</si>
  <si>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</si>
  <si>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</si>
  <si>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</si>
  <si>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</si>
  <si>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</si>
  <si>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</si>
  <si>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</si>
  <si>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</si>
  <si>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</si>
  <si>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</si>
  <si>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</si>
  <si>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</si>
  <si>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</si>
  <si>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</si>
  <si>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</si>
  <si>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</si>
  <si>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</si>
  <si>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</si>
  <si>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</si>
  <si>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</si>
  <si>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</si>
  <si>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</si>
  <si>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</si>
  <si>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</si>
  <si>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</si>
  <si>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</si>
  <si>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</si>
  <si>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</si>
  <si>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</si>
  <si>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</si>
  <si>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</si>
  <si>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</si>
  <si>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</si>
  <si>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</si>
  <si>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</si>
  <si>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</si>
  <si>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</si>
  <si>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</si>
  <si>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</si>
  <si>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</si>
  <si>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</si>
  <si>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</si>
  <si>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</si>
  <si>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</si>
  <si>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</si>
  <si>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</si>
  <si>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</si>
  <si>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</si>
  <si>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</si>
  <si>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</si>
  <si>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</si>
  <si>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</si>
  <si>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</si>
  <si>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</si>
  <si>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</si>
  <si>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</si>
  <si>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</si>
  <si>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</si>
  <si>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</si>
  <si>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</si>
  <si>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</si>
  <si>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</si>
  <si>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</si>
  <si>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</si>
  <si>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</si>
  <si>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</si>
  <si>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</si>
  <si>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</si>
  <si>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</si>
  <si>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</si>
  <si>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</si>
  <si>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</si>
  <si>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</si>
  <si>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</si>
  <si>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</si>
  <si>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</si>
  <si>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</si>
  <si>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</si>
  <si>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</si>
  <si>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</si>
  <si>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</si>
  <si>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</si>
  <si>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</si>
  <si>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</si>
  <si>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</si>
  <si>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</si>
  <si>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</si>
  <si>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</si>
  <si>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</si>
  <si>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</si>
  <si>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</si>
  <si>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</si>
  <si>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</si>
  <si>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</si>
  <si>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</si>
  <si>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</si>
  <si>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</si>
  <si>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</si>
  <si>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</si>
  <si>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</si>
  <si>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</si>
  <si>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</si>
  <si>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</si>
  <si>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</si>
  <si>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</si>
  <si>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</si>
  <si>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</si>
  <si>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</si>
  <si>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</si>
  <si>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</si>
  <si>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</si>
  <si>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</si>
  <si>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</si>
  <si>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</si>
  <si>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</si>
  <si>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</si>
  <si>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</si>
  <si>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</si>
  <si>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</si>
  <si>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</si>
  <si>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</si>
  <si>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</si>
  <si>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</si>
  <si>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</si>
  <si>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</si>
  <si>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</si>
  <si>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</si>
  <si>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</si>
  <si>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</si>
  <si>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</si>
  <si>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</si>
  <si>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</si>
  <si>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</si>
  <si>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</si>
  <si>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</si>
  <si>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</si>
  <si>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</si>
  <si>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</si>
  <si>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</si>
  <si>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</si>
  <si>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</si>
  <si>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</si>
  <si>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</si>
  <si>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</si>
  <si>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</si>
  <si>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</si>
  <si>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</si>
  <si>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</si>
  <si>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</si>
  <si>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</si>
  <si>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</si>
  <si>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</si>
  <si>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</si>
  <si>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</si>
  <si>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</si>
  <si>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</si>
  <si>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</si>
  <si>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</si>
  <si>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</si>
  <si>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</si>
  <si>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</si>
  <si>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</si>
  <si>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</si>
  <si>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</si>
  <si>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</si>
  <si>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</si>
  <si>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</si>
  <si>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</si>
  <si>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</si>
  <si>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</si>
  <si>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</si>
  <si>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</si>
  <si>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</si>
  <si>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</si>
  <si>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</si>
  <si>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</si>
  <si>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</si>
  <si>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</si>
  <si>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</si>
  <si>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</si>
  <si>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</si>
  <si>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</si>
  <si>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</si>
  <si>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</si>
  <si>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</si>
  <si>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</si>
  <si>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</si>
  <si>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</si>
  <si>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</si>
  <si>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</si>
  <si>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</si>
  <si>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</si>
  <si>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</si>
  <si>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</si>
  <si>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</si>
  <si>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</si>
  <si>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</si>
  <si>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</si>
  <si>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</si>
  <si>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</si>
  <si>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</si>
  <si>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</si>
  <si>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</si>
  <si>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</si>
  <si>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</si>
  <si>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</si>
  <si>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</si>
  <si>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</si>
  <si>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</si>
  <si>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</si>
  <si>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</si>
  <si>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</si>
  <si>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</si>
  <si>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</si>
  <si>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</si>
  <si>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</si>
  <si>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</si>
  <si>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</si>
  <si>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</si>
  <si>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</si>
  <si>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</si>
  <si>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</si>
  <si>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</si>
  <si>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</si>
  <si>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</si>
  <si>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</si>
  <si>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</si>
  <si>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</si>
  <si>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</si>
  <si>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</si>
  <si>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</si>
  <si>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</si>
  <si>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</si>
  <si>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</si>
  <si>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</si>
  <si>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</si>
  <si>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</si>
  <si>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</si>
  <si>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</si>
  <si>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</si>
  <si>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</si>
  <si>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</si>
  <si>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</si>
  <si>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</si>
  <si>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</si>
  <si>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</si>
  <si>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</si>
  <si>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</si>
  <si>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</si>
  <si>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</si>
  <si>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</si>
  <si>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</si>
  <si>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</si>
  <si>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</si>
  <si>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</si>
  <si>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</si>
  <si>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</si>
  <si>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</si>
  <si>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</si>
  <si>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</si>
  <si>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</si>
  <si>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</si>
  <si>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</si>
  <si>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</si>
  <si>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</si>
  <si>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</si>
  <si>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</si>
  <si>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</si>
  <si>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</si>
  <si>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</si>
  <si>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</si>
  <si>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</si>
  <si>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</si>
  <si>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</si>
  <si>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</si>
  <si>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</si>
  <si>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</si>
  <si>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</si>
  <si>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</si>
  <si>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</si>
  <si>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</si>
  <si>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</si>
  <si>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</si>
  <si>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</si>
  <si>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</si>
  <si>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</si>
  <si>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</si>
  <si>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</si>
  <si>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</si>
  <si>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</si>
  <si>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</si>
  <si>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</si>
  <si>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</si>
  <si>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</si>
  <si>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</si>
  <si>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</si>
  <si>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</si>
  <si>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</si>
  <si>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</si>
  <si>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</si>
  <si>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</si>
  <si>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</si>
  <si>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</si>
  <si>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</si>
  <si>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</si>
  <si>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</si>
  <si>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</si>
  <si>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</si>
  <si>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</si>
  <si>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</si>
  <si>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</si>
  <si>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</si>
  <si>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</si>
  <si>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</si>
  <si>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</si>
  <si>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</si>
  <si>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</si>
  <si>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</si>
  <si>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</si>
  <si>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</si>
  <si>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</si>
  <si>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</si>
  <si>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</si>
  <si>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</si>
  <si>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</si>
  <si>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</si>
  <si>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</si>
  <si>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</si>
  <si>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</si>
  <si>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</si>
  <si>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</si>
  <si>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</si>
  <si>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</si>
  <si>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</si>
  <si>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</si>
  <si>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</si>
  <si>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</si>
  <si>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</si>
  <si>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</si>
  <si>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</si>
  <si>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</si>
  <si>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</si>
  <si>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</si>
  <si>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</si>
  <si>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</si>
  <si>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</si>
  <si>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</si>
  <si>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</si>
  <si>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</si>
  <si>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</si>
  <si>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</si>
  <si>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</si>
  <si>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</si>
  <si>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</si>
  <si>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</si>
  <si>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</si>
  <si>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</si>
  <si>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</si>
  <si>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</si>
  <si>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</si>
  <si>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</si>
  <si>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</si>
  <si>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</si>
  <si>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</si>
  <si>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</si>
  <si>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</si>
  <si>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</si>
  <si>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</si>
  <si>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</si>
  <si>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</si>
  <si>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</si>
  <si>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</si>
  <si>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</si>
  <si>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</si>
  <si>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</si>
  <si>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</si>
  <si>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</si>
  <si>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</si>
  <si>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</si>
  <si>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</si>
  <si>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</si>
  <si>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</si>
  <si>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</si>
  <si>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</si>
  <si>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</si>
  <si>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</si>
  <si>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</si>
  <si>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</si>
  <si>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</si>
  <si>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</si>
  <si>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</si>
  <si>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</si>
  <si>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</si>
  <si>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</si>
  <si>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</si>
  <si>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</si>
  <si>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</si>
  <si>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</si>
  <si>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</si>
  <si>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</si>
  <si>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</si>
  <si>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</si>
  <si>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</si>
  <si>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</si>
  <si>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</si>
  <si>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</si>
  <si>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</si>
  <si>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</si>
  <si>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</si>
  <si>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</si>
  <si>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</si>
  <si>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</si>
  <si>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</si>
  <si>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</si>
  <si>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</si>
  <si>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</si>
  <si>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</si>
  <si>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</si>
  <si>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</si>
  <si>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</si>
  <si>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</si>
  <si>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</si>
  <si>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</si>
  <si>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</si>
  <si>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</si>
  <si>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</si>
  <si>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</si>
  <si>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</si>
  <si>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</si>
  <si>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</si>
  <si>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</si>
  <si>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</si>
  <si>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</si>
  <si>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</si>
  <si>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</si>
  <si>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</si>
  <si>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</si>
  <si>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</si>
  <si>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</si>
  <si>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</si>
  <si>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</si>
  <si>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</si>
  <si>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</si>
  <si>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</si>
  <si>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</si>
  <si>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</si>
  <si>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</si>
  <si>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</si>
  <si>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</si>
  <si>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</si>
  <si>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</si>
  <si>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</si>
  <si>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</si>
  <si>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</si>
  <si>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</si>
  <si>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</si>
  <si>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</si>
  <si>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</si>
  <si>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</si>
  <si>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</si>
  <si>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</si>
  <si>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</si>
  <si>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</si>
  <si>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</si>
  <si>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</si>
  <si>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</si>
  <si>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</si>
  <si>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</si>
  <si>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</si>
  <si>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</si>
  <si>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</si>
  <si>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</si>
  <si>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</si>
  <si>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</si>
  <si>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</si>
  <si>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</si>
  <si>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</si>
  <si>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</si>
  <si>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</si>
  <si>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</si>
  <si>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</si>
  <si>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</si>
  <si>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</si>
  <si>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</si>
  <si>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</si>
  <si>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</si>
  <si>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</si>
  <si>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</si>
  <si>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</si>
  <si>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</si>
  <si>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</si>
  <si>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</si>
  <si>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</si>
  <si>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</si>
  <si>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</si>
  <si>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</si>
  <si>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</si>
  <si>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</si>
  <si>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</si>
  <si>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</si>
  <si>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</si>
  <si>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</si>
  <si>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</si>
  <si>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</si>
  <si>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</si>
  <si>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</si>
  <si>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</si>
  <si>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</si>
  <si>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</si>
  <si>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</si>
  <si>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</si>
  <si>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</si>
  <si>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</si>
  <si>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</si>
  <si>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</si>
  <si>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</si>
  <si>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</si>
  <si>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</si>
  <si>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</si>
  <si>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</si>
  <si>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</si>
  <si>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</si>
  <si>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</si>
  <si>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</si>
  <si>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</si>
  <si>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</si>
  <si>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</si>
  <si>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</si>
  <si>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</si>
  <si>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</si>
  <si>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</si>
  <si>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</si>
  <si>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</si>
  <si>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</si>
  <si>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</si>
  <si>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</si>
  <si>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</si>
  <si>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</si>
  <si>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</si>
  <si>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</si>
  <si>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</si>
  <si>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</si>
  <si>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</si>
  <si>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</si>
  <si>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</si>
  <si>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</si>
  <si>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</si>
  <si>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</si>
  <si>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</si>
  <si>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</si>
  <si>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</si>
  <si>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</si>
  <si>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</si>
  <si>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</si>
  <si>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</si>
  <si>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</si>
  <si>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</si>
  <si>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</si>
  <si>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</si>
  <si>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</si>
  <si>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</si>
  <si>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</si>
  <si>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</si>
  <si>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</si>
  <si>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</si>
  <si>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</si>
  <si>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</si>
  <si>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</si>
  <si>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</si>
  <si>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</si>
  <si>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</si>
  <si>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</si>
  <si>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</si>
  <si>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</si>
  <si>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</si>
  <si>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</si>
  <si>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</si>
  <si>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</si>
  <si>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</si>
  <si>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</si>
  <si>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</si>
  <si>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</si>
  <si>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</si>
  <si>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</si>
  <si>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</si>
  <si>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</si>
  <si>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</si>
  <si>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</si>
  <si>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</si>
  <si>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</si>
  <si>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</si>
  <si>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</si>
  <si>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</si>
  <si>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</si>
  <si>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</si>
  <si>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</si>
  <si>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</si>
  <si>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</si>
  <si>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</si>
  <si>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</si>
  <si>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</si>
  <si>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</si>
  <si>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</si>
  <si>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</si>
  <si>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</si>
  <si>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</si>
  <si>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</si>
  <si>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</si>
  <si>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</si>
  <si>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</si>
  <si>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</si>
  <si>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</si>
  <si>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</si>
  <si>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</si>
  <si>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</si>
  <si>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</si>
  <si>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</si>
  <si>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</si>
  <si>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</si>
  <si>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</si>
  <si>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</si>
  <si>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</si>
  <si>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</si>
  <si>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</si>
  <si>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</si>
  <si>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</si>
  <si>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</si>
  <si>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</si>
  <si>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</si>
  <si>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</si>
  <si>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</si>
  <si>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</si>
  <si>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</si>
  <si>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</si>
  <si>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</si>
  <si>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</si>
  <si>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</si>
  <si>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</si>
  <si>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</si>
  <si>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</si>
  <si>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</si>
  <si>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</si>
  <si>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</si>
  <si>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</si>
  <si>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</si>
  <si>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</si>
  <si>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</si>
  <si>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</si>
  <si>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</si>
  <si>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</si>
  <si>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</si>
  <si>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</si>
  <si>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</si>
  <si>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</si>
  <si>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</si>
  <si>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</si>
  <si>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</si>
  <si>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</si>
  <si>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</si>
  <si>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</si>
  <si>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</si>
  <si>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</si>
  <si>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</si>
  <si>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</si>
  <si>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</si>
  <si>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</si>
  <si>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</si>
  <si>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</si>
  <si>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</si>
  <si>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</si>
  <si>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</si>
  <si>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</si>
  <si>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</si>
  <si>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</si>
  <si>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</si>
  <si>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</si>
  <si>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</si>
  <si>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</si>
  <si>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</si>
  <si>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</si>
  <si>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</si>
  <si>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</si>
  <si>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</si>
  <si>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</si>
  <si>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</si>
  <si>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</si>
  <si>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</si>
  <si>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</si>
  <si>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</si>
  <si>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</si>
  <si>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</si>
  <si>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</si>
  <si>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</si>
  <si>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</si>
  <si>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</si>
  <si>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</si>
  <si>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</si>
  <si>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</si>
  <si>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</si>
  <si>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</si>
  <si>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</si>
  <si>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</si>
  <si>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</si>
  <si>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</si>
  <si>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</si>
  <si>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</si>
  <si>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</si>
  <si>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</si>
  <si>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</si>
  <si>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</si>
  <si>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</si>
  <si>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</si>
  <si>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</si>
  <si>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</si>
  <si>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</si>
  <si>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</si>
  <si>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</si>
  <si>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</si>
  <si>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</si>
  <si>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</si>
  <si>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</si>
  <si>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</si>
  <si>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</si>
  <si>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</si>
  <si>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</si>
  <si>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</si>
  <si>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</si>
  <si>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</si>
  <si>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</si>
  <si>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</si>
  <si>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</si>
  <si>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</si>
  <si>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</si>
  <si>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</si>
  <si>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</si>
  <si>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</si>
  <si>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</si>
  <si>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</si>
  <si>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</si>
  <si>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</si>
  <si>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</si>
  <si>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</si>
  <si>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</si>
  <si>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</si>
  <si>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</si>
  <si>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</si>
  <si>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</si>
  <si>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</si>
  <si>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</si>
  <si>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</si>
  <si>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</si>
  <si>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</si>
  <si>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</si>
  <si>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</si>
  <si>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</si>
  <si>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</si>
  <si>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</si>
  <si>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</si>
  <si>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</si>
  <si>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</si>
  <si>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</si>
  <si>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</si>
  <si>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</si>
  <si>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</si>
  <si>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</si>
  <si>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</si>
  <si>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</si>
  <si>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</si>
  <si>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</si>
  <si>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</si>
  <si>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</si>
  <si>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</si>
  <si>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</si>
  <si>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</si>
  <si>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</si>
  <si>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</si>
  <si>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</si>
  <si>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</si>
  <si>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</si>
  <si>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</si>
  <si>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</si>
  <si>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</si>
  <si>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</si>
  <si>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</si>
  <si>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</si>
  <si>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</si>
  <si>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</si>
  <si>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</si>
  <si>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</si>
  <si>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</si>
  <si>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</si>
  <si>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</si>
  <si>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</si>
  <si>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</si>
  <si>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</si>
  <si>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</si>
  <si>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</si>
  <si>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</si>
  <si>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</si>
  <si>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</si>
  <si>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</si>
  <si>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</si>
  <si>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</si>
  <si>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</si>
  <si>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</si>
  <si>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</si>
  <si>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</si>
  <si>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</si>
  <si>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</si>
  <si>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</si>
  <si>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</si>
  <si>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</si>
  <si>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</si>
  <si>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</si>
  <si>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</si>
  <si>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</si>
  <si>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</si>
  <si>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</si>
  <si>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</si>
  <si>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</si>
  <si>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</si>
  <si>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</si>
  <si>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</si>
  <si>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</si>
  <si>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</si>
  <si>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</si>
  <si>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</si>
  <si>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</si>
  <si>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</si>
  <si>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</si>
  <si>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</si>
  <si>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</si>
  <si>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</si>
  <si>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</si>
  <si>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</si>
  <si>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</si>
  <si>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</si>
  <si>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</si>
  <si>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</si>
  <si>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</si>
  <si>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</si>
  <si>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</si>
  <si>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</si>
  <si>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</si>
  <si>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</si>
  <si>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</si>
  <si>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</si>
  <si>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</si>
  <si>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</si>
  <si>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</si>
  <si>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</si>
  <si>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</si>
  <si>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</si>
  <si>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</si>
  <si>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</si>
  <si>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</si>
  <si>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</si>
  <si>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</si>
  <si>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</si>
  <si>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</si>
  <si>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</si>
  <si>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</si>
  <si>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</si>
  <si>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</si>
  <si>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</si>
  <si>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</si>
  <si>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</si>
  <si>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</si>
  <si>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</si>
  <si>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</si>
  <si>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</si>
  <si>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</si>
  <si>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</si>
  <si>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</si>
  <si>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</si>
  <si>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</si>
  <si>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</si>
  <si>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</si>
  <si>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</si>
  <si>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</si>
  <si>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</si>
  <si>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</si>
  <si>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</si>
  <si>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</si>
  <si>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</si>
  <si>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</si>
  <si>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</si>
  <si>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</si>
  <si>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</si>
  <si>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</si>
  <si>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</si>
  <si>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</si>
  <si>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</si>
  <si>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</si>
  <si>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</si>
  <si>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</si>
  <si>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</si>
  <si>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</si>
  <si>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</si>
  <si>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</si>
  <si>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</si>
  <si>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</si>
  <si>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</si>
  <si>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</si>
  <si>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</si>
  <si>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</si>
  <si>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</si>
  <si>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</si>
  <si>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</si>
  <si>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</si>
  <si>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</si>
  <si>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</si>
  <si>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</si>
  <si>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</si>
  <si>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</si>
  <si>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</si>
  <si>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</si>
  <si>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</si>
  <si>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</si>
  <si>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</si>
  <si>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</si>
  <si>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</si>
  <si>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</si>
  <si>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</si>
  <si>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</si>
  <si>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</si>
  <si>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</si>
  <si>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</si>
  <si>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</si>
  <si>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</si>
  <si>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</si>
  <si>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</si>
  <si>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</si>
  <si>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</si>
  <si>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</si>
  <si>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</si>
  <si>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</si>
  <si>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</si>
  <si>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</si>
  <si>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</si>
  <si>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</si>
  <si>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</si>
  <si>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</si>
  <si>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</si>
  <si>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</si>
  <si>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</si>
  <si>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</si>
  <si>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</si>
  <si>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</si>
  <si>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</si>
  <si>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</si>
  <si>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</si>
  <si>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</si>
  <si>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</si>
  <si>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</si>
  <si>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</si>
  <si>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</si>
  <si>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</si>
  <si>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</si>
  <si>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</si>
  <si>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</si>
  <si>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</si>
  <si>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</si>
  <si>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</si>
  <si>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</si>
  <si>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</si>
  <si>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</si>
  <si>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</si>
  <si>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</si>
  <si>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</si>
  <si>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</si>
  <si>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</si>
  <si>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</si>
  <si>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</si>
  <si>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</si>
  <si>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</si>
  <si>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</si>
  <si>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</si>
  <si>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</si>
  <si>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</si>
  <si>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</si>
  <si>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</si>
  <si>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</si>
  <si>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</si>
  <si>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</si>
  <si>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</si>
  <si>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</si>
  <si>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</si>
  <si>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</si>
  <si>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</si>
  <si>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</si>
  <si>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</si>
  <si>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</si>
  <si>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</si>
  <si>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</si>
  <si>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</si>
  <si>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</si>
  <si>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</si>
  <si>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</si>
  <si>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</si>
  <si>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</si>
  <si>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</si>
  <si>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</si>
  <si>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</si>
  <si>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</si>
  <si>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</si>
  <si>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</si>
  <si>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</si>
  <si>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</si>
  <si>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</si>
  <si>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</si>
  <si>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</si>
  <si>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</si>
  <si>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</si>
  <si>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</si>
  <si>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</si>
  <si>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</si>
  <si>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</si>
  <si>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</si>
  <si>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</si>
  <si>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</si>
  <si>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</si>
  <si>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</si>
  <si>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</si>
  <si>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</si>
  <si>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</si>
  <si>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</si>
  <si>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</si>
  <si>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</si>
  <si>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</si>
  <si>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</si>
  <si>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</si>
  <si>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</si>
  <si>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</si>
  <si>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</si>
  <si>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</si>
  <si>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</si>
  <si>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</si>
  <si>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</si>
  <si>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</si>
  <si>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</si>
  <si>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</si>
  <si>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</si>
  <si>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</si>
  <si>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</si>
  <si>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</si>
  <si>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</si>
  <si>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</si>
  <si>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</si>
  <si>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</si>
  <si>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</si>
  <si>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</si>
  <si>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</si>
  <si>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</si>
  <si>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</si>
  <si>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</si>
  <si>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</si>
  <si>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</si>
  <si>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</si>
  <si>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</si>
  <si>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</si>
  <si>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</si>
  <si>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</si>
  <si>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</si>
  <si>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</si>
  <si>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</si>
  <si>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</si>
  <si>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</si>
  <si>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</si>
  <si>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</si>
  <si>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</si>
  <si>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</si>
  <si>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</si>
  <si>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</si>
  <si>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</si>
  <si>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</si>
  <si>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</si>
  <si>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</si>
  <si>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</si>
  <si>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</si>
  <si>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</si>
  <si>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</si>
  <si>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</si>
  <si>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</si>
  <si>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</si>
  <si>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</si>
  <si>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</si>
  <si>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</si>
  <si>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</si>
  <si>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</si>
  <si>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</si>
  <si>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</si>
  <si>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</si>
  <si>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</si>
  <si>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</si>
  <si>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</si>
  <si>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</si>
  <si>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</si>
  <si>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</si>
  <si>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</si>
  <si>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</si>
  <si>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</si>
  <si>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</si>
  <si>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</si>
  <si>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</si>
  <si>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</si>
  <si>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</si>
  <si>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</si>
  <si>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</si>
  <si>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</si>
  <si>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</si>
  <si>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</si>
  <si>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</si>
  <si>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</si>
  <si>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</si>
  <si>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</si>
  <si>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</si>
  <si>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</si>
  <si>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</si>
  <si>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</si>
  <si>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</si>
  <si>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</si>
  <si>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</si>
  <si>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</si>
  <si>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</si>
  <si>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</si>
  <si>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</si>
  <si>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</si>
  <si>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</si>
  <si>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</si>
  <si>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</si>
  <si>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</si>
  <si>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</si>
  <si>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</si>
  <si>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</si>
  <si>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</si>
  <si>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</si>
  <si>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</si>
  <si>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</si>
  <si>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</si>
  <si>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</si>
  <si>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</si>
  <si>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</si>
  <si>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</si>
  <si>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</si>
  <si>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</si>
  <si>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</si>
  <si>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</si>
  <si>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</si>
  <si>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</si>
  <si>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</si>
  <si>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</si>
  <si>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</si>
  <si>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</si>
  <si>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</si>
  <si>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</si>
  <si>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</si>
  <si>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</si>
  <si>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</si>
  <si>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</si>
  <si>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</si>
  <si>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</si>
  <si>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</si>
  <si>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</si>
  <si>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</si>
  <si>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</si>
  <si>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</si>
  <si>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</si>
  <si>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</si>
  <si>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</si>
  <si>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</si>
  <si>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</si>
  <si>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</si>
  <si>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</si>
  <si>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</si>
  <si>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</si>
  <si>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</si>
  <si>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</si>
  <si>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</si>
  <si>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</si>
  <si>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</si>
  <si>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</si>
  <si>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</si>
  <si>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</si>
  <si>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</si>
  <si>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</si>
  <si>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</si>
  <si>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</si>
  <si>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</si>
  <si>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</si>
  <si>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</si>
  <si>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</si>
  <si>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</si>
  <si>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</si>
  <si>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</si>
  <si>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</si>
  <si>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</si>
  <si>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</si>
  <si>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</si>
  <si>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</si>
  <si>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</si>
  <si>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</si>
  <si>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</si>
  <si>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</si>
  <si>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</si>
  <si>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</si>
  <si>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</si>
  <si>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</si>
  <si>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</si>
  <si>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</si>
  <si>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</si>
  <si>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</si>
  <si>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</si>
  <si>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</si>
  <si>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</si>
  <si>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</si>
  <si>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</si>
  <si>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</si>
  <si>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</si>
  <si>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</si>
  <si>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</si>
  <si>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</si>
  <si>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</si>
  <si>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</si>
  <si>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</si>
  <si>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</si>
  <si>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</si>
  <si>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</si>
  <si>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</si>
  <si>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</si>
  <si>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</si>
  <si>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</si>
  <si>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</si>
  <si>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</si>
  <si>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</si>
  <si>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</si>
  <si>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</si>
  <si>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</si>
  <si>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</si>
  <si>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</si>
  <si>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</si>
  <si>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</si>
  <si>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</si>
  <si>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</si>
  <si>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</si>
  <si>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</si>
  <si>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</si>
  <si>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</si>
  <si>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</si>
  <si>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</si>
  <si>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</si>
  <si>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</si>
  <si>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</si>
  <si>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</si>
  <si>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</si>
  <si>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</si>
  <si>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</si>
  <si>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</si>
  <si>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</si>
  <si>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</si>
  <si>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</si>
  <si>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</si>
  <si>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</si>
  <si>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</si>
  <si>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</si>
  <si>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</si>
  <si>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</si>
  <si>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</si>
  <si>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</si>
  <si>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</si>
  <si>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</si>
  <si>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</si>
  <si>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</si>
  <si>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</si>
  <si>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</si>
  <si>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</si>
  <si>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</si>
  <si>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</si>
  <si>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</si>
  <si>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</si>
  <si>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</si>
  <si>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</si>
  <si>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</si>
  <si>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</si>
  <si>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</si>
  <si>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</si>
  <si>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</si>
  <si>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</si>
  <si>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</si>
  <si>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</si>
  <si>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</si>
  <si>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</si>
  <si>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</si>
  <si>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</si>
  <si>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</si>
  <si>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</si>
  <si>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</si>
  <si>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</si>
  <si>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</si>
  <si>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</si>
  <si>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</si>
  <si>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</si>
  <si>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</si>
  <si>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</si>
  <si>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</si>
  <si>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</si>
  <si>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</si>
  <si>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</si>
  <si>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</si>
  <si>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</si>
  <si>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</si>
  <si>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</si>
  <si>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</si>
  <si>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</si>
  <si>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</si>
  <si>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</si>
  <si>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</si>
  <si>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</si>
  <si>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</si>
  <si>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</si>
  <si>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</si>
  <si>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</si>
  <si>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</si>
  <si>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</si>
  <si>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</si>
  <si>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</si>
  <si>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</si>
  <si>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</si>
  <si>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</si>
  <si>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</si>
  <si>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</si>
  <si>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</si>
  <si>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</si>
  <si>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</si>
  <si>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</si>
  <si>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</si>
  <si>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</si>
  <si>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</si>
  <si>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</si>
  <si>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</si>
  <si>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</si>
  <si>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</si>
  <si>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</si>
  <si>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</si>
  <si>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</si>
  <si>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</si>
  <si>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</si>
  <si>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</si>
  <si>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</si>
  <si>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</si>
  <si>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</si>
  <si>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</si>
  <si>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</si>
  <si>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</si>
  <si>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</si>
  <si>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</si>
  <si>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</si>
  <si>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</si>
  <si>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</si>
  <si>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</si>
  <si>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</si>
  <si>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</si>
  <si>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</si>
  <si>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</si>
  <si>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</si>
  <si>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</si>
  <si>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</si>
  <si>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</si>
  <si>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</si>
  <si>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</si>
  <si>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</si>
  <si>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</si>
  <si>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</si>
  <si>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</si>
  <si>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</si>
  <si>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</si>
  <si>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</si>
  <si>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</si>
  <si>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</si>
  <si>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</si>
  <si>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</si>
  <si>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</si>
  <si>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</si>
  <si>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</si>
  <si>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</si>
  <si>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</si>
  <si>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</si>
  <si>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</si>
  <si>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</si>
  <si>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</si>
  <si>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</si>
  <si>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</si>
  <si>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</si>
  <si>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</si>
  <si>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</si>
  <si>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</si>
  <si>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</si>
  <si>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</si>
  <si>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</si>
  <si>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</si>
  <si>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</si>
  <si>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</si>
  <si>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</si>
  <si>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</si>
  <si>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</si>
  <si>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</si>
  <si>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</si>
  <si>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</si>
  <si>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</si>
  <si>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</si>
  <si>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</si>
  <si>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</si>
  <si>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</si>
  <si>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</si>
  <si>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</si>
  <si>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</si>
  <si>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</si>
  <si>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</si>
  <si>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</si>
  <si>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</si>
  <si>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</si>
  <si>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</si>
  <si>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</si>
  <si>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</si>
  <si>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</si>
  <si>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</si>
  <si>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</si>
  <si>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</si>
  <si>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</si>
  <si>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</si>
  <si>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</si>
  <si>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</si>
  <si>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</si>
  <si>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</si>
  <si>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</si>
  <si>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</si>
  <si>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</si>
  <si>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</si>
  <si>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</si>
  <si>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</si>
  <si>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</si>
  <si>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</si>
  <si>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</si>
  <si>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</si>
  <si>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</si>
  <si>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</si>
  <si>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</si>
  <si>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</si>
  <si>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</si>
  <si>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</si>
  <si>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</si>
  <si>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</si>
  <si>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</si>
  <si>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</si>
  <si>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</si>
  <si>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</si>
  <si>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</si>
  <si>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</si>
  <si>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</si>
  <si>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</si>
  <si>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</si>
  <si>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</si>
  <si>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</si>
  <si>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</si>
  <si>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</si>
  <si>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</si>
  <si>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</si>
  <si>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</si>
  <si>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</si>
  <si>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</si>
  <si>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</si>
  <si>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</si>
  <si>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</si>
  <si>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</si>
  <si>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</si>
  <si>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</si>
  <si>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</si>
  <si>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</si>
  <si>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</si>
  <si>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</si>
  <si>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</si>
  <si>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</si>
  <si>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</si>
  <si>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</si>
  <si>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</si>
  <si>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</si>
  <si>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</si>
  <si>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</si>
  <si>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</si>
  <si>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</si>
  <si>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</si>
  <si>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</si>
  <si>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</si>
  <si>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</si>
  <si>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</si>
  <si>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</si>
  <si>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</si>
  <si>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</si>
  <si>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</si>
  <si>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</si>
  <si>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</si>
  <si>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</si>
  <si>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</si>
  <si>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</si>
  <si>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</si>
  <si>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</si>
  <si>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</si>
  <si>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</si>
  <si>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</si>
  <si>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</si>
  <si>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</si>
  <si>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</si>
  <si>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</si>
  <si>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</si>
  <si>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</si>
  <si>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</si>
  <si>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</si>
  <si>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</si>
  <si>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</si>
  <si>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</si>
  <si>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</si>
  <si>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</si>
  <si>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</si>
  <si>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</si>
  <si>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</si>
  <si>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</si>
  <si>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</si>
  <si>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</si>
  <si>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</si>
  <si>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</si>
  <si>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</si>
  <si>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</si>
  <si>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</si>
  <si>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</si>
  <si>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</si>
  <si>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</si>
  <si>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</si>
  <si>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</si>
  <si>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</si>
  <si>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</si>
  <si>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</si>
  <si>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</si>
  <si>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</si>
  <si>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</si>
  <si>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</si>
  <si>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</si>
  <si>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</si>
  <si>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</si>
  <si>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</si>
  <si>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</si>
  <si>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</si>
  <si>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</si>
  <si>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</si>
  <si>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</si>
  <si>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</si>
  <si>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</si>
  <si>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</si>
  <si>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</si>
  <si>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</si>
  <si>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</si>
  <si>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</si>
  <si>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</si>
  <si>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</si>
  <si>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</si>
  <si>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</si>
  <si>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</si>
  <si>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</si>
  <si>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</si>
  <si>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</si>
  <si>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</si>
  <si>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</si>
  <si>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</si>
  <si>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</si>
  <si>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</si>
  <si>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</si>
  <si>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</si>
  <si>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</si>
  <si>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</si>
  <si>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</si>
  <si>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</si>
  <si>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</si>
  <si>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</si>
  <si>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</si>
  <si>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</si>
  <si>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</si>
  <si>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</si>
  <si>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</si>
  <si>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</si>
  <si>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</si>
  <si>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</si>
  <si>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</si>
  <si>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</si>
  <si>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</si>
  <si>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</si>
  <si>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</si>
  <si>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</si>
  <si>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</si>
  <si>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</si>
  <si>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</si>
  <si>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</si>
  <si>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</si>
  <si>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</si>
  <si>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</si>
  <si>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</si>
  <si>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</si>
  <si>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</si>
  <si>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</si>
  <si>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</si>
  <si>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</si>
  <si>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</si>
  <si>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</si>
  <si>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</si>
  <si>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</si>
  <si>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</si>
  <si>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</si>
  <si>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</si>
  <si>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</si>
  <si>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</si>
  <si>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</si>
  <si>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</si>
  <si>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</si>
  <si>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</si>
  <si>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</si>
  <si>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</si>
  <si>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</si>
  <si>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</si>
  <si>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</si>
  <si>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</si>
  <si>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</si>
  <si>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</si>
  <si>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</si>
  <si>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</si>
  <si>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</si>
  <si>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</si>
  <si>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</si>
  <si>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</si>
  <si>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</si>
  <si>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</si>
  <si>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</si>
  <si>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</si>
  <si>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</si>
  <si>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</si>
  <si>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</si>
  <si>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</si>
  <si>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</si>
  <si>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</si>
  <si>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</si>
  <si>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</si>
  <si>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</si>
  <si>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</si>
  <si>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</si>
  <si>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</si>
  <si>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</si>
  <si>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</si>
  <si>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</si>
  <si>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</si>
  <si>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</si>
  <si>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</si>
  <si>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</si>
  <si>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</si>
  <si>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</si>
  <si>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</si>
  <si>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</si>
  <si>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</si>
  <si>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</si>
  <si>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</si>
  <si>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</si>
  <si>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</si>
  <si>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</si>
  <si>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</si>
  <si>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</si>
  <si>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</si>
  <si>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</si>
  <si>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</si>
  <si>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</si>
  <si>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</si>
  <si>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</si>
  <si>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</si>
  <si>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</si>
  <si>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</si>
  <si>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</si>
  <si>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</si>
  <si>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</si>
  <si>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</si>
  <si>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</si>
  <si>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</si>
  <si>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</si>
  <si>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</si>
  <si>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</si>
  <si>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</si>
  <si>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</si>
  <si>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</si>
  <si>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</si>
  <si>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</si>
  <si>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</si>
  <si>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</si>
  <si>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</si>
  <si>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</si>
  <si>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</si>
  <si>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</si>
  <si>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</si>
  <si>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</si>
  <si>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</si>
  <si>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</si>
  <si>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</si>
  <si>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</si>
  <si>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</si>
  <si>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</si>
  <si>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</si>
  <si>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</si>
  <si>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</si>
  <si>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</si>
  <si>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</si>
  <si>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</si>
  <si>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</si>
  <si>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</si>
  <si>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</si>
  <si>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</si>
  <si>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</si>
  <si>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</si>
  <si>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</si>
  <si>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</si>
  <si>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</si>
  <si>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</si>
  <si>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</si>
  <si>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</si>
  <si>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</si>
  <si>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</si>
  <si>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</si>
  <si>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</si>
  <si>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</si>
  <si>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</si>
  <si>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</si>
  <si>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</si>
  <si>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</si>
  <si>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</si>
  <si>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</si>
  <si>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</si>
  <si>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</si>
  <si>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</si>
  <si>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</si>
  <si>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</si>
  <si>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</si>
  <si>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</si>
  <si>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</si>
  <si>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</si>
  <si>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</si>
  <si>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</si>
  <si>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</si>
  <si>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</si>
  <si>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</si>
  <si>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</si>
  <si>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</si>
  <si>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</si>
  <si>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</si>
  <si>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</si>
  <si>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</si>
  <si>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</si>
  <si>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</si>
  <si>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</si>
  <si>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</si>
  <si>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</si>
  <si>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</si>
  <si>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</si>
  <si>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</si>
  <si>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</si>
  <si>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</si>
  <si>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</si>
  <si>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</si>
  <si>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</si>
  <si>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</si>
  <si>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</si>
  <si>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</si>
  <si>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</si>
  <si>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</si>
  <si>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</si>
  <si>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</si>
  <si>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</si>
  <si>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</si>
  <si>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</si>
  <si>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</si>
  <si>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</si>
  <si>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</si>
  <si>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</si>
  <si>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</si>
  <si>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</si>
  <si>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</si>
  <si>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</si>
  <si>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</si>
  <si>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</si>
  <si>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</si>
  <si>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</si>
  <si>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</si>
  <si>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</si>
  <si>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</si>
  <si>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</si>
  <si>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</si>
  <si>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</si>
  <si>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</si>
  <si>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</si>
  <si>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</si>
  <si>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</si>
  <si>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</si>
  <si>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</si>
  <si>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</si>
  <si>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</si>
  <si>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</si>
  <si>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</si>
  <si>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</si>
  <si>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</si>
  <si>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</si>
  <si>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</si>
  <si>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</si>
  <si>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</si>
  <si>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</si>
  <si>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</si>
  <si>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</si>
  <si>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</si>
  <si>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</si>
  <si>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</si>
  <si>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</si>
  <si>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</si>
  <si>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</si>
  <si>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</si>
  <si>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</si>
  <si>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</si>
  <si>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</si>
  <si>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</si>
  <si>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</si>
  <si>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</si>
  <si>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</si>
  <si>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</si>
  <si>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</si>
  <si>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</si>
  <si>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</si>
  <si>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</si>
  <si>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</si>
  <si>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</si>
  <si>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</si>
  <si>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</si>
  <si>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</si>
  <si>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</si>
  <si>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</si>
  <si>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</si>
  <si>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</si>
  <si>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</si>
  <si>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</si>
  <si>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</si>
  <si>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</si>
  <si>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</si>
  <si>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</si>
  <si>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</si>
  <si>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</si>
  <si>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</si>
  <si>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</si>
  <si>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</si>
  <si>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</si>
  <si>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</si>
  <si>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</si>
  <si>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</si>
  <si>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</si>
  <si>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</si>
  <si>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</si>
  <si>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</si>
  <si>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</si>
  <si>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</si>
  <si>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</si>
  <si>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</si>
  <si>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</si>
  <si>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</si>
  <si>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</si>
  <si>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</si>
  <si>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</si>
  <si>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</si>
  <si>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</si>
  <si>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</si>
  <si>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</si>
  <si>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</si>
  <si>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</si>
  <si>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</si>
  <si>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</si>
  <si>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</si>
  <si>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</si>
  <si>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</si>
  <si>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</si>
  <si>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</si>
  <si>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</si>
  <si>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</si>
  <si>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</si>
  <si>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</si>
  <si>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</si>
  <si>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</si>
  <si>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</si>
  <si>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</si>
  <si>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</si>
  <si>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</si>
  <si>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</si>
  <si>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</si>
  <si>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</si>
  <si>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</si>
  <si>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</si>
  <si>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</si>
  <si>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</si>
  <si>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</si>
  <si>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</si>
  <si>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</si>
  <si>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</si>
  <si>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</si>
  <si>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</si>
  <si>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</si>
  <si>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</si>
  <si>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</si>
  <si>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</si>
  <si>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</si>
  <si>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</si>
  <si>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</si>
  <si>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</si>
  <si>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</si>
  <si>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</si>
  <si>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</si>
  <si>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</si>
  <si>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</si>
  <si>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</si>
  <si>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</si>
  <si>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</si>
  <si>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</si>
  <si>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</si>
  <si>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</si>
  <si>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</si>
  <si>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</si>
  <si>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</si>
  <si>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</si>
  <si>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</si>
  <si>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</si>
  <si>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</si>
  <si>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</si>
  <si>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</si>
  <si>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</si>
  <si>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</si>
  <si>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</si>
  <si>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</si>
  <si>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</si>
  <si>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</si>
  <si>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</si>
  <si>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</si>
  <si>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</si>
  <si>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</si>
  <si>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</si>
  <si>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</si>
  <si>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</si>
  <si>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</si>
  <si>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</si>
  <si>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</si>
  <si>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</si>
  <si>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</si>
  <si>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</si>
  <si>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</si>
  <si>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</si>
  <si>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</si>
  <si>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</si>
  <si>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</si>
  <si>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</si>
  <si>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</si>
  <si>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</si>
  <si>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</si>
  <si>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</si>
  <si>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</si>
  <si>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</si>
  <si>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</si>
  <si>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</si>
  <si>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</si>
  <si>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</si>
  <si>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</si>
  <si>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</si>
  <si>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</si>
  <si>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</si>
  <si>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</si>
  <si>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</si>
  <si>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</si>
  <si>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</si>
  <si>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</si>
  <si>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</si>
  <si>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</si>
  <si>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</si>
  <si>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</si>
  <si>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</si>
  <si>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</si>
  <si>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</si>
  <si>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</si>
  <si>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</si>
  <si>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</si>
  <si>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</si>
  <si>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</si>
  <si>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</si>
  <si>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</si>
  <si>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</si>
  <si>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</si>
  <si>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</si>
  <si>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</si>
  <si>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</si>
  <si>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</si>
  <si>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</si>
  <si>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</si>
  <si>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</si>
  <si>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</si>
  <si>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</si>
  <si>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</si>
  <si>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</si>
  <si>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</si>
  <si>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</si>
  <si>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</si>
  <si>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</si>
  <si>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</si>
  <si>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</si>
  <si>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</si>
  <si>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</si>
  <si>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</si>
  <si>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</si>
  <si>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</si>
  <si>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</si>
  <si>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</si>
  <si>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</si>
  <si>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</si>
  <si>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</si>
  <si>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</si>
  <si>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</si>
  <si>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</si>
  <si>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</si>
  <si>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</si>
  <si>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</si>
  <si>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</si>
  <si>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</si>
  <si>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</si>
  <si>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</si>
  <si>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</si>
  <si>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</si>
  <si>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</si>
  <si>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</si>
  <si>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</si>
  <si>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</si>
  <si>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</si>
  <si>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</si>
  <si>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</si>
  <si>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</si>
  <si>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</si>
  <si>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</si>
  <si>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</si>
  <si>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</si>
  <si>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</si>
  <si>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</si>
  <si>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</si>
  <si>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</si>
  <si>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</si>
  <si>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</si>
  <si>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</si>
  <si>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</si>
  <si>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</si>
  <si>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</si>
  <si>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</si>
  <si>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</si>
  <si>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</si>
  <si>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</si>
  <si>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</si>
  <si>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</si>
  <si>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</si>
  <si>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</si>
  <si>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</si>
  <si>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</si>
  <si>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</si>
  <si>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</si>
  <si>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</si>
  <si>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</si>
  <si>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</si>
  <si>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</si>
  <si>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</si>
  <si>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</si>
  <si>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</si>
  <si>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</si>
  <si>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</si>
  <si>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</si>
  <si>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</si>
  <si>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</si>
  <si>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</si>
  <si>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</si>
  <si>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</si>
  <si>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</si>
  <si>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</si>
  <si>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</si>
  <si>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</si>
  <si>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</si>
  <si>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</si>
  <si>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</si>
  <si>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</si>
  <si>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</si>
  <si>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</si>
  <si>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</si>
  <si>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</si>
  <si>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</si>
  <si>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</si>
  <si>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</si>
  <si>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</si>
  <si>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</si>
  <si>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</si>
  <si>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</si>
  <si>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</si>
  <si>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</si>
  <si>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</si>
  <si>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</si>
  <si>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</si>
  <si>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</si>
  <si>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</si>
  <si>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</si>
  <si>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</si>
  <si>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</si>
  <si>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</si>
  <si>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</si>
  <si>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</si>
  <si>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</si>
  <si>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</si>
  <si>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</si>
  <si>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</si>
  <si>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</si>
  <si>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</si>
  <si>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</si>
  <si>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</si>
  <si>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</si>
  <si>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</si>
  <si>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</si>
  <si>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</si>
  <si>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</si>
  <si>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</si>
  <si>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</si>
  <si>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</si>
  <si>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</si>
  <si>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</si>
  <si>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</si>
  <si>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</si>
  <si>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</si>
  <si>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</si>
  <si>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</si>
  <si>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</si>
  <si>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</si>
  <si>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</si>
  <si>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</si>
  <si>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</si>
  <si>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</si>
  <si>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</si>
  <si>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</si>
  <si>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</si>
  <si>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</si>
  <si>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</si>
  <si>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</si>
  <si>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</si>
  <si>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</si>
  <si>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</si>
  <si>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</si>
  <si>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</si>
  <si>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</si>
  <si>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</si>
  <si>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</si>
  <si>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</si>
  <si>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</si>
  <si>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</si>
  <si>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</si>
  <si>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</si>
  <si>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</si>
  <si>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</si>
  <si>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</si>
  <si>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</si>
  <si>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</si>
  <si>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</si>
  <si>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</si>
  <si>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</si>
  <si>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</si>
  <si>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</si>
  <si>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</si>
  <si>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</si>
  <si>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</si>
  <si>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</si>
  <si>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</si>
  <si>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</si>
  <si>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</si>
  <si>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</si>
  <si>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</si>
  <si>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</si>
  <si>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</si>
  <si>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</si>
  <si>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</si>
  <si>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</si>
  <si>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</si>
  <si>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</si>
  <si>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</si>
  <si>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</si>
  <si>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</si>
  <si>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</si>
  <si>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</si>
  <si>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</si>
  <si>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</si>
  <si>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</si>
  <si>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</si>
  <si>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</si>
  <si>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</si>
  <si>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</si>
  <si>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</si>
  <si>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</si>
  <si>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</si>
  <si>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</si>
  <si>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</si>
  <si>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</si>
  <si>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</si>
  <si>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</si>
  <si>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</si>
  <si>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</si>
  <si>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</si>
  <si>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</si>
  <si>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</si>
  <si>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</si>
  <si>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</si>
  <si>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</si>
  <si>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</si>
  <si>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</si>
  <si>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</si>
  <si>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</si>
  <si>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</si>
  <si>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</si>
  <si>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</si>
  <si>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</si>
  <si>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</si>
  <si>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</si>
  <si>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</si>
  <si>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</si>
  <si>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</si>
  <si>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</si>
  <si>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</si>
  <si>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</si>
  <si>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</si>
  <si>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</si>
  <si>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</si>
  <si>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</si>
  <si>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</si>
  <si>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</si>
  <si>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</si>
  <si>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</si>
  <si>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</si>
  <si>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</si>
  <si>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</si>
  <si>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</si>
  <si>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</si>
  <si>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</si>
  <si>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</si>
  <si>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</si>
  <si>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</si>
  <si>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</si>
  <si>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</si>
  <si>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</si>
  <si>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</si>
  <si>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</si>
  <si>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</si>
  <si>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</si>
  <si>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</si>
  <si>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</si>
  <si>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</si>
  <si>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</si>
  <si>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</si>
  <si>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</si>
  <si>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</si>
  <si>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</si>
  <si>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</si>
  <si>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</si>
  <si>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</si>
  <si>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</si>
  <si>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</si>
  <si>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</si>
  <si>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</si>
  <si>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</si>
  <si>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</si>
  <si>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</si>
  <si>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</si>
  <si>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</si>
  <si>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</si>
  <si>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</si>
  <si>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</si>
  <si>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</si>
  <si>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</si>
  <si>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</si>
  <si>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</si>
  <si>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</si>
  <si>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</si>
  <si>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</si>
  <si>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</si>
  <si>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</si>
  <si>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</si>
  <si>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</si>
  <si>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</si>
  <si>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</si>
  <si>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</si>
  <si>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</si>
  <si>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</si>
  <si>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</si>
  <si>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</si>
  <si>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</si>
  <si>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</si>
  <si>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</si>
  <si>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</si>
  <si>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</si>
  <si>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</si>
  <si>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</si>
  <si>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</si>
  <si>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</si>
  <si>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</si>
  <si>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</si>
  <si>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</si>
  <si>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</si>
  <si>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</si>
  <si>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</si>
  <si>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</si>
  <si>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</si>
  <si>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</si>
  <si>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</si>
  <si>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</si>
  <si>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</si>
  <si>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</si>
  <si>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</si>
  <si>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</si>
  <si>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</si>
  <si>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</si>
  <si>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</si>
  <si>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</si>
  <si>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</si>
  <si>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</si>
  <si>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</si>
  <si>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</si>
  <si>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</si>
  <si>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</si>
  <si>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</si>
  <si>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</si>
  <si>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</si>
  <si>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</si>
  <si>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</si>
  <si>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</si>
  <si>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</si>
  <si>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</si>
  <si>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</si>
  <si>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</si>
  <si>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</si>
  <si>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</si>
  <si>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</si>
  <si>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</si>
  <si>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</si>
  <si>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</si>
  <si>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</si>
  <si>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</si>
  <si>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</si>
  <si>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</si>
  <si>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</si>
  <si>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</si>
  <si>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</si>
  <si>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</si>
  <si>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</si>
  <si>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</si>
  <si>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</si>
  <si>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</si>
  <si>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</si>
  <si>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</si>
  <si>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</si>
  <si>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</si>
  <si>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</si>
  <si>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</si>
  <si>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</si>
  <si>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</si>
  <si>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</si>
  <si>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物业名称</t>
  </si>
  <si>
    <t>租金单价（元/平方米/天）（不含物业费含税价）</t>
  </si>
  <si>
    <t>房号</t>
  </si>
  <si>
    <t>世纪大厦7层</t>
  </si>
  <si>
    <t>世纪大厦9层</t>
  </si>
  <si>
    <t>4.15（整栋楼）</t>
  </si>
  <si>
    <t>701-703、705-707</t>
  </si>
  <si>
    <t>船检大厦</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</si>
</sst>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176" formatCode="yyyy&quot;年&quot;m&quot;月&quot;d&quot;日&quot;;@"/>
    <numFmt numFmtId="43" formatCode="_ * #,##0.00_ ;_ * \-#,##0.00_ ;_ * &quot;-&quot;??_ ;_ @_ "/>
    <numFmt numFmtId="177" formatCode="0_);[Red]\(0\)"/>
    <numFmt numFmtId="178" formatCode="yyyy/m/d;@"/>
    <numFmt numFmtId="179" formatCode="0.000_ "/>
    <numFmt numFmtId="180" formatCode="0_ "/>
    <numFmt numFmtId="181" formatCode="0.00_ "/>
    <numFmt numFmtId="182" formatCode="0.0_ "/>
    <numFmt numFmtId="183" formatCode="0.0%"/>
    <numFmt numFmtId="184" formatCode="0.0000%"/>
    <numFmt numFmtId="185" formatCode="0.0000_ "/>
    <numFmt numFmtId="186" formatCode="0.0_);[Red]\(0.0\)"/>
    <numFmt numFmtId="187" formatCode="[DBNum2][$-804]General"/>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General"/>
    <numFmt numFmtId="196" formatCode="[DBNum1][$-804]yyyy&quot;年&quot;m&quot;月&quot;d&quot;日&quot;;@"/>
  </numFmts>
  <fonts count="233">
    <font>
      <sz val="11"/>
      <color theme="1"/>
      <name val="宋体"/>
      <charset val="134"/>
      <scheme val="minor"/>
    </font>
    <font>
      <b/>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8"/>
      <color theme="3"/>
      <name val="宋体"/>
      <charset val="134"/>
      <scheme val="minor"/>
    </font>
    <font>
      <sz val="11"/>
      <color rgb="FF3F3F76"/>
      <name val="宋体"/>
      <charset val="0"/>
      <scheme val="minor"/>
    </font>
    <font>
      <b/>
      <sz val="11"/>
      <color rgb="FFFA7D00"/>
      <name val="宋体"/>
      <charset val="0"/>
      <scheme val="minor"/>
    </font>
    <font>
      <u/>
      <sz val="11"/>
      <color rgb="FF800080"/>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sz val="11"/>
      <color rgb="FFFA7D00"/>
      <name val="宋体"/>
      <charset val="0"/>
      <scheme val="minor"/>
    </font>
    <font>
      <b/>
      <sz val="13"/>
      <color theme="3"/>
      <name val="宋体"/>
      <charset val="134"/>
      <scheme val="minor"/>
    </font>
    <font>
      <b/>
      <sz val="11"/>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4"/>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b/>
      <sz val="11"/>
      <name val="宋体"/>
      <charset val="134"/>
    </font>
    <font>
      <sz val="12"/>
      <name val="宋体"/>
      <charset val="134"/>
    </font>
    <font>
      <sz val="11"/>
      <name val="楷体_GB2312"/>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theme="5" tint="0.799981688894314"/>
        <bgColor indexed="64"/>
      </patternFill>
    </fill>
    <fill>
      <patternFill patternType="solid">
        <fgColor theme="5"/>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6" fillId="30" borderId="0" applyNumberFormat="0" applyBorder="0" applyAlignment="0" applyProtection="0">
      <alignment vertical="center"/>
    </xf>
    <xf numFmtId="43" fontId="0" fillId="0" borderId="0" applyFont="0" applyFill="0" applyBorder="0" applyAlignment="0" applyProtection="0">
      <alignment vertical="center"/>
    </xf>
    <xf numFmtId="0" fontId="145" fillId="33"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5" fillId="36" borderId="0" applyNumberFormat="0" applyBorder="0" applyAlignment="0" applyProtection="0">
      <alignment vertical="center"/>
    </xf>
    <xf numFmtId="0" fontId="151"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3" fillId="0" borderId="163" applyNumberFormat="0" applyFill="0" applyAlignment="0" applyProtection="0">
      <alignment vertical="center"/>
    </xf>
    <xf numFmtId="0" fontId="150" fillId="0" borderId="163" applyNumberFormat="0" applyFill="0" applyAlignment="0" applyProtection="0">
      <alignment vertical="center"/>
    </xf>
    <xf numFmtId="0" fontId="145" fillId="40" borderId="0" applyNumberFormat="0" applyBorder="0" applyAlignment="0" applyProtection="0">
      <alignment vertical="center"/>
    </xf>
    <xf numFmtId="0" fontId="151" fillId="0" borderId="166" applyNumberFormat="0" applyFill="0" applyAlignment="0" applyProtection="0">
      <alignment vertical="center"/>
    </xf>
    <xf numFmtId="0" fontId="145" fillId="32" borderId="0" applyNumberFormat="0" applyBorder="0" applyAlignment="0" applyProtection="0">
      <alignment vertical="center"/>
    </xf>
    <xf numFmtId="0" fontId="158" fillId="25" borderId="167" applyNumberFormat="0" applyAlignment="0" applyProtection="0">
      <alignment vertical="center"/>
    </xf>
    <xf numFmtId="0" fontId="143" fillId="25" borderId="160" applyNumberFormat="0" applyAlignment="0" applyProtection="0">
      <alignment vertical="center"/>
    </xf>
    <xf numFmtId="0" fontId="155" fillId="39" borderId="164" applyNumberFormat="0" applyAlignment="0" applyProtection="0">
      <alignment vertical="center"/>
    </xf>
    <xf numFmtId="0" fontId="149" fillId="0" borderId="162" applyNumberFormat="0" applyFill="0" applyAlignment="0" applyProtection="0">
      <alignment vertical="center"/>
    </xf>
    <xf numFmtId="0" fontId="108" fillId="0" borderId="0">
      <alignment vertical="center"/>
    </xf>
    <xf numFmtId="0" fontId="140" fillId="34" borderId="0" applyNumberFormat="0" applyBorder="0" applyAlignment="0" applyProtection="0">
      <alignment vertical="center"/>
    </xf>
    <xf numFmtId="0" fontId="145" fillId="29" borderId="0" applyNumberFormat="0" applyBorder="0" applyAlignment="0" applyProtection="0">
      <alignment vertical="center"/>
    </xf>
    <xf numFmtId="0" fontId="157" fillId="0" borderId="165" applyNumberFormat="0" applyFill="0" applyAlignment="0" applyProtection="0">
      <alignment vertical="center"/>
    </xf>
    <xf numFmtId="0" fontId="154" fillId="37" borderId="0" applyNumberFormat="0" applyBorder="0" applyAlignment="0" applyProtection="0">
      <alignment vertical="center"/>
    </xf>
    <xf numFmtId="0" fontId="0" fillId="0" borderId="0">
      <alignment vertical="center"/>
    </xf>
    <xf numFmtId="0" fontId="0" fillId="0" borderId="0">
      <alignment vertical="center"/>
    </xf>
    <xf numFmtId="0" fontId="156" fillId="42" borderId="0" applyNumberFormat="0" applyBorder="0" applyAlignment="0" applyProtection="0">
      <alignment vertical="center"/>
    </xf>
    <xf numFmtId="0" fontId="108" fillId="0" borderId="0">
      <alignment vertical="center"/>
    </xf>
    <xf numFmtId="0" fontId="140" fillId="45" borderId="0" applyNumberFormat="0" applyBorder="0" applyAlignment="0" applyProtection="0">
      <alignment vertical="center"/>
    </xf>
    <xf numFmtId="0" fontId="145" fillId="38" borderId="0" applyNumberFormat="0" applyBorder="0" applyAlignment="0" applyProtection="0">
      <alignment vertical="center"/>
    </xf>
    <xf numFmtId="0" fontId="140" fillId="24" borderId="0" applyNumberFormat="0" applyBorder="0" applyAlignment="0" applyProtection="0">
      <alignment vertical="center"/>
    </xf>
    <xf numFmtId="0" fontId="140" fillId="23" borderId="0" applyNumberFormat="0" applyBorder="0" applyAlignment="0" applyProtection="0">
      <alignment vertical="center"/>
    </xf>
    <xf numFmtId="0" fontId="140" fillId="28" borderId="0" applyNumberFormat="0" applyBorder="0" applyAlignment="0" applyProtection="0">
      <alignment vertical="center"/>
    </xf>
    <xf numFmtId="0" fontId="140" fillId="41" borderId="0" applyNumberFormat="0" applyBorder="0" applyAlignment="0" applyProtection="0">
      <alignment vertical="center"/>
    </xf>
    <xf numFmtId="0" fontId="145" fillId="27" borderId="0" applyNumberFormat="0" applyBorder="0" applyAlignment="0" applyProtection="0">
      <alignment vertical="center"/>
    </xf>
    <xf numFmtId="0" fontId="0" fillId="0" borderId="0">
      <alignment vertical="center"/>
    </xf>
    <xf numFmtId="0" fontId="145" fillId="47" borderId="0" applyNumberFormat="0" applyBorder="0" applyAlignment="0" applyProtection="0">
      <alignment vertical="center"/>
    </xf>
    <xf numFmtId="0" fontId="140" fillId="49" borderId="0" applyNumberFormat="0" applyBorder="0" applyAlignment="0" applyProtection="0">
      <alignment vertical="center"/>
    </xf>
    <xf numFmtId="0" fontId="140" fillId="44" borderId="0" applyNumberFormat="0" applyBorder="0" applyAlignment="0" applyProtection="0">
      <alignment vertical="center"/>
    </xf>
    <xf numFmtId="0" fontId="145" fillId="46" borderId="0" applyNumberFormat="0" applyBorder="0" applyAlignment="0" applyProtection="0">
      <alignment vertical="center"/>
    </xf>
    <xf numFmtId="0" fontId="0" fillId="0" borderId="0">
      <alignment vertical="center"/>
    </xf>
    <xf numFmtId="0" fontId="140" fillId="14" borderId="0" applyNumberFormat="0" applyBorder="0" applyAlignment="0" applyProtection="0">
      <alignment vertical="center"/>
    </xf>
    <xf numFmtId="0" fontId="145" fillId="31" borderId="0" applyNumberFormat="0" applyBorder="0" applyAlignment="0" applyProtection="0">
      <alignment vertical="center"/>
    </xf>
    <xf numFmtId="0" fontId="145" fillId="35" borderId="0" applyNumberFormat="0" applyBorder="0" applyAlignment="0" applyProtection="0">
      <alignment vertical="center"/>
    </xf>
    <xf numFmtId="0" fontId="140" fillId="43" borderId="0" applyNumberFormat="0" applyBorder="0" applyAlignment="0" applyProtection="0">
      <alignment vertical="center"/>
    </xf>
    <xf numFmtId="0" fontId="145" fillId="4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1" fillId="0" borderId="0" xfId="0" applyFont="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 fillId="2" borderId="0" xfId="0" applyFont="1" applyFill="1" applyAlignment="1"/>
    <xf numFmtId="0" fontId="12" fillId="2" borderId="0" xfId="60" applyFont="1" applyFill="1"/>
    <xf numFmtId="0" fontId="9" fillId="2" borderId="7" xfId="60" applyFont="1" applyFill="1" applyBorder="1"/>
    <xf numFmtId="0" fontId="13" fillId="2" borderId="8" xfId="60" applyFont="1" applyFill="1" applyBorder="1" applyAlignment="1">
      <alignment horizontal="center" vertical="center" wrapText="1"/>
    </xf>
    <xf numFmtId="0" fontId="9" fillId="2" borderId="9" xfId="60" applyFont="1" applyFill="1" applyBorder="1" applyAlignment="1">
      <alignment horizontal="center"/>
    </xf>
    <xf numFmtId="0" fontId="13"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3"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3"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3"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10"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8" fillId="0" borderId="5" xfId="0" applyFont="1" applyBorder="1" applyAlignment="1"/>
    <xf numFmtId="0" fontId="14" fillId="0" borderId="0" xfId="0" applyFont="1" applyAlignment="1"/>
    <xf numFmtId="0" fontId="22"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39" fillId="0" borderId="0" xfId="22" applyFont="1" applyAlignment="1">
      <alignment horizontal="left" vertical="center"/>
    </xf>
    <xf numFmtId="0" fontId="7" fillId="0" borderId="0" xfId="22" applyFont="1" applyAlignment="1">
      <alignment horizontal="left" vertical="center"/>
    </xf>
    <xf numFmtId="0" fontId="7"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10"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77"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7" fontId="7"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77" fontId="37" fillId="7" borderId="52" xfId="22" applyNumberFormat="1" applyFont="1" applyFill="1" applyBorder="1" applyAlignment="1" applyProtection="1">
      <alignment horizontal="left" vertical="center" wrapText="1"/>
    </xf>
    <xf numFmtId="177"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77" fontId="37" fillId="7" borderId="52" xfId="22" applyNumberFormat="1" applyFont="1" applyFill="1" applyBorder="1" applyAlignment="1">
      <alignment horizontal="left" vertical="center" wrapText="1"/>
    </xf>
    <xf numFmtId="177"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77" fontId="37" fillId="7" borderId="51" xfId="22" applyNumberFormat="1" applyFont="1" applyFill="1" applyBorder="1" applyAlignment="1">
      <alignment horizontal="left" vertical="center" wrapText="1"/>
    </xf>
    <xf numFmtId="177" fontId="37" fillId="7" borderId="59" xfId="22" applyNumberFormat="1" applyFont="1" applyFill="1" applyBorder="1" applyAlignment="1">
      <alignment horizontal="left" vertical="center" wrapText="1"/>
    </xf>
    <xf numFmtId="0" fontId="7"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7" fontId="7" fillId="3" borderId="0" xfId="22" applyNumberFormat="1" applyFont="1" applyFill="1" applyAlignment="1">
      <alignment horizontal="left" vertical="center"/>
    </xf>
    <xf numFmtId="0" fontId="7" fillId="3" borderId="51" xfId="22" applyFont="1" applyFill="1" applyBorder="1" applyAlignment="1" applyProtection="1">
      <alignment horizontal="left" vertical="center" wrapText="1"/>
    </xf>
    <xf numFmtId="0" fontId="7" fillId="7" borderId="57" xfId="22" applyFont="1" applyFill="1" applyBorder="1" applyAlignment="1" applyProtection="1">
      <alignment horizontal="left" vertical="center" wrapText="1"/>
    </xf>
    <xf numFmtId="0" fontId="7" fillId="7" borderId="58" xfId="22" applyFont="1" applyFill="1" applyBorder="1" applyAlignment="1" applyProtection="1">
      <alignment horizontal="left" vertical="center" wrapText="1"/>
    </xf>
    <xf numFmtId="0" fontId="7" fillId="7" borderId="50" xfId="22" applyFont="1" applyFill="1" applyBorder="1" applyAlignment="1" applyProtection="1">
      <alignment horizontal="left" vertical="center" wrapText="1"/>
    </xf>
    <xf numFmtId="0" fontId="7" fillId="7" borderId="56" xfId="22" applyFont="1" applyFill="1" applyBorder="1" applyAlignment="1" applyProtection="1">
      <alignment horizontal="left" vertical="center" wrapText="1"/>
    </xf>
    <xf numFmtId="177" fontId="37" fillId="7" borderId="58" xfId="22" applyNumberFormat="1" applyFont="1" applyFill="1" applyBorder="1" applyAlignment="1">
      <alignment horizontal="left" vertical="center" wrapText="1"/>
    </xf>
    <xf numFmtId="177" fontId="37" fillId="7" borderId="60" xfId="22" applyNumberFormat="1" applyFont="1" applyFill="1" applyBorder="1" applyAlignment="1">
      <alignment horizontal="left" vertical="center" wrapText="1"/>
    </xf>
    <xf numFmtId="177" fontId="7" fillId="6" borderId="0" xfId="22" applyNumberFormat="1" applyFont="1" applyFill="1" applyAlignment="1">
      <alignment horizontal="left" vertical="center"/>
    </xf>
    <xf numFmtId="177" fontId="7"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7" fillId="0" borderId="48" xfId="22" applyNumberFormat="1" applyFont="1" applyBorder="1" applyAlignment="1">
      <alignment horizontal="left" vertical="center"/>
    </xf>
    <xf numFmtId="10" fontId="7"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7" fillId="0" borderId="67" xfId="22" applyNumberFormat="1" applyFont="1" applyBorder="1" applyAlignment="1">
      <alignment horizontal="left" vertical="center"/>
    </xf>
    <xf numFmtId="10" fontId="7"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63" xfId="22" applyNumberFormat="1" applyFont="1" applyBorder="1" applyAlignment="1">
      <alignment horizontal="left" vertical="center"/>
    </xf>
    <xf numFmtId="10" fontId="7" fillId="0" borderId="69" xfId="22" applyNumberFormat="1" applyFont="1" applyBorder="1" applyAlignment="1">
      <alignment horizontal="left" vertical="center"/>
    </xf>
    <xf numFmtId="0" fontId="7" fillId="8" borderId="65" xfId="22" applyFont="1" applyFill="1" applyBorder="1" applyAlignment="1" applyProtection="1">
      <alignment horizontal="left" vertical="center" wrapText="1"/>
    </xf>
    <xf numFmtId="0" fontId="7" fillId="3" borderId="64" xfId="22" applyFont="1" applyFill="1" applyBorder="1" applyAlignment="1" applyProtection="1">
      <alignment horizontal="left" vertical="center" wrapText="1"/>
    </xf>
    <xf numFmtId="10" fontId="7" fillId="3" borderId="48"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7" fillId="0" borderId="7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7" fillId="9" borderId="48" xfId="22" applyNumberFormat="1" applyFont="1" applyFill="1" applyBorder="1" applyAlignment="1">
      <alignment horizontal="left" vertical="center"/>
    </xf>
    <xf numFmtId="10" fontId="7" fillId="9" borderId="0" xfId="22" applyNumberFormat="1" applyFont="1" applyFill="1" applyAlignment="1">
      <alignment horizontal="left" vertical="center"/>
    </xf>
    <xf numFmtId="0" fontId="11" fillId="0" borderId="0" xfId="22" applyFont="1" applyAlignment="1">
      <alignment horizontal="left" vertical="center"/>
    </xf>
    <xf numFmtId="0" fontId="11" fillId="5" borderId="0" xfId="22" applyFont="1" applyFill="1" applyAlignment="1">
      <alignment horizontal="left" vertical="center"/>
    </xf>
    <xf numFmtId="0" fontId="7"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7" fillId="6" borderId="0" xfId="22" applyFont="1" applyFill="1" applyAlignment="1">
      <alignment horizontal="left" vertical="center"/>
    </xf>
    <xf numFmtId="180" fontId="7" fillId="0" borderId="0" xfId="22" applyNumberFormat="1" applyFont="1" applyAlignment="1">
      <alignment horizontal="left" vertical="center"/>
    </xf>
    <xf numFmtId="0" fontId="7" fillId="0" borderId="0" xfId="22" applyFont="1" applyFill="1" applyAlignment="1">
      <alignment horizontal="left" vertical="center"/>
    </xf>
    <xf numFmtId="183" fontId="7" fillId="0" borderId="48" xfId="22" applyNumberFormat="1" applyFont="1" applyBorder="1" applyAlignment="1">
      <alignment horizontal="left" vertical="center"/>
    </xf>
    <xf numFmtId="183" fontId="7" fillId="0" borderId="0" xfId="22" applyNumberFormat="1" applyFont="1" applyAlignment="1">
      <alignment horizontal="left" vertical="center"/>
    </xf>
    <xf numFmtId="180" fontId="7" fillId="3" borderId="0" xfId="22" applyNumberFormat="1" applyFont="1" applyFill="1" applyAlignment="1">
      <alignment horizontal="left" vertical="center"/>
    </xf>
    <xf numFmtId="10" fontId="7" fillId="3" borderId="63" xfId="22" applyNumberFormat="1" applyFont="1" applyFill="1" applyBorder="1" applyAlignment="1">
      <alignment horizontal="left" vertical="center"/>
    </xf>
    <xf numFmtId="10" fontId="7"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0" fontId="7" fillId="0" borderId="21" xfId="22" applyNumberFormat="1" applyFont="1" applyBorder="1" applyAlignment="1">
      <alignment horizontal="left" vertical="center"/>
    </xf>
    <xf numFmtId="182" fontId="7" fillId="0" borderId="0" xfId="22" applyNumberFormat="1" applyFont="1" applyAlignment="1">
      <alignment horizontal="left" vertical="center"/>
    </xf>
    <xf numFmtId="10" fontId="7" fillId="5" borderId="0" xfId="22" applyNumberFormat="1" applyFont="1" applyFill="1" applyAlignment="1">
      <alignment horizontal="left" vertical="center"/>
    </xf>
    <xf numFmtId="10" fontId="7" fillId="6"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0" fontId="7"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7" fillId="9" borderId="63" xfId="22" applyNumberFormat="1" applyFont="1" applyFill="1" applyBorder="1" applyAlignment="1">
      <alignment horizontal="left" vertical="center"/>
    </xf>
    <xf numFmtId="10" fontId="7" fillId="9" borderId="69" xfId="22" applyNumberFormat="1" applyFont="1" applyFill="1" applyBorder="1" applyAlignment="1">
      <alignment horizontal="left" vertical="center"/>
    </xf>
    <xf numFmtId="10" fontId="7" fillId="9" borderId="71" xfId="22" applyNumberFormat="1" applyFont="1" applyFill="1" applyBorder="1" applyAlignment="1">
      <alignment horizontal="left" vertical="center"/>
    </xf>
    <xf numFmtId="10" fontId="7" fillId="9" borderId="21" xfId="22" applyNumberFormat="1" applyFont="1" applyFill="1" applyBorder="1" applyAlignment="1">
      <alignment horizontal="left" vertical="center"/>
    </xf>
    <xf numFmtId="179" fontId="7" fillId="0" borderId="0" xfId="22" applyNumberFormat="1" applyFont="1" applyAlignment="1">
      <alignment horizontal="left" vertical="center"/>
    </xf>
    <xf numFmtId="179" fontId="7" fillId="0" borderId="48" xfId="22" applyNumberFormat="1" applyFont="1" applyBorder="1" applyAlignment="1">
      <alignment horizontal="left" vertical="center"/>
    </xf>
    <xf numFmtId="179" fontId="7" fillId="3" borderId="0" xfId="22" applyNumberFormat="1" applyFont="1" applyFill="1" applyAlignment="1">
      <alignment horizontal="left" vertical="center"/>
    </xf>
    <xf numFmtId="0" fontId="7" fillId="3" borderId="48" xfId="22" applyFont="1" applyFill="1" applyBorder="1" applyAlignment="1">
      <alignment horizontal="left" vertical="center"/>
    </xf>
    <xf numFmtId="179" fontId="39" fillId="0" borderId="0" xfId="22" applyNumberFormat="1" applyFont="1" applyAlignment="1">
      <alignment horizontal="left" vertical="center"/>
    </xf>
    <xf numFmtId="179" fontId="39" fillId="0" borderId="48" xfId="22" applyNumberFormat="1" applyFont="1" applyBorder="1" applyAlignment="1">
      <alignment horizontal="left" vertical="center"/>
    </xf>
    <xf numFmtId="182" fontId="7" fillId="0" borderId="21" xfId="22" applyNumberFormat="1" applyFont="1" applyBorder="1" applyAlignment="1">
      <alignment horizontal="left" vertical="center"/>
    </xf>
    <xf numFmtId="182" fontId="7"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1"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1"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7"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7"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3"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10"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7" fontId="7"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0" fontId="39" fillId="0" borderId="1" xfId="53" applyNumberFormat="1" applyFont="1" applyFill="1" applyBorder="1" applyAlignment="1" applyProtection="1">
      <alignment horizontal="center" vertical="center"/>
      <protection locked="0"/>
    </xf>
    <xf numFmtId="180" fontId="39" fillId="2" borderId="1" xfId="53" applyNumberFormat="1" applyFont="1" applyFill="1" applyBorder="1" applyAlignment="1" applyProtection="1">
      <alignment horizontal="center" vertical="center"/>
    </xf>
    <xf numFmtId="185"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77" fontId="7" fillId="2" borderId="1" xfId="0" applyNumberFormat="1" applyFont="1" applyFill="1" applyBorder="1" applyAlignment="1" applyProtection="1">
      <alignment horizontal="center" vertical="center"/>
    </xf>
    <xf numFmtId="185" fontId="7" fillId="2" borderId="1" xfId="0" applyNumberFormat="1" applyFont="1" applyFill="1" applyBorder="1" applyAlignment="1" applyProtection="1">
      <alignment horizontal="center" vertical="center"/>
    </xf>
    <xf numFmtId="0" fontId="7"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77" fontId="7"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76"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76"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6"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7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7"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101"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7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11" xfId="0" applyFont="1" applyFill="1" applyBorder="1" applyAlignment="1" applyProtection="1">
      <alignment horizontal="center" vertical="center"/>
    </xf>
    <xf numFmtId="0" fontId="7" fillId="0" borderId="111"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0" fontId="59" fillId="2" borderId="85"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0" xfId="0" applyFont="1" applyFill="1" applyBorder="1" applyAlignment="1" applyProtection="1">
      <alignmen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12" borderId="10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66" fillId="2" borderId="121"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59" fillId="0" borderId="122"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1"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51" fillId="2" borderId="21"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7"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9"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77"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77" fontId="29" fillId="2" borderId="97"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7"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88"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77"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7" fontId="29" fillId="2" borderId="69" xfId="61" applyNumberFormat="1" applyFont="1" applyFill="1" applyBorder="1" applyAlignment="1">
      <alignment horizontal="left" vertical="center"/>
    </xf>
    <xf numFmtId="183"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7" fontId="30" fillId="2" borderId="2" xfId="61" applyNumberFormat="1" applyFont="1" applyFill="1" applyBorder="1" applyAlignment="1">
      <alignment horizontal="left" vertical="center"/>
    </xf>
    <xf numFmtId="177" fontId="30" fillId="2" borderId="128" xfId="61" applyNumberFormat="1" applyFont="1" applyFill="1" applyBorder="1" applyAlignment="1">
      <alignment horizontal="left" vertical="center"/>
    </xf>
    <xf numFmtId="17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7" fontId="30" fillId="2" borderId="2" xfId="61" applyNumberFormat="1" applyFont="1" applyFill="1" applyBorder="1" applyAlignment="1">
      <alignment horizontal="right" vertical="center"/>
    </xf>
    <xf numFmtId="183" fontId="30" fillId="0" borderId="128"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3" fontId="30" fillId="2" borderId="128"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28"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8"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8" fontId="30" fillId="0" borderId="33" xfId="61" applyNumberFormat="1" applyFont="1" applyFill="1" applyBorder="1" applyAlignment="1" applyProtection="1">
      <alignment horizontal="left" vertical="center"/>
      <protection locked="0"/>
    </xf>
    <xf numFmtId="188" fontId="30" fillId="0" borderId="129" xfId="61" applyNumberFormat="1" applyFont="1" applyFill="1" applyBorder="1" applyAlignment="1" applyProtection="1">
      <alignment horizontal="left" vertical="center"/>
      <protection locked="0"/>
    </xf>
    <xf numFmtId="188" fontId="30" fillId="0" borderId="86" xfId="61" applyNumberFormat="1" applyFont="1" applyFill="1" applyBorder="1" applyAlignment="1" applyProtection="1">
      <alignment horizontal="left" vertical="center"/>
      <protection locked="0"/>
    </xf>
    <xf numFmtId="188"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7"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7"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3" fontId="7"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0"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7" fillId="2" borderId="132" xfId="0" applyFont="1" applyFill="1" applyBorder="1" applyAlignment="1" applyProtection="1">
      <alignment vertical="center" wrapText="1"/>
    </xf>
    <xf numFmtId="0" fontId="7"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18"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18"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9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2" fontId="7"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87"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7"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33"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58"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left" vertical="center" wrapText="1"/>
      <protection locked="0"/>
    </xf>
    <xf numFmtId="0" fontId="7" fillId="0" borderId="13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protection locked="0"/>
    </xf>
    <xf numFmtId="0"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7"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7"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5" xfId="0" applyNumberFormat="1" applyFont="1" applyFill="1" applyBorder="1" applyAlignment="1" applyProtection="1">
      <alignment horizontal="center" vertical="center" wrapText="1"/>
    </xf>
    <xf numFmtId="9"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88" fillId="3" borderId="2" xfId="59" applyFont="1" applyFill="1" applyBorder="1" applyAlignment="1" applyProtection="1">
      <alignment horizontal="left" vertical="center"/>
      <protection locked="0"/>
    </xf>
    <xf numFmtId="0" fontId="88" fillId="3" borderId="4" xfId="59" applyFont="1" applyFill="1" applyBorder="1" applyAlignment="1" applyProtection="1">
      <alignment vertical="center"/>
    </xf>
    <xf numFmtId="0" fontId="88"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8" fillId="2" borderId="0" xfId="59" applyFont="1" applyFill="1" applyBorder="1" applyAlignment="1" applyProtection="1">
      <alignment vertical="center"/>
    </xf>
    <xf numFmtId="0" fontId="88" fillId="2" borderId="37" xfId="0" applyFont="1" applyFill="1" applyBorder="1" applyAlignment="1" applyProtection="1">
      <alignment vertical="center"/>
    </xf>
    <xf numFmtId="0" fontId="88" fillId="2" borderId="38" xfId="0" applyFont="1" applyFill="1" applyBorder="1" applyAlignment="1" applyProtection="1">
      <alignment vertical="center"/>
    </xf>
    <xf numFmtId="177"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8" fontId="7"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77" fontId="7"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80"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80"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77" fontId="88" fillId="2" borderId="20" xfId="0" applyNumberFormat="1" applyFont="1" applyFill="1" applyBorder="1" applyAlignment="1" applyProtection="1">
      <alignment horizontal="center" vertical="center"/>
    </xf>
    <xf numFmtId="0" fontId="88" fillId="2" borderId="92" xfId="0" applyFont="1" applyFill="1" applyBorder="1" applyAlignment="1" applyProtection="1">
      <alignment vertical="center"/>
    </xf>
    <xf numFmtId="0" fontId="88" fillId="2" borderId="0" xfId="59" applyFont="1" applyFill="1" applyBorder="1" applyAlignment="1" applyProtection="1">
      <alignment horizontal="center" vertical="center"/>
    </xf>
    <xf numFmtId="0" fontId="88"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7"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9"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83" xfId="0"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0" fontId="91" fillId="15" borderId="84" xfId="0" applyFont="1" applyFill="1" applyBorder="1" applyAlignment="1" applyProtection="1">
      <alignment horizontal="center" vertical="center" wrapText="1"/>
      <protection locked="0"/>
    </xf>
    <xf numFmtId="0" fontId="91" fillId="0" borderId="101"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91"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91" fillId="0" borderId="107" xfId="0" applyNumberFormat="1" applyFont="1" applyFill="1" applyBorder="1" applyAlignment="1" applyProtection="1">
      <alignment horizontal="center" vertical="center" wrapText="1"/>
      <protection locked="0"/>
    </xf>
    <xf numFmtId="0" fontId="51" fillId="15" borderId="6"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92" fillId="0" borderId="107" xfId="0" applyNumberFormat="1" applyFont="1" applyFill="1" applyBorder="1" applyAlignment="1" applyProtection="1">
      <alignment horizontal="center" vertical="center" wrapText="1"/>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4"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3"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8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02"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9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7" fontId="59" fillId="2" borderId="2" xfId="0" applyNumberFormat="1" applyFont="1" applyFill="1" applyBorder="1" applyAlignment="1" applyProtection="1">
      <alignment horizontal="left" vertical="center" wrapText="1"/>
    </xf>
    <xf numFmtId="187"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7"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9"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10" fontId="0" fillId="8" borderId="0" xfId="64" applyNumberFormat="1" applyFill="1" applyAlignment="1" applyProtection="1">
      <alignment horizontal="left"/>
      <protection locked="0"/>
    </xf>
    <xf numFmtId="0" fontId="9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6"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6" fillId="10" borderId="0" xfId="0" applyNumberFormat="1" applyFont="1" applyFill="1" applyBorder="1" applyAlignment="1" applyProtection="1">
      <alignment vertical="center" wrapText="1"/>
      <protection locked="0"/>
    </xf>
    <xf numFmtId="0" fontId="96" fillId="10" borderId="102" xfId="0" applyNumberFormat="1" applyFont="1" applyFill="1" applyBorder="1" applyAlignment="1" applyProtection="1">
      <alignment vertical="center" wrapText="1"/>
      <protection locked="0"/>
    </xf>
    <xf numFmtId="0" fontId="97" fillId="10" borderId="0" xfId="0" applyFont="1" applyFill="1" applyAlignment="1" applyProtection="1">
      <alignment vertical="center" wrapText="1"/>
      <protection locked="0"/>
    </xf>
    <xf numFmtId="0" fontId="97" fillId="10" borderId="0" xfId="0" applyNumberFormat="1" applyFont="1" applyFill="1" applyAlignment="1" applyProtection="1">
      <alignment vertical="center" wrapText="1"/>
      <protection locked="0"/>
    </xf>
    <xf numFmtId="0" fontId="96" fillId="10" borderId="153" xfId="0" applyFont="1" applyFill="1" applyBorder="1" applyAlignment="1" applyProtection="1">
      <alignment vertical="center" wrapText="1"/>
      <protection locked="0"/>
    </xf>
    <xf numFmtId="0" fontId="97" fillId="10" borderId="0" xfId="0" applyNumberFormat="1" applyFont="1" applyFill="1" applyAlignment="1" applyProtection="1">
      <alignment vertical="center"/>
      <protection locked="0"/>
    </xf>
    <xf numFmtId="0" fontId="97"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79"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1" fontId="51" fillId="2" borderId="1" xfId="59"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3" fontId="7"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3"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88" fontId="51" fillId="2" borderId="7" xfId="59" applyNumberFormat="1" applyFont="1" applyFill="1" applyBorder="1" applyAlignment="1" applyProtection="1">
      <alignment vertical="center" wrapText="1"/>
    </xf>
    <xf numFmtId="188" fontId="51" fillId="0" borderId="9" xfId="59"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8" fontId="51" fillId="2" borderId="10" xfId="59" applyNumberFormat="1" applyFont="1" applyFill="1" applyBorder="1" applyAlignment="1" applyProtection="1">
      <alignment vertical="center" wrapText="1"/>
    </xf>
    <xf numFmtId="188"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8" fontId="59" fillId="2" borderId="10" xfId="59" applyNumberFormat="1" applyFont="1" applyFill="1" applyBorder="1" applyAlignment="1" applyProtection="1">
      <alignment vertical="center" wrapText="1"/>
    </xf>
    <xf numFmtId="188" fontId="51" fillId="2" borderId="11" xfId="59" applyNumberFormat="1" applyFont="1" applyFill="1" applyBorder="1" applyAlignment="1" applyProtection="1">
      <alignment horizontal="center" vertical="center"/>
    </xf>
    <xf numFmtId="188" fontId="51" fillId="2" borderId="12" xfId="59" applyNumberFormat="1" applyFont="1" applyFill="1" applyBorder="1" applyAlignment="1" applyProtection="1">
      <alignment vertical="center" wrapText="1"/>
    </xf>
    <xf numFmtId="188"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1"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59" applyNumberFormat="1" applyFont="1" applyFill="1" applyBorder="1" applyAlignment="1" applyProtection="1">
      <alignment horizontal="center" vertical="center"/>
    </xf>
    <xf numFmtId="181"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8"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8"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8" fontId="52" fillId="2" borderId="17" xfId="59" applyNumberFormat="1" applyFont="1" applyFill="1" applyBorder="1" applyAlignment="1" applyProtection="1">
      <alignment horizontal="center" vertical="center"/>
    </xf>
    <xf numFmtId="188" fontId="52" fillId="2" borderId="38" xfId="59" applyNumberFormat="1" applyFont="1" applyFill="1" applyBorder="1" applyAlignment="1" applyProtection="1">
      <alignment horizontal="center" vertical="center"/>
    </xf>
    <xf numFmtId="188"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8"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86" fillId="0" borderId="1" xfId="59"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88" fontId="69" fillId="2" borderId="1" xfId="0" applyNumberFormat="1"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188" fontId="69" fillId="2" borderId="11" xfId="0" applyNumberFormat="1" applyFont="1" applyFill="1" applyBorder="1" applyAlignment="1" applyProtection="1">
      <alignment vertical="center"/>
    </xf>
    <xf numFmtId="188"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1" fontId="69" fillId="2" borderId="86"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1"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8"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7"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1"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19" xfId="0" applyFont="1" applyFill="1" applyBorder="1" applyAlignment="1" applyProtection="1">
      <alignment horizontal="center" vertical="center" wrapText="1"/>
    </xf>
    <xf numFmtId="0" fontId="36" fillId="3" borderId="120"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7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1"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0" fontId="36" fillId="2" borderId="82" xfId="0" applyNumberFormat="1" applyFont="1" applyFill="1" applyBorder="1" applyAlignment="1" applyProtection="1">
      <alignment horizontal="center" vertical="center" wrapText="1"/>
      <protection locked="0"/>
    </xf>
    <xf numFmtId="181"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82" xfId="0" applyNumberFormat="1" applyFont="1" applyFill="1" applyBorder="1" applyAlignment="1" applyProtection="1">
      <alignment horizontal="left" vertical="center"/>
      <protection locked="0"/>
    </xf>
    <xf numFmtId="49" fontId="58" fillId="10" borderId="12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3" fontId="117" fillId="0" borderId="1" xfId="62" applyNumberFormat="1" applyFont="1" applyFill="1" applyBorder="1" applyAlignment="1">
      <alignment horizontal="left" vertical="center"/>
    </xf>
    <xf numFmtId="193"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76"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3"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76"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76"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7" fontId="74"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87" fontId="74" fillId="0" borderId="2" xfId="0" applyNumberFormat="1" applyFont="1" applyFill="1" applyBorder="1" applyAlignment="1" applyProtection="1">
      <alignment horizontal="center" vertical="center" wrapText="1"/>
    </xf>
    <xf numFmtId="187"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87"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7" fillId="0" borderId="0" xfId="63" applyFont="1" applyProtection="1">
      <alignment vertical="center"/>
    </xf>
    <xf numFmtId="0" fontId="4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88"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88"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8"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8"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8" fillId="0" borderId="81" xfId="63" applyFont="1" applyFill="1" applyBorder="1" applyAlignment="1" applyProtection="1">
      <alignment vertical="center" wrapText="1"/>
    </xf>
    <xf numFmtId="0" fontId="88" fillId="0" borderId="105" xfId="63" applyFont="1" applyFill="1" applyBorder="1" applyAlignment="1" applyProtection="1">
      <alignment horizontal="left" vertical="center" wrapText="1"/>
    </xf>
    <xf numFmtId="0" fontId="102"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7" fillId="0" borderId="0" xfId="63" applyFont="1" applyProtection="1">
      <alignment vertical="center"/>
    </xf>
    <xf numFmtId="0" fontId="4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76"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22"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1"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xdr:row>
      <xdr:rowOff>128905</xdr:rowOff>
    </xdr:from>
    <xdr:to>
      <xdr:col>10</xdr:col>
      <xdr:colOff>327025</xdr:colOff>
      <xdr:row>30</xdr:row>
      <xdr:rowOff>114300</xdr:rowOff>
    </xdr:to>
    <xdr:pic>
      <xdr:nvPicPr>
        <xdr:cNvPr id="2" name="图片 1"/>
        <xdr:cNvPicPr>
          <a:picLocks noChangeAspect="1"/>
        </xdr:cNvPicPr>
      </xdr:nvPicPr>
      <xdr:blipFill>
        <a:blip r:embed="rId1"/>
        <a:stretch>
          <a:fillRect/>
        </a:stretch>
      </xdr:blipFill>
      <xdr:spPr>
        <a:xfrm>
          <a:off x="635" y="1826260"/>
          <a:ext cx="9859010" cy="4374515"/>
        </a:xfrm>
        <a:prstGeom prst="rect">
          <a:avLst/>
        </a:prstGeom>
        <a:noFill/>
        <a:ln w="9525">
          <a:noFill/>
        </a:ln>
      </xdr:spPr>
    </xdr:pic>
    <xdr:clientData/>
  </xdr:twoCellAnchor>
  <xdr:twoCellAnchor editAs="oneCell">
    <xdr:from>
      <xdr:col>11</xdr:col>
      <xdr:colOff>283210</xdr:colOff>
      <xdr:row>31</xdr:row>
      <xdr:rowOff>8890</xdr:rowOff>
    </xdr:from>
    <xdr:to>
      <xdr:col>27</xdr:col>
      <xdr:colOff>39370</xdr:colOff>
      <xdr:row>56</xdr:row>
      <xdr:rowOff>7620</xdr:rowOff>
    </xdr:to>
    <xdr:pic>
      <xdr:nvPicPr>
        <xdr:cNvPr id="3" name="图片 2"/>
        <xdr:cNvPicPr>
          <a:picLocks noChangeAspect="1"/>
        </xdr:cNvPicPr>
      </xdr:nvPicPr>
      <xdr:blipFill>
        <a:blip r:embed="rId2"/>
        <a:stretch>
          <a:fillRect/>
        </a:stretch>
      </xdr:blipFill>
      <xdr:spPr>
        <a:xfrm>
          <a:off x="10425430" y="6278245"/>
          <a:ext cx="9982200" cy="4570730"/>
        </a:xfrm>
        <a:prstGeom prst="rect">
          <a:avLst/>
        </a:prstGeom>
        <a:noFill/>
        <a:ln w="9525">
          <a:noFill/>
        </a:ln>
      </xdr:spPr>
    </xdr:pic>
    <xdr:clientData/>
  </xdr:twoCellAnchor>
  <xdr:twoCellAnchor editAs="oneCell">
    <xdr:from>
      <xdr:col>11</xdr:col>
      <xdr:colOff>419735</xdr:colOff>
      <xdr:row>60</xdr:row>
      <xdr:rowOff>50165</xdr:rowOff>
    </xdr:from>
    <xdr:to>
      <xdr:col>24</xdr:col>
      <xdr:colOff>534035</xdr:colOff>
      <xdr:row>85</xdr:row>
      <xdr:rowOff>76200</xdr:rowOff>
    </xdr:to>
    <xdr:pic>
      <xdr:nvPicPr>
        <xdr:cNvPr id="4" name="图片 3"/>
        <xdr:cNvPicPr>
          <a:picLocks noChangeAspect="1"/>
        </xdr:cNvPicPr>
      </xdr:nvPicPr>
      <xdr:blipFill>
        <a:blip r:embed="rId3"/>
        <a:stretch>
          <a:fillRect/>
        </a:stretch>
      </xdr:blipFill>
      <xdr:spPr>
        <a:xfrm>
          <a:off x="10561955" y="11623040"/>
          <a:ext cx="8511540" cy="4598035"/>
        </a:xfrm>
        <a:prstGeom prst="rect">
          <a:avLst/>
        </a:prstGeom>
        <a:noFill/>
        <a:ln w="9525">
          <a:noFill/>
        </a:ln>
      </xdr:spPr>
    </xdr:pic>
    <xdr:clientData/>
  </xdr:twoCellAnchor>
  <xdr:twoCellAnchor editAs="oneCell">
    <xdr:from>
      <xdr:col>0</xdr:col>
      <xdr:colOff>635</xdr:colOff>
      <xdr:row>93</xdr:row>
      <xdr:rowOff>15240</xdr:rowOff>
    </xdr:from>
    <xdr:to>
      <xdr:col>9</xdr:col>
      <xdr:colOff>244475</xdr:colOff>
      <xdr:row>113</xdr:row>
      <xdr:rowOff>83820</xdr:rowOff>
    </xdr:to>
    <xdr:pic>
      <xdr:nvPicPr>
        <xdr:cNvPr id="5" name="图片 4"/>
        <xdr:cNvPicPr>
          <a:picLocks noChangeAspect="1"/>
        </xdr:cNvPicPr>
      </xdr:nvPicPr>
      <xdr:blipFill>
        <a:blip r:embed="rId4"/>
        <a:stretch>
          <a:fillRect/>
        </a:stretch>
      </xdr:blipFill>
      <xdr:spPr>
        <a:xfrm>
          <a:off x="635" y="17623155"/>
          <a:ext cx="9166860" cy="3726180"/>
        </a:xfrm>
        <a:prstGeom prst="rect">
          <a:avLst/>
        </a:prstGeom>
        <a:noFill/>
        <a:ln w="9525">
          <a:noFill/>
        </a:ln>
      </xdr:spPr>
    </xdr:pic>
    <xdr:clientData/>
  </xdr:twoCellAnchor>
  <xdr:twoCellAnchor editAs="oneCell">
    <xdr:from>
      <xdr:col>0</xdr:col>
      <xdr:colOff>7620</xdr:colOff>
      <xdr:row>31</xdr:row>
      <xdr:rowOff>0</xdr:rowOff>
    </xdr:from>
    <xdr:to>
      <xdr:col>10</xdr:col>
      <xdr:colOff>341630</xdr:colOff>
      <xdr:row>59</xdr:row>
      <xdr:rowOff>1905</xdr:rowOff>
    </xdr:to>
    <xdr:pic>
      <xdr:nvPicPr>
        <xdr:cNvPr id="7" name="图片 6"/>
        <xdr:cNvPicPr>
          <a:picLocks noChangeAspect="1"/>
        </xdr:cNvPicPr>
      </xdr:nvPicPr>
      <xdr:blipFill>
        <a:blip r:embed="rId5"/>
        <a:stretch>
          <a:fillRect/>
        </a:stretch>
      </xdr:blipFill>
      <xdr:spPr>
        <a:xfrm>
          <a:off x="7620" y="6269355"/>
          <a:ext cx="9866630" cy="5122545"/>
        </a:xfrm>
        <a:prstGeom prst="rect">
          <a:avLst/>
        </a:prstGeom>
        <a:noFill/>
        <a:ln w="9525">
          <a:noFill/>
        </a:ln>
      </xdr:spPr>
    </xdr:pic>
    <xdr:clientData/>
  </xdr:twoCellAnchor>
  <xdr:twoCellAnchor editAs="oneCell">
    <xdr:from>
      <xdr:col>0</xdr:col>
      <xdr:colOff>137160</xdr:colOff>
      <xdr:row>60</xdr:row>
      <xdr:rowOff>160020</xdr:rowOff>
    </xdr:from>
    <xdr:to>
      <xdr:col>10</xdr:col>
      <xdr:colOff>354330</xdr:colOff>
      <xdr:row>87</xdr:row>
      <xdr:rowOff>144780</xdr:rowOff>
    </xdr:to>
    <xdr:pic>
      <xdr:nvPicPr>
        <xdr:cNvPr id="8" name="图片 7"/>
        <xdr:cNvPicPr>
          <a:picLocks noChangeAspect="1"/>
        </xdr:cNvPicPr>
      </xdr:nvPicPr>
      <xdr:blipFill>
        <a:blip r:embed="rId6"/>
        <a:stretch>
          <a:fillRect/>
        </a:stretch>
      </xdr:blipFill>
      <xdr:spPr>
        <a:xfrm>
          <a:off x="137160" y="11732895"/>
          <a:ext cx="9749790" cy="49225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估价对象为北京市房地产，为所有。根据《国有土地使用证》[]，估价对象（分摊）出让国有建设用地使用权面积为0平方米，建筑面积为2791.88平方米。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估价对象为北京市房地产,属开发建设的，该项目尚在开发建设中。根据《国有土地使用证》[]，估价对象（分摊）出让国有建设用地使用权面积为0平方米，规划建筑面积为2791.88平方米。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本次评估采用的主估价方法为比较法和比较法。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2791.88</v>
      </c>
    </row>
    <row r="44" s="3491" customFormat="1" ht="31.2" spans="1:2">
      <c r="A44" s="3499" t="s">
        <v>44</v>
      </c>
      <c r="B44" s="3500" t="str">
        <f>'预评函-3'!C2</f>
        <v>(分摊)土地面积</v>
      </c>
    </row>
    <row r="45" s="3491" customFormat="1" spans="1:2">
      <c r="A45" s="3499" t="s">
        <v>45</v>
      </c>
      <c r="B45" s="3500">
        <f>'预评函-3'!C4</f>
        <v>0</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3.2"/>
  <cols>
    <col min="1" max="1" width="16.8888888888889" style="2782" customWidth="1"/>
    <col min="2" max="2" width="10" style="2782" customWidth="1"/>
    <col min="3" max="3" width="11.4444444444444" style="2782" customWidth="1"/>
    <col min="4" max="4" width="10" style="2782" customWidth="1"/>
    <col min="5" max="5" width="12.6666666666667" style="2782" customWidth="1"/>
    <col min="6" max="6" width="10" style="2782" customWidth="1"/>
    <col min="7" max="7" width="10.7777777777778" style="2782" customWidth="1"/>
    <col min="8" max="8" width="10" style="2782" customWidth="1"/>
    <col min="9" max="9" width="11.1111111111111" style="3079" customWidth="1"/>
    <col min="10" max="10" width="10" style="2977" customWidth="1"/>
    <col min="11" max="11" width="10" style="3176" customWidth="1"/>
    <col min="12" max="13" width="10" style="3177" customWidth="1"/>
    <col min="14" max="14" width="10" style="2977" customWidth="1"/>
    <col min="15" max="15" width="10" style="2060"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19"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v>56025</v>
      </c>
      <c r="G13" s="3229"/>
      <c r="H13" s="3229"/>
      <c r="I13" s="3229"/>
      <c r="J13" s="2766"/>
      <c r="K13" s="3304"/>
      <c r="L13" s="3302"/>
      <c r="M13" s="3302"/>
      <c r="N13" s="2766"/>
      <c r="O13" s="3303"/>
      <c r="P13" s="2766"/>
      <c r="Q13" s="2766"/>
      <c r="R13" s="2766"/>
    </row>
    <row r="14" spans="1:18">
      <c r="A14" s="1824"/>
      <c r="B14" s="3227"/>
      <c r="C14" s="3228" t="s">
        <v>358</v>
      </c>
      <c r="D14" s="3230"/>
      <c r="E14" s="3230"/>
      <c r="F14" s="3230">
        <v>50</v>
      </c>
      <c r="G14" s="3230"/>
      <c r="H14" s="3230"/>
      <c r="I14" s="3230"/>
      <c r="J14" s="2766"/>
      <c r="K14" s="3307"/>
      <c r="L14" s="3302"/>
      <c r="M14" s="3302"/>
      <c r="N14" s="2766"/>
      <c r="O14" s="3303"/>
      <c r="P14" s="2766"/>
      <c r="Q14" s="2766"/>
      <c r="R14" s="2766"/>
    </row>
    <row r="15" spans="1:18">
      <c r="A15" s="1832"/>
      <c r="B15" s="3231"/>
      <c r="C15" s="3232" t="s">
        <v>359</v>
      </c>
      <c r="D15" s="3233" t="str">
        <f>IF(B12="出让",IF(D13="","",ROUNDDOWN(MIN((D13-$D$3)/365,D14),2)),D14)</f>
        <v/>
      </c>
      <c r="E15" s="3233" t="str">
        <f>IF(B12="出让",IF(E13="","",ROUNDDOWN(MIN((E13-$D$3)/365,E14),2)),E14)</f>
        <v/>
      </c>
      <c r="F15" s="3233">
        <f>IF(B12="出让",IF(F13="","",ROUNDDOWN(MIN((F13-$D$3)/365,F14),2)),F14)</f>
        <v>30.59</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116">
        <f>'数据-汇总表'!E3</f>
        <v>2791.88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0</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6"/>
      <c r="C34" s="526"/>
      <c r="D34" s="526"/>
      <c r="E34" s="526"/>
      <c r="F34" s="526"/>
      <c r="G34" s="526"/>
      <c r="H34" s="526"/>
      <c r="I34" s="2887"/>
      <c r="J34" s="2766"/>
      <c r="K34" s="2116">
        <f>COUNTIF(B34:H34,"——")</f>
        <v>0</v>
      </c>
      <c r="L34" s="1840" t="s">
        <v>394</v>
      </c>
      <c r="M34" s="1840" t="s">
        <v>395</v>
      </c>
      <c r="N34" s="1840" t="s">
        <v>396</v>
      </c>
      <c r="O34" s="1840" t="s">
        <v>397</v>
      </c>
      <c r="P34" s="1840" t="s">
        <v>398</v>
      </c>
      <c r="Q34" s="1840" t="s">
        <v>399</v>
      </c>
      <c r="R34" s="1840" t="s">
        <v>400</v>
      </c>
      <c r="S34" s="2116" t="s">
        <v>401</v>
      </c>
      <c r="T34" s="3326" t="str">
        <f>NUMBERSTRING(7-K34,1)&amp;"通"</f>
        <v>七通</v>
      </c>
      <c r="U34" s="2766"/>
      <c r="V34" s="2766"/>
    </row>
    <row r="35" spans="1:22">
      <c r="A35" s="3286"/>
      <c r="B35" s="2178" t="s">
        <v>402</v>
      </c>
      <c r="C35" s="2178"/>
      <c r="D35" s="2178"/>
      <c r="E35" s="2178"/>
      <c r="F35" s="2178">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6"/>
      <c r="V35" s="2766"/>
    </row>
    <row r="36" spans="1:22">
      <c r="A36" s="3287"/>
      <c r="B36" s="2178" t="s">
        <v>352</v>
      </c>
      <c r="C36" s="2178" t="s">
        <v>353</v>
      </c>
      <c r="D36" s="2178" t="s">
        <v>351</v>
      </c>
      <c r="E36" s="2178"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0" t="s">
        <v>407</v>
      </c>
      <c r="B42" s="2116" t="s">
        <v>408</v>
      </c>
      <c r="C42" s="2116" t="s">
        <v>409</v>
      </c>
      <c r="D42" s="2116" t="s">
        <v>410</v>
      </c>
      <c r="E42" s="2116" t="s">
        <v>411</v>
      </c>
      <c r="F42" s="2116" t="s">
        <v>412</v>
      </c>
      <c r="G42" s="2116" t="s">
        <v>413</v>
      </c>
      <c r="H42" s="2116" t="s">
        <v>414</v>
      </c>
      <c r="I42" s="2116"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84" customWidth="1"/>
    <col min="2" max="2" width="11" style="3084" customWidth="1"/>
    <col min="3" max="3" width="10.3333333333333" style="3084" customWidth="1"/>
    <col min="4" max="4" width="9.11111111111111" style="3084" customWidth="1"/>
    <col min="5" max="6" width="10" style="3082" customWidth="1"/>
    <col min="7" max="8" width="10" style="3084" customWidth="1"/>
    <col min="9" max="9" width="10.6666666666667" style="3084" customWidth="1"/>
    <col min="10" max="10" width="9.44444444444444" style="3084" customWidth="1"/>
    <col min="11" max="11" width="11" style="3084" customWidth="1"/>
    <col min="12" max="14" width="9.44444444444444" style="3084" customWidth="1"/>
    <col min="15" max="15" width="9.88888888888889" style="3084" customWidth="1"/>
    <col min="16" max="16" width="9.77777777777778" style="3084" customWidth="1"/>
    <col min="17" max="17" width="9.33333333333333" style="3084" customWidth="1"/>
    <col min="18" max="18" width="9.22222222222222" style="3084" customWidth="1"/>
    <col min="19" max="19" width="10.8888888888889" style="3084" customWidth="1"/>
    <col min="20" max="21" width="10.7777777777778" style="3084" customWidth="1"/>
    <col min="22" max="22" width="10.8888888888889" style="3084" customWidth="1"/>
    <col min="23" max="27" width="10.7777777777778" style="3084" customWidth="1"/>
    <col min="28" max="28" width="10.8888888888889" style="3084" customWidth="1"/>
    <col min="29" max="29" width="11" style="3084" customWidth="1"/>
    <col min="30" max="30" width="10" style="3084" customWidth="1"/>
    <col min="31" max="31" width="9.77777777777778" style="3084" customWidth="1"/>
    <col min="32" max="46" width="9.44444444444444" style="3084" customWidth="1"/>
    <col min="47" max="47" width="18.1111111111111" style="3084" customWidth="1"/>
    <col min="48" max="50" width="9.77777777777778" style="3084" customWidth="1"/>
    <col min="51" max="55" width="10.4444444444444" style="3084" customWidth="1"/>
    <col min="56" max="56" width="9.44444444444444" style="3084" customWidth="1"/>
    <col min="57" max="63" width="9.11111111111111" style="3084" customWidth="1"/>
    <col min="64" max="64" width="9.44444444444444" style="3084" customWidth="1"/>
    <col min="65" max="65" width="9.11111111111111" style="3084" customWidth="1"/>
    <col min="66" max="66" width="9.44444444444444" style="3084" customWidth="1"/>
    <col min="67" max="69" width="9.11111111111111" style="3084" customWidth="1"/>
    <col min="70" max="70" width="9.44444444444444" style="3084" customWidth="1"/>
    <col min="71" max="71" width="9" style="3084" customWidth="1"/>
    <col min="72" max="72" width="9.11111111111111" style="3084" customWidth="1"/>
    <col min="73" max="16384" width="8.88888888888889"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6" t="s">
        <v>367</v>
      </c>
      <c r="B2" s="2116" t="s">
        <v>363</v>
      </c>
      <c r="C2" s="2116"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6"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4" t="s">
        <v>432</v>
      </c>
      <c r="B5" s="2350"/>
      <c r="C5" s="2350"/>
      <c r="D5" s="2504"/>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4" t="s">
        <v>433</v>
      </c>
      <c r="B6" s="3095"/>
      <c r="C6" s="3095"/>
      <c r="D6" s="3096"/>
      <c r="E6" s="3094">
        <f>H6+AC6+AT6</f>
        <v>0</v>
      </c>
      <c r="F6" s="3094" t="s">
        <v>124</v>
      </c>
      <c r="G6" s="3094" t="s">
        <v>124</v>
      </c>
      <c r="H6" s="3097">
        <f>SUMIF(I$12:AB$12,"总值",I6:AB6)</f>
        <v>0</v>
      </c>
      <c r="I6" s="3094">
        <f t="shared" ref="I6:AB6" si="2">ROUND($A$3*I5/$B$3,2)</f>
        <v>0</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0</v>
      </c>
      <c r="AZ6" s="3094" t="s">
        <v>124</v>
      </c>
      <c r="BA6" s="3094">
        <f>ROUND($AY$6*BA5/$AZ$5,2)</f>
        <v>0</v>
      </c>
      <c r="BB6" s="3094">
        <f>ROUND($AY$6*BB5/$AZ$5,2)</f>
        <v>0</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230"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3.2" spans="1:72">
      <c r="A9" s="3100"/>
      <c r="B9" s="3100"/>
      <c r="C9" s="3100"/>
      <c r="D9" s="3100"/>
      <c r="E9" s="3100"/>
      <c r="F9" s="3100"/>
      <c r="G9" s="1786"/>
      <c r="H9" s="3103" t="s">
        <v>446</v>
      </c>
      <c r="I9" s="3121" t="s">
        <v>447</v>
      </c>
      <c r="J9" s="2230"/>
      <c r="K9" s="3121" t="s">
        <v>448</v>
      </c>
      <c r="L9" s="2230"/>
      <c r="M9" s="3121"/>
      <c r="N9" s="2230"/>
      <c r="O9" s="3121"/>
      <c r="P9" s="2230"/>
      <c r="Q9" s="3121"/>
      <c r="R9" s="2230"/>
      <c r="S9" s="3121"/>
      <c r="T9" s="2230"/>
      <c r="U9" s="3121"/>
      <c r="V9" s="2230"/>
      <c r="W9" s="3121"/>
      <c r="X9" s="3128"/>
      <c r="Y9" s="3121"/>
      <c r="Z9" s="2230"/>
      <c r="AA9" s="3121"/>
      <c r="AB9" s="2230"/>
      <c r="AC9" s="3101"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1"/>
      <c r="AT9" s="3100"/>
      <c r="AU9" s="3100" t="s">
        <v>451</v>
      </c>
      <c r="AV9" s="1786"/>
      <c r="AW9" s="2437"/>
      <c r="AX9" s="1786"/>
      <c r="AY9" s="3104"/>
      <c r="AZ9" s="3104" t="s">
        <v>441</v>
      </c>
      <c r="BA9" s="3156" t="s">
        <v>452</v>
      </c>
      <c r="BB9" s="3157"/>
      <c r="BC9" s="1850"/>
      <c r="BD9" s="1850"/>
      <c r="BE9" s="1850"/>
      <c r="BF9" s="1850"/>
      <c r="BG9" s="1850"/>
      <c r="BH9" s="1850"/>
      <c r="BI9" s="1850"/>
      <c r="BJ9" s="1850"/>
      <c r="BK9" s="3162"/>
      <c r="BL9" s="1954" t="s">
        <v>453</v>
      </c>
      <c r="BM9" s="1839"/>
      <c r="BN9" s="3120"/>
      <c r="BO9" s="1839"/>
      <c r="BP9" s="1839"/>
      <c r="BQ9" s="1839"/>
      <c r="BR9" s="1839"/>
      <c r="BS9" s="1839"/>
      <c r="BT9" s="1837"/>
    </row>
    <row r="10" s="2785" customFormat="1" ht="13.2" spans="1:72">
      <c r="A10" s="3100"/>
      <c r="B10" s="3100"/>
      <c r="C10" s="3100"/>
      <c r="D10" s="3100"/>
      <c r="E10" s="3100"/>
      <c r="F10" s="3100"/>
      <c r="G10" s="1786"/>
      <c r="H10" s="3104"/>
      <c r="I10" s="3121" t="s">
        <v>454</v>
      </c>
      <c r="J10" s="2230"/>
      <c r="K10" s="3122" t="s">
        <v>454</v>
      </c>
      <c r="L10" s="2230"/>
      <c r="M10" s="3122"/>
      <c r="N10" s="2230"/>
      <c r="O10" s="3122"/>
      <c r="P10" s="2230"/>
      <c r="Q10" s="3122"/>
      <c r="R10" s="2230"/>
      <c r="S10" s="3122"/>
      <c r="T10" s="2230"/>
      <c r="U10" s="3122"/>
      <c r="V10" s="2230"/>
      <c r="W10" s="3122"/>
      <c r="X10" s="2230"/>
      <c r="Y10" s="3122"/>
      <c r="Z10" s="2230"/>
      <c r="AA10" s="3122"/>
      <c r="AB10" s="2230"/>
      <c r="AC10" s="1786"/>
      <c r="AD10" s="1954" t="s">
        <v>455</v>
      </c>
      <c r="AE10" s="3132"/>
      <c r="AF10" s="1954" t="s">
        <v>455</v>
      </c>
      <c r="AG10" s="3132"/>
      <c r="AH10" s="1954" t="s">
        <v>456</v>
      </c>
      <c r="AI10" s="3132"/>
      <c r="AJ10" s="1954" t="s">
        <v>456</v>
      </c>
      <c r="AK10" s="3132"/>
      <c r="AL10" s="1954" t="s">
        <v>457</v>
      </c>
      <c r="AM10" s="1800"/>
      <c r="AN10" s="1954" t="s">
        <v>457</v>
      </c>
      <c r="AO10" s="1800"/>
      <c r="AP10" s="1954" t="s">
        <v>458</v>
      </c>
      <c r="AQ10" s="1800"/>
      <c r="AR10" s="1954" t="s">
        <v>458</v>
      </c>
      <c r="AS10" s="1800"/>
      <c r="AT10" s="3100"/>
      <c r="AU10" s="3100"/>
      <c r="AV10" s="1786"/>
      <c r="AW10" s="2437"/>
      <c r="AX10" s="1786"/>
      <c r="AY10" s="3104"/>
      <c r="AZ10" s="3104"/>
      <c r="BA10" s="3105" t="s">
        <v>446</v>
      </c>
      <c r="BB10" s="3158"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3.2"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459</v>
      </c>
      <c r="AE11" s="2176"/>
      <c r="AF11" s="3133" t="s">
        <v>459</v>
      </c>
      <c r="AG11" s="2176"/>
      <c r="AH11" s="3133" t="s">
        <v>460</v>
      </c>
      <c r="AI11" s="3137"/>
      <c r="AJ11" s="3133" t="s">
        <v>460</v>
      </c>
      <c r="AK11" s="2176"/>
      <c r="AL11" s="1896"/>
      <c r="AM11" s="2176"/>
      <c r="AN11" s="1896"/>
      <c r="AO11" s="2176"/>
      <c r="AP11" s="1896"/>
      <c r="AQ11" s="2176"/>
      <c r="AR11" s="1896"/>
      <c r="AS11" s="2176"/>
      <c r="AT11" s="2437"/>
      <c r="AU11" s="3100"/>
      <c r="AV11" s="1786"/>
      <c r="AW11" s="2437"/>
      <c r="AX11" s="1786"/>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3.2" spans="1:72">
      <c r="A12" s="3106"/>
      <c r="B12" s="3106"/>
      <c r="C12" s="3106"/>
      <c r="D12" s="3106"/>
      <c r="E12" s="3106"/>
      <c r="F12" s="3106"/>
      <c r="G12" s="545"/>
      <c r="H12" s="3107"/>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4"/>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6" t="s">
        <v>462</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3.2" spans="1:72">
      <c r="A13" s="3108"/>
      <c r="B13" s="3108"/>
      <c r="C13" s="3108"/>
      <c r="D13" s="3109" t="s">
        <v>463</v>
      </c>
      <c r="E13" s="3094">
        <f>IF($C$3="是",ROUND($A$3*G13/$B$3,2),ROUND($A$3*(G13-AT13)/$B$3,2))</f>
        <v>0</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6">
        <f t="shared" ref="AV13:AX17" si="6">A13</f>
        <v>0</v>
      </c>
      <c r="AW13" s="2116">
        <f t="shared" si="6"/>
        <v>0</v>
      </c>
      <c r="AX13" s="2116">
        <f t="shared" si="6"/>
        <v>0</v>
      </c>
      <c r="AY13" s="2504">
        <f>ROUND($AY$6*AZ13/$AZ$5,2)</f>
        <v>0</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6">
        <f t="shared" si="6"/>
        <v>0</v>
      </c>
      <c r="AW14" s="2116">
        <f t="shared" si="6"/>
        <v>0</v>
      </c>
      <c r="AX14" s="2116">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6">
        <f t="shared" si="6"/>
        <v>0</v>
      </c>
      <c r="AW15" s="2116">
        <f t="shared" si="6"/>
        <v>0</v>
      </c>
      <c r="AX15" s="2116">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6">
        <f t="shared" si="6"/>
        <v>0</v>
      </c>
      <c r="AW16" s="2116">
        <f t="shared" si="6"/>
        <v>0</v>
      </c>
      <c r="AX16" s="2116">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6">
        <f t="shared" si="6"/>
        <v>0</v>
      </c>
      <c r="AW17" s="2116">
        <f t="shared" si="6"/>
        <v>0</v>
      </c>
      <c r="AX17" s="2116">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3">
        <f t="shared" ref="AV18:AV112" si="11">A18</f>
        <v>0</v>
      </c>
      <c r="AW18" s="1073">
        <f t="shared" ref="AW18:AW112" si="12">B18</f>
        <v>0</v>
      </c>
      <c r="AX18" s="107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3">
        <f t="shared" si="11"/>
        <v>0</v>
      </c>
      <c r="AW19" s="1073">
        <f t="shared" si="12"/>
        <v>0</v>
      </c>
      <c r="AX19" s="107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3">
        <f t="shared" si="11"/>
        <v>0</v>
      </c>
      <c r="AW20" s="1073">
        <f t="shared" si="12"/>
        <v>0</v>
      </c>
      <c r="AX20" s="107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3">
        <f t="shared" si="11"/>
        <v>0</v>
      </c>
      <c r="AW21" s="1073">
        <f t="shared" si="12"/>
        <v>0</v>
      </c>
      <c r="AX21" s="107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3">
        <f t="shared" si="11"/>
        <v>0</v>
      </c>
      <c r="AW22" s="1073">
        <f t="shared" si="12"/>
        <v>0</v>
      </c>
      <c r="AX22" s="107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3">
        <f t="shared" si="11"/>
        <v>0</v>
      </c>
      <c r="AW23" s="1073">
        <f t="shared" si="12"/>
        <v>0</v>
      </c>
      <c r="AX23" s="107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3">
        <f t="shared" si="11"/>
        <v>0</v>
      </c>
      <c r="AW24" s="1073">
        <f t="shared" si="12"/>
        <v>0</v>
      </c>
      <c r="AX24" s="107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3">
        <f t="shared" si="11"/>
        <v>0</v>
      </c>
      <c r="AW25" s="1073">
        <f t="shared" si="12"/>
        <v>0</v>
      </c>
      <c r="AX25" s="107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3">
        <f t="shared" si="11"/>
        <v>0</v>
      </c>
      <c r="AW26" s="1073">
        <f t="shared" si="12"/>
        <v>0</v>
      </c>
      <c r="AX26" s="107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3">
        <f t="shared" si="11"/>
        <v>0</v>
      </c>
      <c r="AW27" s="1073">
        <f t="shared" si="12"/>
        <v>0</v>
      </c>
      <c r="AX27" s="107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3">
        <f t="shared" si="11"/>
        <v>0</v>
      </c>
      <c r="AW28" s="1073">
        <f t="shared" si="12"/>
        <v>0</v>
      </c>
      <c r="AX28" s="107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3">
        <f t="shared" si="11"/>
        <v>0</v>
      </c>
      <c r="AW29" s="1073">
        <f t="shared" si="12"/>
        <v>0</v>
      </c>
      <c r="AX29" s="107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3">
        <f t="shared" si="11"/>
        <v>0</v>
      </c>
      <c r="AW30" s="1073">
        <f t="shared" si="12"/>
        <v>0</v>
      </c>
      <c r="AX30" s="107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3">
        <f t="shared" si="11"/>
        <v>0</v>
      </c>
      <c r="AW31" s="1073">
        <f t="shared" si="12"/>
        <v>0</v>
      </c>
      <c r="AX31" s="107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3">
        <f t="shared" si="11"/>
        <v>0</v>
      </c>
      <c r="AW32" s="1073">
        <f t="shared" si="12"/>
        <v>0</v>
      </c>
      <c r="AX32" s="107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3">
        <f t="shared" si="11"/>
        <v>0</v>
      </c>
      <c r="AW33" s="1073">
        <f t="shared" si="12"/>
        <v>0</v>
      </c>
      <c r="AX33" s="107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3">
        <f t="shared" si="11"/>
        <v>0</v>
      </c>
      <c r="AW34" s="1073">
        <f t="shared" si="12"/>
        <v>0</v>
      </c>
      <c r="AX34" s="107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3">
        <f t="shared" si="11"/>
        <v>0</v>
      </c>
      <c r="AW35" s="1073">
        <f t="shared" si="12"/>
        <v>0</v>
      </c>
      <c r="AX35" s="107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3">
        <f t="shared" si="11"/>
        <v>0</v>
      </c>
      <c r="AW36" s="1073">
        <f t="shared" si="12"/>
        <v>0</v>
      </c>
      <c r="AX36" s="107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3">
        <f t="shared" si="11"/>
        <v>0</v>
      </c>
      <c r="AW37" s="1073">
        <f t="shared" si="12"/>
        <v>0</v>
      </c>
      <c r="AX37" s="107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3">
        <f t="shared" si="11"/>
        <v>0</v>
      </c>
      <c r="AW38" s="1073">
        <f t="shared" si="12"/>
        <v>0</v>
      </c>
      <c r="AX38" s="107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3">
        <f t="shared" si="11"/>
        <v>0</v>
      </c>
      <c r="AW39" s="1073">
        <f t="shared" si="12"/>
        <v>0</v>
      </c>
      <c r="AX39" s="107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3">
        <f t="shared" si="11"/>
        <v>0</v>
      </c>
      <c r="AW40" s="1073">
        <f t="shared" si="12"/>
        <v>0</v>
      </c>
      <c r="AX40" s="107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3">
        <f t="shared" si="11"/>
        <v>0</v>
      </c>
      <c r="AW41" s="1073">
        <f t="shared" si="12"/>
        <v>0</v>
      </c>
      <c r="AX41" s="107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3">
        <f t="shared" si="11"/>
        <v>0</v>
      </c>
      <c r="AW42" s="1073">
        <f t="shared" si="12"/>
        <v>0</v>
      </c>
      <c r="AX42" s="107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3">
        <f t="shared" si="11"/>
        <v>0</v>
      </c>
      <c r="AW43" s="1073">
        <f t="shared" si="12"/>
        <v>0</v>
      </c>
      <c r="AX43" s="107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3">
        <f t="shared" si="11"/>
        <v>0</v>
      </c>
      <c r="AW44" s="1073">
        <f t="shared" si="12"/>
        <v>0</v>
      </c>
      <c r="AX44" s="107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3">
        <f t="shared" si="11"/>
        <v>0</v>
      </c>
      <c r="AW45" s="1073">
        <f t="shared" si="12"/>
        <v>0</v>
      </c>
      <c r="AX45" s="107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3">
        <f t="shared" si="11"/>
        <v>0</v>
      </c>
      <c r="AW46" s="1073">
        <f t="shared" si="12"/>
        <v>0</v>
      </c>
      <c r="AX46" s="107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3">
        <f t="shared" si="11"/>
        <v>0</v>
      </c>
      <c r="AW47" s="1073">
        <f t="shared" si="12"/>
        <v>0</v>
      </c>
      <c r="AX47" s="107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3">
        <f t="shared" si="11"/>
        <v>0</v>
      </c>
      <c r="AW48" s="1073">
        <f t="shared" si="12"/>
        <v>0</v>
      </c>
      <c r="AX48" s="107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3">
        <f t="shared" si="11"/>
        <v>0</v>
      </c>
      <c r="AW49" s="1073">
        <f t="shared" si="12"/>
        <v>0</v>
      </c>
      <c r="AX49" s="107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3">
        <f t="shared" si="11"/>
        <v>0</v>
      </c>
      <c r="AW50" s="1073">
        <f t="shared" si="12"/>
        <v>0</v>
      </c>
      <c r="AX50" s="107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3">
        <f t="shared" si="11"/>
        <v>0</v>
      </c>
      <c r="AW51" s="1073">
        <f t="shared" si="12"/>
        <v>0</v>
      </c>
      <c r="AX51" s="107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3">
        <f t="shared" si="11"/>
        <v>0</v>
      </c>
      <c r="AW52" s="1073">
        <f t="shared" si="12"/>
        <v>0</v>
      </c>
      <c r="AX52" s="107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3">
        <f t="shared" si="11"/>
        <v>0</v>
      </c>
      <c r="AW53" s="1073">
        <f t="shared" si="12"/>
        <v>0</v>
      </c>
      <c r="AX53" s="107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3">
        <f t="shared" si="11"/>
        <v>0</v>
      </c>
      <c r="AW54" s="1073">
        <f t="shared" si="12"/>
        <v>0</v>
      </c>
      <c r="AX54" s="107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3">
        <f t="shared" si="11"/>
        <v>0</v>
      </c>
      <c r="AW55" s="1073">
        <f t="shared" si="12"/>
        <v>0</v>
      </c>
      <c r="AX55" s="107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3">
        <f t="shared" si="11"/>
        <v>0</v>
      </c>
      <c r="AW56" s="1073">
        <f t="shared" si="12"/>
        <v>0</v>
      </c>
      <c r="AX56" s="107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3">
        <f t="shared" si="11"/>
        <v>0</v>
      </c>
      <c r="AW57" s="1073">
        <f t="shared" si="12"/>
        <v>0</v>
      </c>
      <c r="AX57" s="107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3">
        <f t="shared" si="11"/>
        <v>0</v>
      </c>
      <c r="AW58" s="1073">
        <f t="shared" si="12"/>
        <v>0</v>
      </c>
      <c r="AX58" s="107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3">
        <f t="shared" si="11"/>
        <v>0</v>
      </c>
      <c r="AW59" s="1073">
        <f t="shared" si="12"/>
        <v>0</v>
      </c>
      <c r="AX59" s="107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3">
        <f t="shared" si="11"/>
        <v>0</v>
      </c>
      <c r="AW60" s="1073">
        <f t="shared" si="12"/>
        <v>0</v>
      </c>
      <c r="AX60" s="107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3">
        <f t="shared" si="11"/>
        <v>0</v>
      </c>
      <c r="AW61" s="1073">
        <f t="shared" si="12"/>
        <v>0</v>
      </c>
      <c r="AX61" s="107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3">
        <f t="shared" si="11"/>
        <v>0</v>
      </c>
      <c r="AW62" s="1073">
        <f t="shared" si="12"/>
        <v>0</v>
      </c>
      <c r="AX62" s="107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3">
        <f t="shared" si="11"/>
        <v>0</v>
      </c>
      <c r="AW63" s="1073">
        <f t="shared" si="12"/>
        <v>0</v>
      </c>
      <c r="AX63" s="107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3">
        <f t="shared" si="11"/>
        <v>0</v>
      </c>
      <c r="AW64" s="1073">
        <f t="shared" si="12"/>
        <v>0</v>
      </c>
      <c r="AX64" s="107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3">
        <f t="shared" si="11"/>
        <v>0</v>
      </c>
      <c r="AW65" s="1073">
        <f t="shared" si="12"/>
        <v>0</v>
      </c>
      <c r="AX65" s="107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3">
        <f t="shared" si="11"/>
        <v>0</v>
      </c>
      <c r="AW66" s="1073">
        <f t="shared" si="12"/>
        <v>0</v>
      </c>
      <c r="AX66" s="107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3">
        <f t="shared" si="11"/>
        <v>0</v>
      </c>
      <c r="AW67" s="1073">
        <f t="shared" si="12"/>
        <v>0</v>
      </c>
      <c r="AX67" s="107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3">
        <f t="shared" si="11"/>
        <v>0</v>
      </c>
      <c r="AW68" s="1073">
        <f t="shared" si="12"/>
        <v>0</v>
      </c>
      <c r="AX68" s="107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3">
        <f t="shared" si="11"/>
        <v>0</v>
      </c>
      <c r="AW69" s="1073">
        <f t="shared" si="12"/>
        <v>0</v>
      </c>
      <c r="AX69" s="107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3">
        <f t="shared" si="11"/>
        <v>0</v>
      </c>
      <c r="AW70" s="1073">
        <f t="shared" si="12"/>
        <v>0</v>
      </c>
      <c r="AX70" s="107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3">
        <f t="shared" si="11"/>
        <v>0</v>
      </c>
      <c r="AW71" s="1073">
        <f t="shared" si="12"/>
        <v>0</v>
      </c>
      <c r="AX71" s="107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3">
        <f t="shared" si="11"/>
        <v>0</v>
      </c>
      <c r="AW72" s="1073">
        <f t="shared" si="12"/>
        <v>0</v>
      </c>
      <c r="AX72" s="107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3">
        <f t="shared" si="11"/>
        <v>0</v>
      </c>
      <c r="AW73" s="1073">
        <f t="shared" si="12"/>
        <v>0</v>
      </c>
      <c r="AX73" s="107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3">
        <f t="shared" si="11"/>
        <v>0</v>
      </c>
      <c r="AW74" s="1073">
        <f t="shared" si="12"/>
        <v>0</v>
      </c>
      <c r="AX74" s="107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3">
        <f t="shared" si="11"/>
        <v>0</v>
      </c>
      <c r="AW75" s="1073">
        <f t="shared" si="12"/>
        <v>0</v>
      </c>
      <c r="AX75" s="107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3">
        <f t="shared" si="11"/>
        <v>0</v>
      </c>
      <c r="AW76" s="1073">
        <f t="shared" si="12"/>
        <v>0</v>
      </c>
      <c r="AX76" s="107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3">
        <f t="shared" si="11"/>
        <v>0</v>
      </c>
      <c r="AW77" s="1073">
        <f t="shared" si="12"/>
        <v>0</v>
      </c>
      <c r="AX77" s="107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3">
        <f t="shared" si="11"/>
        <v>0</v>
      </c>
      <c r="AW78" s="1073">
        <f t="shared" si="12"/>
        <v>0</v>
      </c>
      <c r="AX78" s="107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3">
        <f t="shared" si="11"/>
        <v>0</v>
      </c>
      <c r="AW79" s="1073">
        <f t="shared" si="12"/>
        <v>0</v>
      </c>
      <c r="AX79" s="107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3">
        <f t="shared" si="11"/>
        <v>0</v>
      </c>
      <c r="AW80" s="1073">
        <f t="shared" si="12"/>
        <v>0</v>
      </c>
      <c r="AX80" s="107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3">
        <f t="shared" si="11"/>
        <v>0</v>
      </c>
      <c r="AW81" s="1073">
        <f t="shared" si="12"/>
        <v>0</v>
      </c>
      <c r="AX81" s="107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3">
        <f t="shared" si="11"/>
        <v>0</v>
      </c>
      <c r="AW82" s="1073">
        <f t="shared" si="12"/>
        <v>0</v>
      </c>
      <c r="AX82" s="107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3">
        <f t="shared" si="11"/>
        <v>0</v>
      </c>
      <c r="AW83" s="1073">
        <f t="shared" si="12"/>
        <v>0</v>
      </c>
      <c r="AX83" s="107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3">
        <f t="shared" si="11"/>
        <v>0</v>
      </c>
      <c r="AW84" s="1073">
        <f t="shared" si="12"/>
        <v>0</v>
      </c>
      <c r="AX84" s="107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3">
        <f t="shared" si="11"/>
        <v>0</v>
      </c>
      <c r="AW85" s="1073">
        <f t="shared" si="12"/>
        <v>0</v>
      </c>
      <c r="AX85" s="107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3">
        <f t="shared" si="11"/>
        <v>0</v>
      </c>
      <c r="AW86" s="1073">
        <f t="shared" si="12"/>
        <v>0</v>
      </c>
      <c r="AX86" s="107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3">
        <f t="shared" si="11"/>
        <v>0</v>
      </c>
      <c r="AW87" s="1073">
        <f t="shared" si="12"/>
        <v>0</v>
      </c>
      <c r="AX87" s="107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3">
        <f t="shared" si="11"/>
        <v>0</v>
      </c>
      <c r="AW88" s="1073">
        <f t="shared" si="12"/>
        <v>0</v>
      </c>
      <c r="AX88" s="107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3">
        <f t="shared" si="11"/>
        <v>0</v>
      </c>
      <c r="AW89" s="1073">
        <f t="shared" si="12"/>
        <v>0</v>
      </c>
      <c r="AX89" s="107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3">
        <f t="shared" si="11"/>
        <v>0</v>
      </c>
      <c r="AW90" s="1073">
        <f t="shared" si="12"/>
        <v>0</v>
      </c>
      <c r="AX90" s="107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3">
        <f t="shared" si="11"/>
        <v>0</v>
      </c>
      <c r="AW91" s="1073">
        <f t="shared" si="12"/>
        <v>0</v>
      </c>
      <c r="AX91" s="107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3">
        <f t="shared" si="11"/>
        <v>0</v>
      </c>
      <c r="AW92" s="1073">
        <f t="shared" si="12"/>
        <v>0</v>
      </c>
      <c r="AX92" s="107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3">
        <f t="shared" si="11"/>
        <v>0</v>
      </c>
      <c r="AW93" s="1073">
        <f t="shared" si="12"/>
        <v>0</v>
      </c>
      <c r="AX93" s="107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3">
        <f t="shared" si="11"/>
        <v>0</v>
      </c>
      <c r="AW94" s="1073">
        <f t="shared" si="12"/>
        <v>0</v>
      </c>
      <c r="AX94" s="107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3">
        <f t="shared" si="11"/>
        <v>0</v>
      </c>
      <c r="AW95" s="1073">
        <f t="shared" si="12"/>
        <v>0</v>
      </c>
      <c r="AX95" s="107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3">
        <f t="shared" si="11"/>
        <v>0</v>
      </c>
      <c r="AW96" s="1073">
        <f t="shared" si="12"/>
        <v>0</v>
      </c>
      <c r="AX96" s="107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3">
        <f t="shared" si="11"/>
        <v>0</v>
      </c>
      <c r="AW97" s="1073">
        <f t="shared" si="12"/>
        <v>0</v>
      </c>
      <c r="AX97" s="107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3">
        <f t="shared" si="11"/>
        <v>0</v>
      </c>
      <c r="AW98" s="1073">
        <f t="shared" si="12"/>
        <v>0</v>
      </c>
      <c r="AX98" s="107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3">
        <f t="shared" si="11"/>
        <v>0</v>
      </c>
      <c r="AW99" s="1073">
        <f t="shared" si="12"/>
        <v>0</v>
      </c>
      <c r="AX99" s="107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3">
        <f t="shared" si="11"/>
        <v>0</v>
      </c>
      <c r="AW100" s="1073">
        <f t="shared" si="12"/>
        <v>0</v>
      </c>
      <c r="AX100" s="107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3">
        <f t="shared" si="11"/>
        <v>0</v>
      </c>
      <c r="AW101" s="1073">
        <f t="shared" si="12"/>
        <v>0</v>
      </c>
      <c r="AX101" s="107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3">
        <f t="shared" si="11"/>
        <v>0</v>
      </c>
      <c r="AW102" s="1073">
        <f t="shared" si="12"/>
        <v>0</v>
      </c>
      <c r="AX102" s="107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3">
        <f t="shared" si="11"/>
        <v>0</v>
      </c>
      <c r="AW103" s="1073">
        <f t="shared" si="12"/>
        <v>0</v>
      </c>
      <c r="AX103" s="107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3">
        <f t="shared" si="11"/>
        <v>0</v>
      </c>
      <c r="AW104" s="1073">
        <f t="shared" si="12"/>
        <v>0</v>
      </c>
      <c r="AX104" s="107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3">
        <f t="shared" si="11"/>
        <v>0</v>
      </c>
      <c r="AW105" s="1073">
        <f t="shared" si="12"/>
        <v>0</v>
      </c>
      <c r="AX105" s="107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3">
        <f t="shared" si="11"/>
        <v>0</v>
      </c>
      <c r="AW106" s="1073">
        <f t="shared" si="12"/>
        <v>0</v>
      </c>
      <c r="AX106" s="107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3">
        <f t="shared" si="11"/>
        <v>0</v>
      </c>
      <c r="AW107" s="1073">
        <f t="shared" si="12"/>
        <v>0</v>
      </c>
      <c r="AX107" s="107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3">
        <f t="shared" si="11"/>
        <v>0</v>
      </c>
      <c r="AW108" s="1073">
        <f t="shared" si="12"/>
        <v>0</v>
      </c>
      <c r="AX108" s="107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3">
        <f t="shared" si="11"/>
        <v>0</v>
      </c>
      <c r="AW109" s="1073">
        <f t="shared" si="12"/>
        <v>0</v>
      </c>
      <c r="AX109" s="107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3">
        <f t="shared" si="11"/>
        <v>0</v>
      </c>
      <c r="AW110" s="1073">
        <f t="shared" si="12"/>
        <v>0</v>
      </c>
      <c r="AX110" s="107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3">
        <f t="shared" si="11"/>
        <v>0</v>
      </c>
      <c r="AW111" s="1073">
        <f t="shared" si="12"/>
        <v>0</v>
      </c>
      <c r="AX111" s="107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3">
        <f t="shared" si="11"/>
        <v>0</v>
      </c>
      <c r="AW112" s="1073">
        <f t="shared" si="12"/>
        <v>0</v>
      </c>
      <c r="AX112" s="107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3">
        <f t="shared" ref="AV113:AV144" si="62">A113</f>
        <v>0</v>
      </c>
      <c r="AW113" s="1073">
        <f t="shared" ref="AW113:AW144" si="63">B113</f>
        <v>0</v>
      </c>
      <c r="AX113" s="107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3">
        <f t="shared" si="62"/>
        <v>0</v>
      </c>
      <c r="AW114" s="1073">
        <f t="shared" si="63"/>
        <v>0</v>
      </c>
      <c r="AX114" s="107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3">
        <f t="shared" si="62"/>
        <v>0</v>
      </c>
      <c r="AW115" s="1073">
        <f t="shared" si="63"/>
        <v>0</v>
      </c>
      <c r="AX115" s="107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3">
        <f t="shared" si="62"/>
        <v>0</v>
      </c>
      <c r="AW116" s="1073">
        <f t="shared" si="63"/>
        <v>0</v>
      </c>
      <c r="AX116" s="107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3">
        <f t="shared" si="62"/>
        <v>0</v>
      </c>
      <c r="AW117" s="1073">
        <f t="shared" si="63"/>
        <v>0</v>
      </c>
      <c r="AX117" s="107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3">
        <f t="shared" si="62"/>
        <v>0</v>
      </c>
      <c r="AW118" s="1073">
        <f t="shared" si="63"/>
        <v>0</v>
      </c>
      <c r="AX118" s="107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3">
        <f t="shared" si="62"/>
        <v>0</v>
      </c>
      <c r="AW119" s="1073">
        <f t="shared" si="63"/>
        <v>0</v>
      </c>
      <c r="AX119" s="107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3">
        <f t="shared" si="62"/>
        <v>0</v>
      </c>
      <c r="AW120" s="1073">
        <f t="shared" si="63"/>
        <v>0</v>
      </c>
      <c r="AX120" s="107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3">
        <f t="shared" si="62"/>
        <v>0</v>
      </c>
      <c r="AW121" s="1073">
        <f t="shared" si="63"/>
        <v>0</v>
      </c>
      <c r="AX121" s="107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3">
        <f t="shared" si="62"/>
        <v>0</v>
      </c>
      <c r="AW122" s="1073">
        <f t="shared" si="63"/>
        <v>0</v>
      </c>
      <c r="AX122" s="107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3">
        <f t="shared" si="62"/>
        <v>0</v>
      </c>
      <c r="AW123" s="1073">
        <f t="shared" si="63"/>
        <v>0</v>
      </c>
      <c r="AX123" s="107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3">
        <f t="shared" si="62"/>
        <v>0</v>
      </c>
      <c r="AW124" s="1073">
        <f t="shared" si="63"/>
        <v>0</v>
      </c>
      <c r="AX124" s="107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3">
        <f t="shared" si="62"/>
        <v>0</v>
      </c>
      <c r="AW125" s="1073">
        <f t="shared" si="63"/>
        <v>0</v>
      </c>
      <c r="AX125" s="107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3">
        <f t="shared" si="62"/>
        <v>0</v>
      </c>
      <c r="AW126" s="1073">
        <f t="shared" si="63"/>
        <v>0</v>
      </c>
      <c r="AX126" s="107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3">
        <f t="shared" si="62"/>
        <v>0</v>
      </c>
      <c r="AW127" s="1073">
        <f t="shared" si="63"/>
        <v>0</v>
      </c>
      <c r="AX127" s="107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3">
        <f t="shared" si="62"/>
        <v>0</v>
      </c>
      <c r="AW128" s="1073">
        <f t="shared" si="63"/>
        <v>0</v>
      </c>
      <c r="AX128" s="107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3">
        <f t="shared" si="62"/>
        <v>0</v>
      </c>
      <c r="AW129" s="1073">
        <f t="shared" si="63"/>
        <v>0</v>
      </c>
      <c r="AX129" s="107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3">
        <f t="shared" si="62"/>
        <v>0</v>
      </c>
      <c r="AW130" s="1073">
        <f t="shared" si="63"/>
        <v>0</v>
      </c>
      <c r="AX130" s="107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3">
        <f t="shared" si="62"/>
        <v>0</v>
      </c>
      <c r="AW131" s="1073">
        <f t="shared" si="63"/>
        <v>0</v>
      </c>
      <c r="AX131" s="107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3">
        <f t="shared" si="62"/>
        <v>0</v>
      </c>
      <c r="AW132" s="1073">
        <f t="shared" si="63"/>
        <v>0</v>
      </c>
      <c r="AX132" s="107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3">
        <f t="shared" si="62"/>
        <v>0</v>
      </c>
      <c r="AW133" s="1073">
        <f t="shared" si="63"/>
        <v>0</v>
      </c>
      <c r="AX133" s="107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3">
        <f t="shared" si="62"/>
        <v>0</v>
      </c>
      <c r="AW134" s="1073">
        <f t="shared" si="63"/>
        <v>0</v>
      </c>
      <c r="AX134" s="107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3">
        <f t="shared" si="62"/>
        <v>0</v>
      </c>
      <c r="AW135" s="1073">
        <f t="shared" si="63"/>
        <v>0</v>
      </c>
      <c r="AX135" s="107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3">
        <f t="shared" si="62"/>
        <v>0</v>
      </c>
      <c r="AW136" s="1073">
        <f t="shared" si="63"/>
        <v>0</v>
      </c>
      <c r="AX136" s="107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3">
        <f t="shared" si="62"/>
        <v>0</v>
      </c>
      <c r="AW137" s="1073">
        <f t="shared" si="63"/>
        <v>0</v>
      </c>
      <c r="AX137" s="107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3">
        <f t="shared" si="62"/>
        <v>0</v>
      </c>
      <c r="AW138" s="1073">
        <f t="shared" si="63"/>
        <v>0</v>
      </c>
      <c r="AX138" s="107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3">
        <f t="shared" si="62"/>
        <v>0</v>
      </c>
      <c r="AW139" s="1073">
        <f t="shared" si="63"/>
        <v>0</v>
      </c>
      <c r="AX139" s="107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3">
        <f t="shared" si="62"/>
        <v>0</v>
      </c>
      <c r="AW140" s="1073">
        <f t="shared" si="63"/>
        <v>0</v>
      </c>
      <c r="AX140" s="107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3">
        <f t="shared" si="62"/>
        <v>0</v>
      </c>
      <c r="AW141" s="1073">
        <f t="shared" si="63"/>
        <v>0</v>
      </c>
      <c r="AX141" s="107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3">
        <f t="shared" si="62"/>
        <v>0</v>
      </c>
      <c r="AW142" s="1073">
        <f t="shared" si="63"/>
        <v>0</v>
      </c>
      <c r="AX142" s="107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3">
        <f t="shared" si="62"/>
        <v>0</v>
      </c>
      <c r="AW143" s="1073">
        <f t="shared" si="63"/>
        <v>0</v>
      </c>
      <c r="AX143" s="107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3">
        <f t="shared" si="62"/>
        <v>0</v>
      </c>
      <c r="AW144" s="1073">
        <f t="shared" si="63"/>
        <v>0</v>
      </c>
      <c r="AX144" s="107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3">
        <f t="shared" ref="AV145:AV176" si="91">A145</f>
        <v>0</v>
      </c>
      <c r="AW145" s="1073">
        <f t="shared" ref="AW145:AW176" si="92">B145</f>
        <v>0</v>
      </c>
      <c r="AX145" s="107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3">
        <f t="shared" si="91"/>
        <v>0</v>
      </c>
      <c r="AW146" s="1073">
        <f t="shared" si="92"/>
        <v>0</v>
      </c>
      <c r="AX146" s="107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3">
        <f t="shared" si="91"/>
        <v>0</v>
      </c>
      <c r="AW147" s="1073">
        <f t="shared" si="92"/>
        <v>0</v>
      </c>
      <c r="AX147" s="107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3">
        <f t="shared" si="91"/>
        <v>0</v>
      </c>
      <c r="AW148" s="1073">
        <f t="shared" si="92"/>
        <v>0</v>
      </c>
      <c r="AX148" s="107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3">
        <f t="shared" si="91"/>
        <v>0</v>
      </c>
      <c r="AW149" s="1073">
        <f t="shared" si="92"/>
        <v>0</v>
      </c>
      <c r="AX149" s="107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3">
        <f t="shared" si="91"/>
        <v>0</v>
      </c>
      <c r="AW150" s="1073">
        <f t="shared" si="92"/>
        <v>0</v>
      </c>
      <c r="AX150" s="107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3">
        <f t="shared" si="91"/>
        <v>0</v>
      </c>
      <c r="AW151" s="1073">
        <f t="shared" si="92"/>
        <v>0</v>
      </c>
      <c r="AX151" s="107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3">
        <f t="shared" si="91"/>
        <v>0</v>
      </c>
      <c r="AW152" s="1073">
        <f t="shared" si="92"/>
        <v>0</v>
      </c>
      <c r="AX152" s="107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3">
        <f t="shared" si="91"/>
        <v>0</v>
      </c>
      <c r="AW153" s="1073">
        <f t="shared" si="92"/>
        <v>0</v>
      </c>
      <c r="AX153" s="107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3">
        <f t="shared" si="91"/>
        <v>0</v>
      </c>
      <c r="AW154" s="1073">
        <f t="shared" si="92"/>
        <v>0</v>
      </c>
      <c r="AX154" s="107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3">
        <f t="shared" si="91"/>
        <v>0</v>
      </c>
      <c r="AW155" s="1073">
        <f t="shared" si="92"/>
        <v>0</v>
      </c>
      <c r="AX155" s="107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3">
        <f t="shared" si="91"/>
        <v>0</v>
      </c>
      <c r="AW156" s="1073">
        <f t="shared" si="92"/>
        <v>0</v>
      </c>
      <c r="AX156" s="107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3">
        <f t="shared" si="91"/>
        <v>0</v>
      </c>
      <c r="AW157" s="1073">
        <f t="shared" si="92"/>
        <v>0</v>
      </c>
      <c r="AX157" s="107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3">
        <f t="shared" si="91"/>
        <v>0</v>
      </c>
      <c r="AW158" s="1073">
        <f t="shared" si="92"/>
        <v>0</v>
      </c>
      <c r="AX158" s="107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3">
        <f t="shared" si="91"/>
        <v>0</v>
      </c>
      <c r="AW159" s="1073">
        <f t="shared" si="92"/>
        <v>0</v>
      </c>
      <c r="AX159" s="107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3">
        <f t="shared" si="91"/>
        <v>0</v>
      </c>
      <c r="AW160" s="1073">
        <f t="shared" si="92"/>
        <v>0</v>
      </c>
      <c r="AX160" s="107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3">
        <f t="shared" si="91"/>
        <v>0</v>
      </c>
      <c r="AW161" s="1073">
        <f t="shared" si="92"/>
        <v>0</v>
      </c>
      <c r="AX161" s="107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3">
        <f t="shared" si="91"/>
        <v>0</v>
      </c>
      <c r="AW162" s="1073">
        <f t="shared" si="92"/>
        <v>0</v>
      </c>
      <c r="AX162" s="107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3">
        <f t="shared" si="91"/>
        <v>0</v>
      </c>
      <c r="AW163" s="1073">
        <f t="shared" si="92"/>
        <v>0</v>
      </c>
      <c r="AX163" s="107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3">
        <f t="shared" si="91"/>
        <v>0</v>
      </c>
      <c r="AW164" s="1073">
        <f t="shared" si="92"/>
        <v>0</v>
      </c>
      <c r="AX164" s="107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3">
        <f t="shared" si="91"/>
        <v>0</v>
      </c>
      <c r="AW165" s="1073">
        <f t="shared" si="92"/>
        <v>0</v>
      </c>
      <c r="AX165" s="107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3">
        <f t="shared" si="91"/>
        <v>0</v>
      </c>
      <c r="AW166" s="1073">
        <f t="shared" si="92"/>
        <v>0</v>
      </c>
      <c r="AX166" s="107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3">
        <f t="shared" si="91"/>
        <v>0</v>
      </c>
      <c r="AW167" s="1073">
        <f t="shared" si="92"/>
        <v>0</v>
      </c>
      <c r="AX167" s="107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3">
        <f t="shared" si="91"/>
        <v>0</v>
      </c>
      <c r="AW168" s="1073">
        <f t="shared" si="92"/>
        <v>0</v>
      </c>
      <c r="AX168" s="107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3">
        <f t="shared" si="91"/>
        <v>0</v>
      </c>
      <c r="AW169" s="1073">
        <f t="shared" si="92"/>
        <v>0</v>
      </c>
      <c r="AX169" s="107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3">
        <f t="shared" si="91"/>
        <v>0</v>
      </c>
      <c r="AW170" s="1073">
        <f t="shared" si="92"/>
        <v>0</v>
      </c>
      <c r="AX170" s="107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3">
        <f t="shared" si="91"/>
        <v>0</v>
      </c>
      <c r="AW171" s="1073">
        <f t="shared" si="92"/>
        <v>0</v>
      </c>
      <c r="AX171" s="107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3">
        <f t="shared" si="91"/>
        <v>0</v>
      </c>
      <c r="AW172" s="1073">
        <f t="shared" si="92"/>
        <v>0</v>
      </c>
      <c r="AX172" s="107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3">
        <f t="shared" si="91"/>
        <v>0</v>
      </c>
      <c r="AW173" s="1073">
        <f t="shared" si="92"/>
        <v>0</v>
      </c>
      <c r="AX173" s="107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3">
        <f t="shared" si="91"/>
        <v>0</v>
      </c>
      <c r="AW174" s="1073">
        <f t="shared" si="92"/>
        <v>0</v>
      </c>
      <c r="AX174" s="107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3">
        <f t="shared" si="91"/>
        <v>0</v>
      </c>
      <c r="AW175" s="1073">
        <f t="shared" si="92"/>
        <v>0</v>
      </c>
      <c r="AX175" s="107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3">
        <f t="shared" si="91"/>
        <v>0</v>
      </c>
      <c r="AW176" s="1073">
        <f t="shared" si="92"/>
        <v>0</v>
      </c>
      <c r="AX176" s="107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3">
        <f t="shared" ref="AV177:AV207" si="120">A177</f>
        <v>0</v>
      </c>
      <c r="AW177" s="1073">
        <f t="shared" ref="AW177:AW207" si="121">B177</f>
        <v>0</v>
      </c>
      <c r="AX177" s="107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3">
        <f t="shared" si="120"/>
        <v>0</v>
      </c>
      <c r="AW178" s="1073">
        <f t="shared" si="121"/>
        <v>0</v>
      </c>
      <c r="AX178" s="107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3">
        <f t="shared" si="120"/>
        <v>0</v>
      </c>
      <c r="AW179" s="1073">
        <f t="shared" si="121"/>
        <v>0</v>
      </c>
      <c r="AX179" s="107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3">
        <f t="shared" si="120"/>
        <v>0</v>
      </c>
      <c r="AW180" s="1073">
        <f t="shared" si="121"/>
        <v>0</v>
      </c>
      <c r="AX180" s="107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3">
        <f t="shared" si="120"/>
        <v>0</v>
      </c>
      <c r="AW181" s="1073">
        <f t="shared" si="121"/>
        <v>0</v>
      </c>
      <c r="AX181" s="107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3">
        <f t="shared" si="120"/>
        <v>0</v>
      </c>
      <c r="AW182" s="1073">
        <f t="shared" si="121"/>
        <v>0</v>
      </c>
      <c r="AX182" s="107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3">
        <f t="shared" si="120"/>
        <v>0</v>
      </c>
      <c r="AW183" s="1073">
        <f t="shared" si="121"/>
        <v>0</v>
      </c>
      <c r="AX183" s="107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3">
        <f t="shared" si="120"/>
        <v>0</v>
      </c>
      <c r="AW184" s="1073">
        <f t="shared" si="121"/>
        <v>0</v>
      </c>
      <c r="AX184" s="107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3">
        <f t="shared" si="120"/>
        <v>0</v>
      </c>
      <c r="AW185" s="1073">
        <f t="shared" si="121"/>
        <v>0</v>
      </c>
      <c r="AX185" s="107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3">
        <f t="shared" si="120"/>
        <v>0</v>
      </c>
      <c r="AW186" s="1073">
        <f t="shared" si="121"/>
        <v>0</v>
      </c>
      <c r="AX186" s="107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3">
        <f t="shared" si="120"/>
        <v>0</v>
      </c>
      <c r="AW187" s="1073">
        <f t="shared" si="121"/>
        <v>0</v>
      </c>
      <c r="AX187" s="107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3">
        <f t="shared" si="120"/>
        <v>0</v>
      </c>
      <c r="AW188" s="1073">
        <f t="shared" si="121"/>
        <v>0</v>
      </c>
      <c r="AX188" s="107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3">
        <f t="shared" si="120"/>
        <v>0</v>
      </c>
      <c r="AW189" s="1073">
        <f t="shared" si="121"/>
        <v>0</v>
      </c>
      <c r="AX189" s="107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3">
        <f t="shared" si="120"/>
        <v>0</v>
      </c>
      <c r="AW190" s="1073">
        <f t="shared" si="121"/>
        <v>0</v>
      </c>
      <c r="AX190" s="107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3">
        <f t="shared" si="120"/>
        <v>0</v>
      </c>
      <c r="AW191" s="1073">
        <f t="shared" si="121"/>
        <v>0</v>
      </c>
      <c r="AX191" s="107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3">
        <f t="shared" si="120"/>
        <v>0</v>
      </c>
      <c r="AW192" s="1073">
        <f t="shared" si="121"/>
        <v>0</v>
      </c>
      <c r="AX192" s="107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3">
        <f t="shared" si="120"/>
        <v>0</v>
      </c>
      <c r="AW193" s="1073">
        <f t="shared" si="121"/>
        <v>0</v>
      </c>
      <c r="AX193" s="107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3">
        <f t="shared" si="120"/>
        <v>0</v>
      </c>
      <c r="AW194" s="1073">
        <f t="shared" si="121"/>
        <v>0</v>
      </c>
      <c r="AX194" s="107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3">
        <f t="shared" si="120"/>
        <v>0</v>
      </c>
      <c r="AW195" s="1073">
        <f t="shared" si="121"/>
        <v>0</v>
      </c>
      <c r="AX195" s="107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3">
        <f t="shared" si="120"/>
        <v>0</v>
      </c>
      <c r="AW196" s="1073">
        <f t="shared" si="121"/>
        <v>0</v>
      </c>
      <c r="AX196" s="107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3">
        <f t="shared" si="120"/>
        <v>0</v>
      </c>
      <c r="AW197" s="1073">
        <f t="shared" si="121"/>
        <v>0</v>
      </c>
      <c r="AX197" s="107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3">
        <f t="shared" si="120"/>
        <v>0</v>
      </c>
      <c r="AW198" s="1073">
        <f t="shared" si="121"/>
        <v>0</v>
      </c>
      <c r="AX198" s="107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3">
        <f t="shared" si="120"/>
        <v>0</v>
      </c>
      <c r="AW199" s="1073">
        <f t="shared" si="121"/>
        <v>0</v>
      </c>
      <c r="AX199" s="107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3">
        <f t="shared" si="120"/>
        <v>0</v>
      </c>
      <c r="AW200" s="1073">
        <f t="shared" si="121"/>
        <v>0</v>
      </c>
      <c r="AX200" s="107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3">
        <f t="shared" si="120"/>
        <v>0</v>
      </c>
      <c r="AW201" s="1073">
        <f t="shared" si="121"/>
        <v>0</v>
      </c>
      <c r="AX201" s="107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3">
        <f t="shared" si="120"/>
        <v>0</v>
      </c>
      <c r="AW202" s="1073">
        <f t="shared" si="121"/>
        <v>0</v>
      </c>
      <c r="AX202" s="107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3">
        <f t="shared" si="120"/>
        <v>0</v>
      </c>
      <c r="AW203" s="1073">
        <f t="shared" si="121"/>
        <v>0</v>
      </c>
      <c r="AX203" s="107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3">
        <f t="shared" si="120"/>
        <v>0</v>
      </c>
      <c r="AW204" s="1073">
        <f t="shared" si="121"/>
        <v>0</v>
      </c>
      <c r="AX204" s="107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3">
        <f t="shared" si="120"/>
        <v>0</v>
      </c>
      <c r="AW205" s="1073">
        <f t="shared" si="121"/>
        <v>0</v>
      </c>
      <c r="AX205" s="107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3">
        <f t="shared" si="120"/>
        <v>0</v>
      </c>
      <c r="AW206" s="1073">
        <f t="shared" si="121"/>
        <v>0</v>
      </c>
      <c r="AX206" s="107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3">
        <f t="shared" si="120"/>
        <v>0</v>
      </c>
      <c r="AW207" s="1073">
        <f t="shared" si="121"/>
        <v>0</v>
      </c>
      <c r="AX207" s="107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3">
        <f t="shared" ref="AV208:AV302" si="127">A208</f>
        <v>0</v>
      </c>
      <c r="AW208" s="1073">
        <f t="shared" ref="AW208:AW302" si="128">B208</f>
        <v>0</v>
      </c>
      <c r="AX208" s="107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3">
        <f t="shared" si="127"/>
        <v>0</v>
      </c>
      <c r="AW209" s="1073">
        <f t="shared" si="128"/>
        <v>0</v>
      </c>
      <c r="AX209" s="107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3">
        <f t="shared" si="127"/>
        <v>0</v>
      </c>
      <c r="AW210" s="1073">
        <f t="shared" si="128"/>
        <v>0</v>
      </c>
      <c r="AX210" s="107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3">
        <f t="shared" si="127"/>
        <v>0</v>
      </c>
      <c r="AW211" s="1073">
        <f t="shared" si="128"/>
        <v>0</v>
      </c>
      <c r="AX211" s="107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3">
        <f t="shared" si="127"/>
        <v>0</v>
      </c>
      <c r="AW212" s="1073">
        <f t="shared" si="128"/>
        <v>0</v>
      </c>
      <c r="AX212" s="107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3">
        <f t="shared" si="127"/>
        <v>0</v>
      </c>
      <c r="AW213" s="1073">
        <f t="shared" si="128"/>
        <v>0</v>
      </c>
      <c r="AX213" s="107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3">
        <f t="shared" si="127"/>
        <v>0</v>
      </c>
      <c r="AW214" s="1073">
        <f t="shared" si="128"/>
        <v>0</v>
      </c>
      <c r="AX214" s="107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3">
        <f t="shared" si="127"/>
        <v>0</v>
      </c>
      <c r="AW215" s="1073">
        <f t="shared" si="128"/>
        <v>0</v>
      </c>
      <c r="AX215" s="107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3">
        <f t="shared" si="127"/>
        <v>0</v>
      </c>
      <c r="AW216" s="1073">
        <f t="shared" si="128"/>
        <v>0</v>
      </c>
      <c r="AX216" s="107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3">
        <f t="shared" si="127"/>
        <v>0</v>
      </c>
      <c r="AW217" s="1073">
        <f t="shared" si="128"/>
        <v>0</v>
      </c>
      <c r="AX217" s="107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3">
        <f t="shared" si="127"/>
        <v>0</v>
      </c>
      <c r="AW218" s="1073">
        <f t="shared" si="128"/>
        <v>0</v>
      </c>
      <c r="AX218" s="107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3">
        <f t="shared" si="127"/>
        <v>0</v>
      </c>
      <c r="AW219" s="1073">
        <f t="shared" si="128"/>
        <v>0</v>
      </c>
      <c r="AX219" s="107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3">
        <f t="shared" si="127"/>
        <v>0</v>
      </c>
      <c r="AW220" s="1073">
        <f t="shared" si="128"/>
        <v>0</v>
      </c>
      <c r="AX220" s="107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3">
        <f t="shared" si="127"/>
        <v>0</v>
      </c>
      <c r="AW221" s="1073">
        <f t="shared" si="128"/>
        <v>0</v>
      </c>
      <c r="AX221" s="107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3">
        <f t="shared" si="127"/>
        <v>0</v>
      </c>
      <c r="AW222" s="1073">
        <f t="shared" si="128"/>
        <v>0</v>
      </c>
      <c r="AX222" s="107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3">
        <f t="shared" si="127"/>
        <v>0</v>
      </c>
      <c r="AW223" s="1073">
        <f t="shared" si="128"/>
        <v>0</v>
      </c>
      <c r="AX223" s="107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3">
        <f t="shared" si="127"/>
        <v>0</v>
      </c>
      <c r="AW224" s="1073">
        <f t="shared" si="128"/>
        <v>0</v>
      </c>
      <c r="AX224" s="107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3">
        <f t="shared" si="127"/>
        <v>0</v>
      </c>
      <c r="AW225" s="1073">
        <f t="shared" si="128"/>
        <v>0</v>
      </c>
      <c r="AX225" s="107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3">
        <f t="shared" si="127"/>
        <v>0</v>
      </c>
      <c r="AW226" s="1073">
        <f t="shared" si="128"/>
        <v>0</v>
      </c>
      <c r="AX226" s="107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3">
        <f t="shared" si="127"/>
        <v>0</v>
      </c>
      <c r="AW227" s="1073">
        <f t="shared" si="128"/>
        <v>0</v>
      </c>
      <c r="AX227" s="107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3">
        <f t="shared" si="127"/>
        <v>0</v>
      </c>
      <c r="AW228" s="1073">
        <f t="shared" si="128"/>
        <v>0</v>
      </c>
      <c r="AX228" s="107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3">
        <f t="shared" si="127"/>
        <v>0</v>
      </c>
      <c r="AW229" s="1073">
        <f t="shared" si="128"/>
        <v>0</v>
      </c>
      <c r="AX229" s="107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3">
        <f t="shared" si="127"/>
        <v>0</v>
      </c>
      <c r="AW230" s="1073">
        <f t="shared" si="128"/>
        <v>0</v>
      </c>
      <c r="AX230" s="107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3">
        <f t="shared" si="127"/>
        <v>0</v>
      </c>
      <c r="AW231" s="1073">
        <f t="shared" si="128"/>
        <v>0</v>
      </c>
      <c r="AX231" s="107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3">
        <f t="shared" si="127"/>
        <v>0</v>
      </c>
      <c r="AW232" s="1073">
        <f t="shared" si="128"/>
        <v>0</v>
      </c>
      <c r="AX232" s="107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3">
        <f t="shared" si="127"/>
        <v>0</v>
      </c>
      <c r="AW233" s="1073">
        <f t="shared" si="128"/>
        <v>0</v>
      </c>
      <c r="AX233" s="107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3">
        <f t="shared" si="127"/>
        <v>0</v>
      </c>
      <c r="AW234" s="1073">
        <f t="shared" si="128"/>
        <v>0</v>
      </c>
      <c r="AX234" s="107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3">
        <f t="shared" si="127"/>
        <v>0</v>
      </c>
      <c r="AW235" s="1073">
        <f t="shared" si="128"/>
        <v>0</v>
      </c>
      <c r="AX235" s="107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3">
        <f t="shared" si="127"/>
        <v>0</v>
      </c>
      <c r="AW236" s="1073">
        <f t="shared" si="128"/>
        <v>0</v>
      </c>
      <c r="AX236" s="107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3">
        <f t="shared" si="127"/>
        <v>0</v>
      </c>
      <c r="AW237" s="1073">
        <f t="shared" si="128"/>
        <v>0</v>
      </c>
      <c r="AX237" s="107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3">
        <f t="shared" si="127"/>
        <v>0</v>
      </c>
      <c r="AW238" s="1073">
        <f t="shared" si="128"/>
        <v>0</v>
      </c>
      <c r="AX238" s="107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3">
        <f t="shared" si="127"/>
        <v>0</v>
      </c>
      <c r="AW239" s="1073">
        <f t="shared" si="128"/>
        <v>0</v>
      </c>
      <c r="AX239" s="107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3">
        <f t="shared" si="127"/>
        <v>0</v>
      </c>
      <c r="AW240" s="1073">
        <f t="shared" si="128"/>
        <v>0</v>
      </c>
      <c r="AX240" s="107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3">
        <f t="shared" si="127"/>
        <v>0</v>
      </c>
      <c r="AW241" s="1073">
        <f t="shared" si="128"/>
        <v>0</v>
      </c>
      <c r="AX241" s="107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3">
        <f t="shared" si="127"/>
        <v>0</v>
      </c>
      <c r="AW242" s="1073">
        <f t="shared" si="128"/>
        <v>0</v>
      </c>
      <c r="AX242" s="107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3">
        <f t="shared" si="127"/>
        <v>0</v>
      </c>
      <c r="AW243" s="1073">
        <f t="shared" si="128"/>
        <v>0</v>
      </c>
      <c r="AX243" s="107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3">
        <f t="shared" si="127"/>
        <v>0</v>
      </c>
      <c r="AW244" s="1073">
        <f t="shared" si="128"/>
        <v>0</v>
      </c>
      <c r="AX244" s="107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3">
        <f t="shared" si="127"/>
        <v>0</v>
      </c>
      <c r="AW245" s="1073">
        <f t="shared" si="128"/>
        <v>0</v>
      </c>
      <c r="AX245" s="107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3">
        <f t="shared" si="127"/>
        <v>0</v>
      </c>
      <c r="AW246" s="1073">
        <f t="shared" si="128"/>
        <v>0</v>
      </c>
      <c r="AX246" s="107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3">
        <f t="shared" si="127"/>
        <v>0</v>
      </c>
      <c r="AW247" s="1073">
        <f t="shared" si="128"/>
        <v>0</v>
      </c>
      <c r="AX247" s="107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3">
        <f t="shared" si="127"/>
        <v>0</v>
      </c>
      <c r="AW248" s="1073">
        <f t="shared" si="128"/>
        <v>0</v>
      </c>
      <c r="AX248" s="107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3">
        <f t="shared" si="127"/>
        <v>0</v>
      </c>
      <c r="AW249" s="1073">
        <f t="shared" si="128"/>
        <v>0</v>
      </c>
      <c r="AX249" s="107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3">
        <f t="shared" si="127"/>
        <v>0</v>
      </c>
      <c r="AW250" s="1073">
        <f t="shared" si="128"/>
        <v>0</v>
      </c>
      <c r="AX250" s="107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3">
        <f t="shared" si="127"/>
        <v>0</v>
      </c>
      <c r="AW251" s="1073">
        <f t="shared" si="128"/>
        <v>0</v>
      </c>
      <c r="AX251" s="107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3">
        <f t="shared" si="127"/>
        <v>0</v>
      </c>
      <c r="AW252" s="1073">
        <f t="shared" si="128"/>
        <v>0</v>
      </c>
      <c r="AX252" s="107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3">
        <f t="shared" si="127"/>
        <v>0</v>
      </c>
      <c r="AW253" s="1073">
        <f t="shared" si="128"/>
        <v>0</v>
      </c>
      <c r="AX253" s="107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3">
        <f t="shared" si="127"/>
        <v>0</v>
      </c>
      <c r="AW254" s="1073">
        <f t="shared" si="128"/>
        <v>0</v>
      </c>
      <c r="AX254" s="107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3">
        <f t="shared" si="127"/>
        <v>0</v>
      </c>
      <c r="AW255" s="1073">
        <f t="shared" si="128"/>
        <v>0</v>
      </c>
      <c r="AX255" s="107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3">
        <f t="shared" si="127"/>
        <v>0</v>
      </c>
      <c r="AW256" s="1073">
        <f t="shared" si="128"/>
        <v>0</v>
      </c>
      <c r="AX256" s="107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3">
        <f t="shared" si="127"/>
        <v>0</v>
      </c>
      <c r="AW257" s="1073">
        <f t="shared" si="128"/>
        <v>0</v>
      </c>
      <c r="AX257" s="107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3">
        <f t="shared" si="127"/>
        <v>0</v>
      </c>
      <c r="AW258" s="1073">
        <f t="shared" si="128"/>
        <v>0</v>
      </c>
      <c r="AX258" s="107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3">
        <f t="shared" si="127"/>
        <v>0</v>
      </c>
      <c r="AW259" s="1073">
        <f t="shared" si="128"/>
        <v>0</v>
      </c>
      <c r="AX259" s="107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3">
        <f t="shared" si="127"/>
        <v>0</v>
      </c>
      <c r="AW260" s="1073">
        <f t="shared" si="128"/>
        <v>0</v>
      </c>
      <c r="AX260" s="107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3">
        <f t="shared" si="127"/>
        <v>0</v>
      </c>
      <c r="AW261" s="1073">
        <f t="shared" si="128"/>
        <v>0</v>
      </c>
      <c r="AX261" s="107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3">
        <f t="shared" si="127"/>
        <v>0</v>
      </c>
      <c r="AW262" s="1073">
        <f t="shared" si="128"/>
        <v>0</v>
      </c>
      <c r="AX262" s="107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3">
        <f t="shared" si="127"/>
        <v>0</v>
      </c>
      <c r="AW263" s="1073">
        <f t="shared" si="128"/>
        <v>0</v>
      </c>
      <c r="AX263" s="107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3">
        <f t="shared" si="127"/>
        <v>0</v>
      </c>
      <c r="AW264" s="1073">
        <f t="shared" si="128"/>
        <v>0</v>
      </c>
      <c r="AX264" s="107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3">
        <f t="shared" si="127"/>
        <v>0</v>
      </c>
      <c r="AW265" s="1073">
        <f t="shared" si="128"/>
        <v>0</v>
      </c>
      <c r="AX265" s="107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3">
        <f t="shared" si="127"/>
        <v>0</v>
      </c>
      <c r="AW266" s="1073">
        <f t="shared" si="128"/>
        <v>0</v>
      </c>
      <c r="AX266" s="107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3">
        <f t="shared" si="127"/>
        <v>0</v>
      </c>
      <c r="AW267" s="1073">
        <f t="shared" si="128"/>
        <v>0</v>
      </c>
      <c r="AX267" s="107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3">
        <f t="shared" si="127"/>
        <v>0</v>
      </c>
      <c r="AW268" s="1073">
        <f t="shared" si="128"/>
        <v>0</v>
      </c>
      <c r="AX268" s="107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3">
        <f t="shared" si="127"/>
        <v>0</v>
      </c>
      <c r="AW269" s="1073">
        <f t="shared" si="128"/>
        <v>0</v>
      </c>
      <c r="AX269" s="107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3">
        <f t="shared" si="127"/>
        <v>0</v>
      </c>
      <c r="AW270" s="1073">
        <f t="shared" si="128"/>
        <v>0</v>
      </c>
      <c r="AX270" s="107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3">
        <f t="shared" si="127"/>
        <v>0</v>
      </c>
      <c r="AW271" s="1073">
        <f t="shared" si="128"/>
        <v>0</v>
      </c>
      <c r="AX271" s="107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3">
        <f t="shared" si="127"/>
        <v>0</v>
      </c>
      <c r="AW272" s="1073">
        <f t="shared" si="128"/>
        <v>0</v>
      </c>
      <c r="AX272" s="107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3">
        <f t="shared" si="127"/>
        <v>0</v>
      </c>
      <c r="AW273" s="1073">
        <f t="shared" si="128"/>
        <v>0</v>
      </c>
      <c r="AX273" s="107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3">
        <f t="shared" si="127"/>
        <v>0</v>
      </c>
      <c r="AW274" s="1073">
        <f t="shared" si="128"/>
        <v>0</v>
      </c>
      <c r="AX274" s="107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3">
        <f t="shared" si="127"/>
        <v>0</v>
      </c>
      <c r="AW275" s="1073">
        <f t="shared" si="128"/>
        <v>0</v>
      </c>
      <c r="AX275" s="107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3">
        <f t="shared" si="127"/>
        <v>0</v>
      </c>
      <c r="AW276" s="1073">
        <f t="shared" si="128"/>
        <v>0</v>
      </c>
      <c r="AX276" s="107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3">
        <f t="shared" si="127"/>
        <v>0</v>
      </c>
      <c r="AW277" s="1073">
        <f t="shared" si="128"/>
        <v>0</v>
      </c>
      <c r="AX277" s="107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3">
        <f t="shared" si="127"/>
        <v>0</v>
      </c>
      <c r="AW278" s="1073">
        <f t="shared" si="128"/>
        <v>0</v>
      </c>
      <c r="AX278" s="107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3">
        <f t="shared" si="127"/>
        <v>0</v>
      </c>
      <c r="AW279" s="1073">
        <f t="shared" si="128"/>
        <v>0</v>
      </c>
      <c r="AX279" s="107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3">
        <f t="shared" si="127"/>
        <v>0</v>
      </c>
      <c r="AW280" s="1073">
        <f t="shared" si="128"/>
        <v>0</v>
      </c>
      <c r="AX280" s="107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3">
        <f t="shared" si="127"/>
        <v>0</v>
      </c>
      <c r="AW281" s="1073">
        <f t="shared" si="128"/>
        <v>0</v>
      </c>
      <c r="AX281" s="107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3">
        <f t="shared" si="127"/>
        <v>0</v>
      </c>
      <c r="AW282" s="1073">
        <f t="shared" si="128"/>
        <v>0</v>
      </c>
      <c r="AX282" s="107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3">
        <f t="shared" si="127"/>
        <v>0</v>
      </c>
      <c r="AW283" s="1073">
        <f t="shared" si="128"/>
        <v>0</v>
      </c>
      <c r="AX283" s="107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3">
        <f t="shared" si="127"/>
        <v>0</v>
      </c>
      <c r="AW284" s="1073">
        <f t="shared" si="128"/>
        <v>0</v>
      </c>
      <c r="AX284" s="107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3">
        <f t="shared" si="127"/>
        <v>0</v>
      </c>
      <c r="AW285" s="1073">
        <f t="shared" si="128"/>
        <v>0</v>
      </c>
      <c r="AX285" s="107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3">
        <f t="shared" si="127"/>
        <v>0</v>
      </c>
      <c r="AW286" s="1073">
        <f t="shared" si="128"/>
        <v>0</v>
      </c>
      <c r="AX286" s="107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3">
        <f t="shared" si="127"/>
        <v>0</v>
      </c>
      <c r="AW287" s="1073">
        <f t="shared" si="128"/>
        <v>0</v>
      </c>
      <c r="AX287" s="107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3">
        <f t="shared" si="127"/>
        <v>0</v>
      </c>
      <c r="AW288" s="1073">
        <f t="shared" si="128"/>
        <v>0</v>
      </c>
      <c r="AX288" s="107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3">
        <f t="shared" si="127"/>
        <v>0</v>
      </c>
      <c r="AW289" s="1073">
        <f t="shared" si="128"/>
        <v>0</v>
      </c>
      <c r="AX289" s="107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3">
        <f t="shared" si="127"/>
        <v>0</v>
      </c>
      <c r="AW290" s="1073">
        <f t="shared" si="128"/>
        <v>0</v>
      </c>
      <c r="AX290" s="107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3">
        <f t="shared" si="127"/>
        <v>0</v>
      </c>
      <c r="AW291" s="1073">
        <f t="shared" si="128"/>
        <v>0</v>
      </c>
      <c r="AX291" s="107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3">
        <f t="shared" si="127"/>
        <v>0</v>
      </c>
      <c r="AW292" s="1073">
        <f t="shared" si="128"/>
        <v>0</v>
      </c>
      <c r="AX292" s="107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3">
        <f t="shared" si="127"/>
        <v>0</v>
      </c>
      <c r="AW293" s="1073">
        <f t="shared" si="128"/>
        <v>0</v>
      </c>
      <c r="AX293" s="107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3">
        <f t="shared" si="127"/>
        <v>0</v>
      </c>
      <c r="AW294" s="1073">
        <f t="shared" si="128"/>
        <v>0</v>
      </c>
      <c r="AX294" s="107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3">
        <f t="shared" si="127"/>
        <v>0</v>
      </c>
      <c r="AW295" s="1073">
        <f t="shared" si="128"/>
        <v>0</v>
      </c>
      <c r="AX295" s="107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3">
        <f t="shared" si="127"/>
        <v>0</v>
      </c>
      <c r="AW296" s="1073">
        <f t="shared" si="128"/>
        <v>0</v>
      </c>
      <c r="AX296" s="107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3">
        <f t="shared" si="127"/>
        <v>0</v>
      </c>
      <c r="AW297" s="1073">
        <f t="shared" si="128"/>
        <v>0</v>
      </c>
      <c r="AX297" s="107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3">
        <f t="shared" si="127"/>
        <v>0</v>
      </c>
      <c r="AW298" s="1073">
        <f t="shared" si="128"/>
        <v>0</v>
      </c>
      <c r="AX298" s="107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3">
        <f t="shared" si="127"/>
        <v>0</v>
      </c>
      <c r="AW299" s="1073">
        <f t="shared" si="128"/>
        <v>0</v>
      </c>
      <c r="AX299" s="107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3">
        <f t="shared" si="127"/>
        <v>0</v>
      </c>
      <c r="AW300" s="1073">
        <f t="shared" si="128"/>
        <v>0</v>
      </c>
      <c r="AX300" s="107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3">
        <f t="shared" si="127"/>
        <v>0</v>
      </c>
      <c r="AW301" s="1073">
        <f t="shared" si="128"/>
        <v>0</v>
      </c>
      <c r="AX301" s="107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3">
        <f t="shared" si="127"/>
        <v>0</v>
      </c>
      <c r="AW302" s="1073">
        <f t="shared" si="128"/>
        <v>0</v>
      </c>
      <c r="AX302" s="107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3">
        <f t="shared" ref="AV303:AV334" si="178">A303</f>
        <v>0</v>
      </c>
      <c r="AW303" s="1073">
        <f t="shared" ref="AW303:AW334" si="179">B303</f>
        <v>0</v>
      </c>
      <c r="AX303" s="107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3">
        <f t="shared" si="178"/>
        <v>0</v>
      </c>
      <c r="AW304" s="1073">
        <f t="shared" si="179"/>
        <v>0</v>
      </c>
      <c r="AX304" s="107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3">
        <f t="shared" si="178"/>
        <v>0</v>
      </c>
      <c r="AW305" s="1073">
        <f t="shared" si="179"/>
        <v>0</v>
      </c>
      <c r="AX305" s="107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3">
        <f t="shared" si="178"/>
        <v>0</v>
      </c>
      <c r="AW306" s="1073">
        <f t="shared" si="179"/>
        <v>0</v>
      </c>
      <c r="AX306" s="107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3">
        <f t="shared" si="178"/>
        <v>0</v>
      </c>
      <c r="AW307" s="1073">
        <f t="shared" si="179"/>
        <v>0</v>
      </c>
      <c r="AX307" s="107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3">
        <f t="shared" si="178"/>
        <v>0</v>
      </c>
      <c r="AW308" s="1073">
        <f t="shared" si="179"/>
        <v>0</v>
      </c>
      <c r="AX308" s="107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3">
        <f t="shared" si="178"/>
        <v>0</v>
      </c>
      <c r="AW309" s="1073">
        <f t="shared" si="179"/>
        <v>0</v>
      </c>
      <c r="AX309" s="107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3">
        <f t="shared" si="178"/>
        <v>0</v>
      </c>
      <c r="AW310" s="1073">
        <f t="shared" si="179"/>
        <v>0</v>
      </c>
      <c r="AX310" s="107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3">
        <f t="shared" si="178"/>
        <v>0</v>
      </c>
      <c r="AW311" s="1073">
        <f t="shared" si="179"/>
        <v>0</v>
      </c>
      <c r="AX311" s="107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3">
        <f t="shared" si="178"/>
        <v>0</v>
      </c>
      <c r="AW312" s="1073">
        <f t="shared" si="179"/>
        <v>0</v>
      </c>
      <c r="AX312" s="107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3">
        <f t="shared" si="178"/>
        <v>0</v>
      </c>
      <c r="AW313" s="1073">
        <f t="shared" si="179"/>
        <v>0</v>
      </c>
      <c r="AX313" s="107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3">
        <f t="shared" si="178"/>
        <v>0</v>
      </c>
      <c r="AW314" s="1073">
        <f t="shared" si="179"/>
        <v>0</v>
      </c>
      <c r="AX314" s="107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3">
        <f t="shared" si="178"/>
        <v>0</v>
      </c>
      <c r="AW315" s="1073">
        <f t="shared" si="179"/>
        <v>0</v>
      </c>
      <c r="AX315" s="107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3">
        <f t="shared" si="178"/>
        <v>0</v>
      </c>
      <c r="AW316" s="1073">
        <f t="shared" si="179"/>
        <v>0</v>
      </c>
      <c r="AX316" s="107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3">
        <f t="shared" si="178"/>
        <v>0</v>
      </c>
      <c r="AW317" s="1073">
        <f t="shared" si="179"/>
        <v>0</v>
      </c>
      <c r="AX317" s="107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3">
        <f t="shared" si="178"/>
        <v>0</v>
      </c>
      <c r="AW318" s="1073">
        <f t="shared" si="179"/>
        <v>0</v>
      </c>
      <c r="AX318" s="107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3">
        <f t="shared" si="178"/>
        <v>0</v>
      </c>
      <c r="AW319" s="1073">
        <f t="shared" si="179"/>
        <v>0</v>
      </c>
      <c r="AX319" s="107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3">
        <f t="shared" si="178"/>
        <v>0</v>
      </c>
      <c r="AW320" s="1073">
        <f t="shared" si="179"/>
        <v>0</v>
      </c>
      <c r="AX320" s="107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3">
        <f t="shared" si="178"/>
        <v>0</v>
      </c>
      <c r="AW321" s="1073">
        <f t="shared" si="179"/>
        <v>0</v>
      </c>
      <c r="AX321" s="107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3">
        <f t="shared" si="178"/>
        <v>0</v>
      </c>
      <c r="AW322" s="1073">
        <f t="shared" si="179"/>
        <v>0</v>
      </c>
      <c r="AX322" s="107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3">
        <f t="shared" si="178"/>
        <v>0</v>
      </c>
      <c r="AW323" s="1073">
        <f t="shared" si="179"/>
        <v>0</v>
      </c>
      <c r="AX323" s="107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3">
        <f t="shared" si="178"/>
        <v>0</v>
      </c>
      <c r="AW324" s="1073">
        <f t="shared" si="179"/>
        <v>0</v>
      </c>
      <c r="AX324" s="107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3">
        <f t="shared" si="178"/>
        <v>0</v>
      </c>
      <c r="AW325" s="1073">
        <f t="shared" si="179"/>
        <v>0</v>
      </c>
      <c r="AX325" s="107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3">
        <f t="shared" si="178"/>
        <v>0</v>
      </c>
      <c r="AW326" s="1073">
        <f t="shared" si="179"/>
        <v>0</v>
      </c>
      <c r="AX326" s="107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3">
        <f t="shared" si="178"/>
        <v>0</v>
      </c>
      <c r="AW327" s="1073">
        <f t="shared" si="179"/>
        <v>0</v>
      </c>
      <c r="AX327" s="107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3">
        <f t="shared" si="178"/>
        <v>0</v>
      </c>
      <c r="AW328" s="1073">
        <f t="shared" si="179"/>
        <v>0</v>
      </c>
      <c r="AX328" s="107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3">
        <f t="shared" si="178"/>
        <v>0</v>
      </c>
      <c r="AW329" s="1073">
        <f t="shared" si="179"/>
        <v>0</v>
      </c>
      <c r="AX329" s="107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3">
        <f t="shared" si="178"/>
        <v>0</v>
      </c>
      <c r="AW330" s="1073">
        <f t="shared" si="179"/>
        <v>0</v>
      </c>
      <c r="AX330" s="107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3">
        <f t="shared" si="178"/>
        <v>0</v>
      </c>
      <c r="AW331" s="1073">
        <f t="shared" si="179"/>
        <v>0</v>
      </c>
      <c r="AX331" s="107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3">
        <f t="shared" si="178"/>
        <v>0</v>
      </c>
      <c r="AW332" s="1073">
        <f t="shared" si="179"/>
        <v>0</v>
      </c>
      <c r="AX332" s="107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3">
        <f t="shared" si="178"/>
        <v>0</v>
      </c>
      <c r="AW333" s="1073">
        <f t="shared" si="179"/>
        <v>0</v>
      </c>
      <c r="AX333" s="107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3">
        <f t="shared" si="178"/>
        <v>0</v>
      </c>
      <c r="AW334" s="1073">
        <f t="shared" si="179"/>
        <v>0</v>
      </c>
      <c r="AX334" s="107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3">
        <f t="shared" ref="AV335:AV366" si="207">A335</f>
        <v>0</v>
      </c>
      <c r="AW335" s="1073">
        <f t="shared" ref="AW335:AW366" si="208">B335</f>
        <v>0</v>
      </c>
      <c r="AX335" s="107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3">
        <f t="shared" si="207"/>
        <v>0</v>
      </c>
      <c r="AW336" s="1073">
        <f t="shared" si="208"/>
        <v>0</v>
      </c>
      <c r="AX336" s="107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3">
        <f t="shared" si="207"/>
        <v>0</v>
      </c>
      <c r="AW337" s="1073">
        <f t="shared" si="208"/>
        <v>0</v>
      </c>
      <c r="AX337" s="107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3">
        <f t="shared" si="207"/>
        <v>0</v>
      </c>
      <c r="AW338" s="1073">
        <f t="shared" si="208"/>
        <v>0</v>
      </c>
      <c r="AX338" s="107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3">
        <f t="shared" si="207"/>
        <v>0</v>
      </c>
      <c r="AW339" s="1073">
        <f t="shared" si="208"/>
        <v>0</v>
      </c>
      <c r="AX339" s="107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3">
        <f t="shared" si="207"/>
        <v>0</v>
      </c>
      <c r="AW340" s="1073">
        <f t="shared" si="208"/>
        <v>0</v>
      </c>
      <c r="AX340" s="107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3">
        <f t="shared" si="207"/>
        <v>0</v>
      </c>
      <c r="AW341" s="1073">
        <f t="shared" si="208"/>
        <v>0</v>
      </c>
      <c r="AX341" s="107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3">
        <f t="shared" si="207"/>
        <v>0</v>
      </c>
      <c r="AW342" s="1073">
        <f t="shared" si="208"/>
        <v>0</v>
      </c>
      <c r="AX342" s="107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3">
        <f t="shared" si="207"/>
        <v>0</v>
      </c>
      <c r="AW343" s="1073">
        <f t="shared" si="208"/>
        <v>0</v>
      </c>
      <c r="AX343" s="107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3">
        <f t="shared" si="207"/>
        <v>0</v>
      </c>
      <c r="AW344" s="1073">
        <f t="shared" si="208"/>
        <v>0</v>
      </c>
      <c r="AX344" s="107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3">
        <f t="shared" si="207"/>
        <v>0</v>
      </c>
      <c r="AW345" s="1073">
        <f t="shared" si="208"/>
        <v>0</v>
      </c>
      <c r="AX345" s="107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3">
        <f t="shared" si="207"/>
        <v>0</v>
      </c>
      <c r="AW346" s="1073">
        <f t="shared" si="208"/>
        <v>0</v>
      </c>
      <c r="AX346" s="107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3">
        <f t="shared" si="207"/>
        <v>0</v>
      </c>
      <c r="AW347" s="1073">
        <f t="shared" si="208"/>
        <v>0</v>
      </c>
      <c r="AX347" s="107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3">
        <f t="shared" si="207"/>
        <v>0</v>
      </c>
      <c r="AW348" s="1073">
        <f t="shared" si="208"/>
        <v>0</v>
      </c>
      <c r="AX348" s="107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3">
        <f t="shared" si="207"/>
        <v>0</v>
      </c>
      <c r="AW349" s="1073">
        <f t="shared" si="208"/>
        <v>0</v>
      </c>
      <c r="AX349" s="107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3">
        <f t="shared" si="207"/>
        <v>0</v>
      </c>
      <c r="AW350" s="1073">
        <f t="shared" si="208"/>
        <v>0</v>
      </c>
      <c r="AX350" s="107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3">
        <f t="shared" si="207"/>
        <v>0</v>
      </c>
      <c r="AW351" s="1073">
        <f t="shared" si="208"/>
        <v>0</v>
      </c>
      <c r="AX351" s="107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3">
        <f t="shared" si="207"/>
        <v>0</v>
      </c>
      <c r="AW352" s="1073">
        <f t="shared" si="208"/>
        <v>0</v>
      </c>
      <c r="AX352" s="107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3">
        <f t="shared" si="207"/>
        <v>0</v>
      </c>
      <c r="AW353" s="1073">
        <f t="shared" si="208"/>
        <v>0</v>
      </c>
      <c r="AX353" s="107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3">
        <f t="shared" si="207"/>
        <v>0</v>
      </c>
      <c r="AW354" s="1073">
        <f t="shared" si="208"/>
        <v>0</v>
      </c>
      <c r="AX354" s="107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3">
        <f t="shared" si="207"/>
        <v>0</v>
      </c>
      <c r="AW355" s="1073">
        <f t="shared" si="208"/>
        <v>0</v>
      </c>
      <c r="AX355" s="107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3">
        <f t="shared" si="207"/>
        <v>0</v>
      </c>
      <c r="AW356" s="1073">
        <f t="shared" si="208"/>
        <v>0</v>
      </c>
      <c r="AX356" s="107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3">
        <f t="shared" si="207"/>
        <v>0</v>
      </c>
      <c r="AW357" s="1073">
        <f t="shared" si="208"/>
        <v>0</v>
      </c>
      <c r="AX357" s="107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3">
        <f t="shared" si="207"/>
        <v>0</v>
      </c>
      <c r="AW358" s="1073">
        <f t="shared" si="208"/>
        <v>0</v>
      </c>
      <c r="AX358" s="107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3">
        <f t="shared" si="207"/>
        <v>0</v>
      </c>
      <c r="AW359" s="1073">
        <f t="shared" si="208"/>
        <v>0</v>
      </c>
      <c r="AX359" s="107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3">
        <f t="shared" si="207"/>
        <v>0</v>
      </c>
      <c r="AW360" s="1073">
        <f t="shared" si="208"/>
        <v>0</v>
      </c>
      <c r="AX360" s="107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3">
        <f t="shared" si="207"/>
        <v>0</v>
      </c>
      <c r="AW361" s="1073">
        <f t="shared" si="208"/>
        <v>0</v>
      </c>
      <c r="AX361" s="107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3">
        <f t="shared" si="207"/>
        <v>0</v>
      </c>
      <c r="AW362" s="1073">
        <f t="shared" si="208"/>
        <v>0</v>
      </c>
      <c r="AX362" s="107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3">
        <f t="shared" si="207"/>
        <v>0</v>
      </c>
      <c r="AW363" s="1073">
        <f t="shared" si="208"/>
        <v>0</v>
      </c>
      <c r="AX363" s="107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3">
        <f t="shared" si="207"/>
        <v>0</v>
      </c>
      <c r="AW364" s="1073">
        <f t="shared" si="208"/>
        <v>0</v>
      </c>
      <c r="AX364" s="107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3">
        <f t="shared" si="207"/>
        <v>0</v>
      </c>
      <c r="AW365" s="1073">
        <f t="shared" si="208"/>
        <v>0</v>
      </c>
      <c r="AX365" s="107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3">
        <f t="shared" si="207"/>
        <v>0</v>
      </c>
      <c r="AW366" s="1073">
        <f t="shared" si="208"/>
        <v>0</v>
      </c>
      <c r="AX366" s="107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3">
        <f t="shared" ref="AV367:AV397" si="236">A367</f>
        <v>0</v>
      </c>
      <c r="AW367" s="1073">
        <f t="shared" ref="AW367:AW397" si="237">B367</f>
        <v>0</v>
      </c>
      <c r="AX367" s="107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3">
        <f t="shared" si="236"/>
        <v>0</v>
      </c>
      <c r="AW368" s="1073">
        <f t="shared" si="237"/>
        <v>0</v>
      </c>
      <c r="AX368" s="107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3">
        <f t="shared" si="236"/>
        <v>0</v>
      </c>
      <c r="AW369" s="1073">
        <f t="shared" si="237"/>
        <v>0</v>
      </c>
      <c r="AX369" s="107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3">
        <f t="shared" si="236"/>
        <v>0</v>
      </c>
      <c r="AW370" s="1073">
        <f t="shared" si="237"/>
        <v>0</v>
      </c>
      <c r="AX370" s="107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3">
        <f t="shared" si="236"/>
        <v>0</v>
      </c>
      <c r="AW371" s="1073">
        <f t="shared" si="237"/>
        <v>0</v>
      </c>
      <c r="AX371" s="107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3">
        <f t="shared" si="236"/>
        <v>0</v>
      </c>
      <c r="AW372" s="1073">
        <f t="shared" si="237"/>
        <v>0</v>
      </c>
      <c r="AX372" s="107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3">
        <f t="shared" si="236"/>
        <v>0</v>
      </c>
      <c r="AW373" s="1073">
        <f t="shared" si="237"/>
        <v>0</v>
      </c>
      <c r="AX373" s="107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3">
        <f t="shared" si="236"/>
        <v>0</v>
      </c>
      <c r="AW374" s="1073">
        <f t="shared" si="237"/>
        <v>0</v>
      </c>
      <c r="AX374" s="107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3">
        <f t="shared" si="236"/>
        <v>0</v>
      </c>
      <c r="AW375" s="1073">
        <f t="shared" si="237"/>
        <v>0</v>
      </c>
      <c r="AX375" s="107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3">
        <f t="shared" si="236"/>
        <v>0</v>
      </c>
      <c r="AW376" s="1073">
        <f t="shared" si="237"/>
        <v>0</v>
      </c>
      <c r="AX376" s="107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3">
        <f t="shared" si="236"/>
        <v>0</v>
      </c>
      <c r="AW377" s="1073">
        <f t="shared" si="237"/>
        <v>0</v>
      </c>
      <c r="AX377" s="107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3">
        <f t="shared" si="236"/>
        <v>0</v>
      </c>
      <c r="AW378" s="1073">
        <f t="shared" si="237"/>
        <v>0</v>
      </c>
      <c r="AX378" s="107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3">
        <f t="shared" si="236"/>
        <v>0</v>
      </c>
      <c r="AW379" s="1073">
        <f t="shared" si="237"/>
        <v>0</v>
      </c>
      <c r="AX379" s="107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3">
        <f t="shared" si="236"/>
        <v>0</v>
      </c>
      <c r="AW380" s="1073">
        <f t="shared" si="237"/>
        <v>0</v>
      </c>
      <c r="AX380" s="107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3">
        <f t="shared" si="236"/>
        <v>0</v>
      </c>
      <c r="AW381" s="1073">
        <f t="shared" si="237"/>
        <v>0</v>
      </c>
      <c r="AX381" s="107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3">
        <f t="shared" si="236"/>
        <v>0</v>
      </c>
      <c r="AW382" s="1073">
        <f t="shared" si="237"/>
        <v>0</v>
      </c>
      <c r="AX382" s="107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3">
        <f t="shared" si="236"/>
        <v>0</v>
      </c>
      <c r="AW383" s="1073">
        <f t="shared" si="237"/>
        <v>0</v>
      </c>
      <c r="AX383" s="107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3">
        <f t="shared" si="236"/>
        <v>0</v>
      </c>
      <c r="AW384" s="1073">
        <f t="shared" si="237"/>
        <v>0</v>
      </c>
      <c r="AX384" s="107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3">
        <f t="shared" si="236"/>
        <v>0</v>
      </c>
      <c r="AW385" s="1073">
        <f t="shared" si="237"/>
        <v>0</v>
      </c>
      <c r="AX385" s="107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3">
        <f t="shared" si="236"/>
        <v>0</v>
      </c>
      <c r="AW386" s="1073">
        <f t="shared" si="237"/>
        <v>0</v>
      </c>
      <c r="AX386" s="107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3">
        <f t="shared" si="236"/>
        <v>0</v>
      </c>
      <c r="AW387" s="1073">
        <f t="shared" si="237"/>
        <v>0</v>
      </c>
      <c r="AX387" s="107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3">
        <f t="shared" si="236"/>
        <v>0</v>
      </c>
      <c r="AW388" s="1073">
        <f t="shared" si="237"/>
        <v>0</v>
      </c>
      <c r="AX388" s="107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3">
        <f t="shared" si="236"/>
        <v>0</v>
      </c>
      <c r="AW389" s="1073">
        <f t="shared" si="237"/>
        <v>0</v>
      </c>
      <c r="AX389" s="107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3">
        <f t="shared" si="236"/>
        <v>0</v>
      </c>
      <c r="AW390" s="1073">
        <f t="shared" si="237"/>
        <v>0</v>
      </c>
      <c r="AX390" s="107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3">
        <f t="shared" si="236"/>
        <v>0</v>
      </c>
      <c r="AW391" s="1073">
        <f t="shared" si="237"/>
        <v>0</v>
      </c>
      <c r="AX391" s="107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3">
        <f t="shared" si="236"/>
        <v>0</v>
      </c>
      <c r="AW392" s="1073">
        <f t="shared" si="237"/>
        <v>0</v>
      </c>
      <c r="AX392" s="107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3">
        <f t="shared" si="236"/>
        <v>0</v>
      </c>
      <c r="AW393" s="1073">
        <f t="shared" si="237"/>
        <v>0</v>
      </c>
      <c r="AX393" s="107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3">
        <f t="shared" si="236"/>
        <v>0</v>
      </c>
      <c r="AW394" s="1073">
        <f t="shared" si="237"/>
        <v>0</v>
      </c>
      <c r="AX394" s="107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3">
        <f t="shared" si="236"/>
        <v>0</v>
      </c>
      <c r="AW395" s="1073">
        <f t="shared" si="237"/>
        <v>0</v>
      </c>
      <c r="AX395" s="107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3">
        <f t="shared" si="236"/>
        <v>0</v>
      </c>
      <c r="AW396" s="1073">
        <f t="shared" si="237"/>
        <v>0</v>
      </c>
      <c r="AX396" s="107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3">
        <f t="shared" si="236"/>
        <v>0</v>
      </c>
      <c r="AW397" s="1073">
        <f t="shared" si="237"/>
        <v>0</v>
      </c>
      <c r="AX397" s="107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3">
        <f t="shared" ref="AV398:AV492" si="243">A398</f>
        <v>0</v>
      </c>
      <c r="AW398" s="1073">
        <f t="shared" ref="AW398:AW492" si="244">B398</f>
        <v>0</v>
      </c>
      <c r="AX398" s="107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3">
        <f t="shared" si="243"/>
        <v>0</v>
      </c>
      <c r="AW399" s="1073">
        <f t="shared" si="244"/>
        <v>0</v>
      </c>
      <c r="AX399" s="107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3">
        <f t="shared" si="243"/>
        <v>0</v>
      </c>
      <c r="AW400" s="1073">
        <f t="shared" si="244"/>
        <v>0</v>
      </c>
      <c r="AX400" s="107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3">
        <f t="shared" si="243"/>
        <v>0</v>
      </c>
      <c r="AW401" s="1073">
        <f t="shared" si="244"/>
        <v>0</v>
      </c>
      <c r="AX401" s="107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3">
        <f t="shared" si="243"/>
        <v>0</v>
      </c>
      <c r="AW402" s="1073">
        <f t="shared" si="244"/>
        <v>0</v>
      </c>
      <c r="AX402" s="107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3">
        <f t="shared" si="243"/>
        <v>0</v>
      </c>
      <c r="AW403" s="1073">
        <f t="shared" si="244"/>
        <v>0</v>
      </c>
      <c r="AX403" s="107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3">
        <f t="shared" si="243"/>
        <v>0</v>
      </c>
      <c r="AW404" s="1073">
        <f t="shared" si="244"/>
        <v>0</v>
      </c>
      <c r="AX404" s="107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3">
        <f t="shared" si="243"/>
        <v>0</v>
      </c>
      <c r="AW405" s="1073">
        <f t="shared" si="244"/>
        <v>0</v>
      </c>
      <c r="AX405" s="107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3">
        <f t="shared" si="243"/>
        <v>0</v>
      </c>
      <c r="AW406" s="1073">
        <f t="shared" si="244"/>
        <v>0</v>
      </c>
      <c r="AX406" s="107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3">
        <f t="shared" si="243"/>
        <v>0</v>
      </c>
      <c r="AW407" s="1073">
        <f t="shared" si="244"/>
        <v>0</v>
      </c>
      <c r="AX407" s="107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3">
        <f t="shared" si="243"/>
        <v>0</v>
      </c>
      <c r="AW408" s="1073">
        <f t="shared" si="244"/>
        <v>0</v>
      </c>
      <c r="AX408" s="107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3">
        <f t="shared" si="243"/>
        <v>0</v>
      </c>
      <c r="AW409" s="1073">
        <f t="shared" si="244"/>
        <v>0</v>
      </c>
      <c r="AX409" s="107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3">
        <f t="shared" si="243"/>
        <v>0</v>
      </c>
      <c r="AW410" s="1073">
        <f t="shared" si="244"/>
        <v>0</v>
      </c>
      <c r="AX410" s="107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3">
        <f t="shared" si="243"/>
        <v>0</v>
      </c>
      <c r="AW411" s="1073">
        <f t="shared" si="244"/>
        <v>0</v>
      </c>
      <c r="AX411" s="107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3">
        <f t="shared" si="243"/>
        <v>0</v>
      </c>
      <c r="AW412" s="1073">
        <f t="shared" si="244"/>
        <v>0</v>
      </c>
      <c r="AX412" s="107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3">
        <f t="shared" si="243"/>
        <v>0</v>
      </c>
      <c r="AW413" s="1073">
        <f t="shared" si="244"/>
        <v>0</v>
      </c>
      <c r="AX413" s="107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3">
        <f t="shared" si="243"/>
        <v>0</v>
      </c>
      <c r="AW414" s="1073">
        <f t="shared" si="244"/>
        <v>0</v>
      </c>
      <c r="AX414" s="107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3">
        <f t="shared" si="243"/>
        <v>0</v>
      </c>
      <c r="AW415" s="1073">
        <f t="shared" si="244"/>
        <v>0</v>
      </c>
      <c r="AX415" s="107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3">
        <f t="shared" si="243"/>
        <v>0</v>
      </c>
      <c r="AW416" s="1073">
        <f t="shared" si="244"/>
        <v>0</v>
      </c>
      <c r="AX416" s="107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3">
        <f t="shared" si="243"/>
        <v>0</v>
      </c>
      <c r="AW417" s="1073">
        <f t="shared" si="244"/>
        <v>0</v>
      </c>
      <c r="AX417" s="107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3">
        <f t="shared" si="243"/>
        <v>0</v>
      </c>
      <c r="AW418" s="1073">
        <f t="shared" si="244"/>
        <v>0</v>
      </c>
      <c r="AX418" s="107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3">
        <f t="shared" si="243"/>
        <v>0</v>
      </c>
      <c r="AW419" s="1073">
        <f t="shared" si="244"/>
        <v>0</v>
      </c>
      <c r="AX419" s="107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3">
        <f t="shared" si="243"/>
        <v>0</v>
      </c>
      <c r="AW420" s="1073">
        <f t="shared" si="244"/>
        <v>0</v>
      </c>
      <c r="AX420" s="107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3">
        <f t="shared" si="243"/>
        <v>0</v>
      </c>
      <c r="AW421" s="1073">
        <f t="shared" si="244"/>
        <v>0</v>
      </c>
      <c r="AX421" s="107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3">
        <f t="shared" si="243"/>
        <v>0</v>
      </c>
      <c r="AW422" s="1073">
        <f t="shared" si="244"/>
        <v>0</v>
      </c>
      <c r="AX422" s="107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3">
        <f t="shared" si="243"/>
        <v>0</v>
      </c>
      <c r="AW423" s="1073">
        <f t="shared" si="244"/>
        <v>0</v>
      </c>
      <c r="AX423" s="107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3">
        <f t="shared" si="243"/>
        <v>0</v>
      </c>
      <c r="AW424" s="1073">
        <f t="shared" si="244"/>
        <v>0</v>
      </c>
      <c r="AX424" s="107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3">
        <f t="shared" si="243"/>
        <v>0</v>
      </c>
      <c r="AW425" s="1073">
        <f t="shared" si="244"/>
        <v>0</v>
      </c>
      <c r="AX425" s="107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3">
        <f t="shared" si="243"/>
        <v>0</v>
      </c>
      <c r="AW426" s="1073">
        <f t="shared" si="244"/>
        <v>0</v>
      </c>
      <c r="AX426" s="107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3">
        <f t="shared" si="243"/>
        <v>0</v>
      </c>
      <c r="AW427" s="1073">
        <f t="shared" si="244"/>
        <v>0</v>
      </c>
      <c r="AX427" s="107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3">
        <f t="shared" si="243"/>
        <v>0</v>
      </c>
      <c r="AW428" s="1073">
        <f t="shared" si="244"/>
        <v>0</v>
      </c>
      <c r="AX428" s="107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3">
        <f t="shared" si="243"/>
        <v>0</v>
      </c>
      <c r="AW429" s="1073">
        <f t="shared" si="244"/>
        <v>0</v>
      </c>
      <c r="AX429" s="107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3">
        <f t="shared" si="243"/>
        <v>0</v>
      </c>
      <c r="AW430" s="1073">
        <f t="shared" si="244"/>
        <v>0</v>
      </c>
      <c r="AX430" s="107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3">
        <f t="shared" si="243"/>
        <v>0</v>
      </c>
      <c r="AW431" s="1073">
        <f t="shared" si="244"/>
        <v>0</v>
      </c>
      <c r="AX431" s="107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3">
        <f t="shared" si="243"/>
        <v>0</v>
      </c>
      <c r="AW432" s="1073">
        <f t="shared" si="244"/>
        <v>0</v>
      </c>
      <c r="AX432" s="107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3">
        <f t="shared" si="243"/>
        <v>0</v>
      </c>
      <c r="AW433" s="1073">
        <f t="shared" si="244"/>
        <v>0</v>
      </c>
      <c r="AX433" s="107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3">
        <f t="shared" si="243"/>
        <v>0</v>
      </c>
      <c r="AW434" s="1073">
        <f t="shared" si="244"/>
        <v>0</v>
      </c>
      <c r="AX434" s="107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3">
        <f t="shared" si="243"/>
        <v>0</v>
      </c>
      <c r="AW435" s="1073">
        <f t="shared" si="244"/>
        <v>0</v>
      </c>
      <c r="AX435" s="107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3">
        <f t="shared" si="243"/>
        <v>0</v>
      </c>
      <c r="AW436" s="1073">
        <f t="shared" si="244"/>
        <v>0</v>
      </c>
      <c r="AX436" s="107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3">
        <f t="shared" si="243"/>
        <v>0</v>
      </c>
      <c r="AW437" s="1073">
        <f t="shared" si="244"/>
        <v>0</v>
      </c>
      <c r="AX437" s="107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3">
        <f t="shared" si="243"/>
        <v>0</v>
      </c>
      <c r="AW438" s="1073">
        <f t="shared" si="244"/>
        <v>0</v>
      </c>
      <c r="AX438" s="107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3">
        <f t="shared" si="243"/>
        <v>0</v>
      </c>
      <c r="AW439" s="1073">
        <f t="shared" si="244"/>
        <v>0</v>
      </c>
      <c r="AX439" s="107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3">
        <f t="shared" si="243"/>
        <v>0</v>
      </c>
      <c r="AW440" s="1073">
        <f t="shared" si="244"/>
        <v>0</v>
      </c>
      <c r="AX440" s="107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3">
        <f t="shared" si="243"/>
        <v>0</v>
      </c>
      <c r="AW441" s="1073">
        <f t="shared" si="244"/>
        <v>0</v>
      </c>
      <c r="AX441" s="107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3">
        <f t="shared" si="243"/>
        <v>0</v>
      </c>
      <c r="AW442" s="1073">
        <f t="shared" si="244"/>
        <v>0</v>
      </c>
      <c r="AX442" s="107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3">
        <f t="shared" si="243"/>
        <v>0</v>
      </c>
      <c r="AW443" s="1073">
        <f t="shared" si="244"/>
        <v>0</v>
      </c>
      <c r="AX443" s="107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3">
        <f t="shared" si="243"/>
        <v>0</v>
      </c>
      <c r="AW444" s="1073">
        <f t="shared" si="244"/>
        <v>0</v>
      </c>
      <c r="AX444" s="107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3">
        <f t="shared" si="243"/>
        <v>0</v>
      </c>
      <c r="AW445" s="1073">
        <f t="shared" si="244"/>
        <v>0</v>
      </c>
      <c r="AX445" s="107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3">
        <f t="shared" si="243"/>
        <v>0</v>
      </c>
      <c r="AW446" s="1073">
        <f t="shared" si="244"/>
        <v>0</v>
      </c>
      <c r="AX446" s="107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3">
        <f t="shared" si="243"/>
        <v>0</v>
      </c>
      <c r="AW447" s="1073">
        <f t="shared" si="244"/>
        <v>0</v>
      </c>
      <c r="AX447" s="107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3">
        <f t="shared" si="243"/>
        <v>0</v>
      </c>
      <c r="AW448" s="1073">
        <f t="shared" si="244"/>
        <v>0</v>
      </c>
      <c r="AX448" s="107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3">
        <f t="shared" si="243"/>
        <v>0</v>
      </c>
      <c r="AW449" s="1073">
        <f t="shared" si="244"/>
        <v>0</v>
      </c>
      <c r="AX449" s="107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3">
        <f t="shared" si="243"/>
        <v>0</v>
      </c>
      <c r="AW450" s="1073">
        <f t="shared" si="244"/>
        <v>0</v>
      </c>
      <c r="AX450" s="107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3">
        <f t="shared" si="243"/>
        <v>0</v>
      </c>
      <c r="AW451" s="1073">
        <f t="shared" si="244"/>
        <v>0</v>
      </c>
      <c r="AX451" s="107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3">
        <f t="shared" si="243"/>
        <v>0</v>
      </c>
      <c r="AW452" s="1073">
        <f t="shared" si="244"/>
        <v>0</v>
      </c>
      <c r="AX452" s="107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3">
        <f t="shared" si="243"/>
        <v>0</v>
      </c>
      <c r="AW453" s="1073">
        <f t="shared" si="244"/>
        <v>0</v>
      </c>
      <c r="AX453" s="107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3">
        <f t="shared" si="243"/>
        <v>0</v>
      </c>
      <c r="AW454" s="1073">
        <f t="shared" si="244"/>
        <v>0</v>
      </c>
      <c r="AX454" s="107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3">
        <f t="shared" si="243"/>
        <v>0</v>
      </c>
      <c r="AW455" s="1073">
        <f t="shared" si="244"/>
        <v>0</v>
      </c>
      <c r="AX455" s="107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3">
        <f t="shared" si="243"/>
        <v>0</v>
      </c>
      <c r="AW456" s="1073">
        <f t="shared" si="244"/>
        <v>0</v>
      </c>
      <c r="AX456" s="107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3">
        <f t="shared" si="243"/>
        <v>0</v>
      </c>
      <c r="AW457" s="1073">
        <f t="shared" si="244"/>
        <v>0</v>
      </c>
      <c r="AX457" s="107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3">
        <f t="shared" si="243"/>
        <v>0</v>
      </c>
      <c r="AW458" s="1073">
        <f t="shared" si="244"/>
        <v>0</v>
      </c>
      <c r="AX458" s="107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3">
        <f t="shared" si="243"/>
        <v>0</v>
      </c>
      <c r="AW459" s="1073">
        <f t="shared" si="244"/>
        <v>0</v>
      </c>
      <c r="AX459" s="107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3">
        <f t="shared" si="243"/>
        <v>0</v>
      </c>
      <c r="AW460" s="1073">
        <f t="shared" si="244"/>
        <v>0</v>
      </c>
      <c r="AX460" s="107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3">
        <f t="shared" si="243"/>
        <v>0</v>
      </c>
      <c r="AW461" s="1073">
        <f t="shared" si="244"/>
        <v>0</v>
      </c>
      <c r="AX461" s="107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3">
        <f t="shared" si="243"/>
        <v>0</v>
      </c>
      <c r="AW462" s="1073">
        <f t="shared" si="244"/>
        <v>0</v>
      </c>
      <c r="AX462" s="107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3">
        <f t="shared" si="243"/>
        <v>0</v>
      </c>
      <c r="AW463" s="1073">
        <f t="shared" si="244"/>
        <v>0</v>
      </c>
      <c r="AX463" s="107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3">
        <f t="shared" si="243"/>
        <v>0</v>
      </c>
      <c r="AW464" s="1073">
        <f t="shared" si="244"/>
        <v>0</v>
      </c>
      <c r="AX464" s="107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3">
        <f t="shared" si="243"/>
        <v>0</v>
      </c>
      <c r="AW465" s="1073">
        <f t="shared" si="244"/>
        <v>0</v>
      </c>
      <c r="AX465" s="107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3">
        <f t="shared" si="243"/>
        <v>0</v>
      </c>
      <c r="AW466" s="1073">
        <f t="shared" si="244"/>
        <v>0</v>
      </c>
      <c r="AX466" s="107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3">
        <f t="shared" si="243"/>
        <v>0</v>
      </c>
      <c r="AW467" s="1073">
        <f t="shared" si="244"/>
        <v>0</v>
      </c>
      <c r="AX467" s="107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3">
        <f t="shared" si="243"/>
        <v>0</v>
      </c>
      <c r="AW468" s="1073">
        <f t="shared" si="244"/>
        <v>0</v>
      </c>
      <c r="AX468" s="107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3">
        <f t="shared" si="243"/>
        <v>0</v>
      </c>
      <c r="AW469" s="1073">
        <f t="shared" si="244"/>
        <v>0</v>
      </c>
      <c r="AX469" s="107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3">
        <f t="shared" si="243"/>
        <v>0</v>
      </c>
      <c r="AW470" s="1073">
        <f t="shared" si="244"/>
        <v>0</v>
      </c>
      <c r="AX470" s="107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3">
        <f t="shared" si="243"/>
        <v>0</v>
      </c>
      <c r="AW471" s="1073">
        <f t="shared" si="244"/>
        <v>0</v>
      </c>
      <c r="AX471" s="107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3">
        <f t="shared" si="243"/>
        <v>0</v>
      </c>
      <c r="AW472" s="1073">
        <f t="shared" si="244"/>
        <v>0</v>
      </c>
      <c r="AX472" s="107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3">
        <f t="shared" si="243"/>
        <v>0</v>
      </c>
      <c r="AW473" s="1073">
        <f t="shared" si="244"/>
        <v>0</v>
      </c>
      <c r="AX473" s="107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3">
        <f t="shared" si="243"/>
        <v>0</v>
      </c>
      <c r="AW474" s="1073">
        <f t="shared" si="244"/>
        <v>0</v>
      </c>
      <c r="AX474" s="107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3">
        <f t="shared" si="243"/>
        <v>0</v>
      </c>
      <c r="AW475" s="1073">
        <f t="shared" si="244"/>
        <v>0</v>
      </c>
      <c r="AX475" s="107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3">
        <f t="shared" si="243"/>
        <v>0</v>
      </c>
      <c r="AW476" s="1073">
        <f t="shared" si="244"/>
        <v>0</v>
      </c>
      <c r="AX476" s="107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3">
        <f t="shared" si="243"/>
        <v>0</v>
      </c>
      <c r="AW477" s="1073">
        <f t="shared" si="244"/>
        <v>0</v>
      </c>
      <c r="AX477" s="107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3">
        <f t="shared" si="243"/>
        <v>0</v>
      </c>
      <c r="AW478" s="1073">
        <f t="shared" si="244"/>
        <v>0</v>
      </c>
      <c r="AX478" s="107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3">
        <f t="shared" si="243"/>
        <v>0</v>
      </c>
      <c r="AW479" s="1073">
        <f t="shared" si="244"/>
        <v>0</v>
      </c>
      <c r="AX479" s="107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3">
        <f t="shared" si="243"/>
        <v>0</v>
      </c>
      <c r="AW480" s="1073">
        <f t="shared" si="244"/>
        <v>0</v>
      </c>
      <c r="AX480" s="107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3">
        <f t="shared" si="243"/>
        <v>0</v>
      </c>
      <c r="AW481" s="1073">
        <f t="shared" si="244"/>
        <v>0</v>
      </c>
      <c r="AX481" s="107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3">
        <f t="shared" si="243"/>
        <v>0</v>
      </c>
      <c r="AW482" s="1073">
        <f t="shared" si="244"/>
        <v>0</v>
      </c>
      <c r="AX482" s="107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3">
        <f t="shared" si="243"/>
        <v>0</v>
      </c>
      <c r="AW483" s="1073">
        <f t="shared" si="244"/>
        <v>0</v>
      </c>
      <c r="AX483" s="107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3">
        <f t="shared" si="243"/>
        <v>0</v>
      </c>
      <c r="AW484" s="1073">
        <f t="shared" si="244"/>
        <v>0</v>
      </c>
      <c r="AX484" s="107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3">
        <f t="shared" si="243"/>
        <v>0</v>
      </c>
      <c r="AW485" s="1073">
        <f t="shared" si="244"/>
        <v>0</v>
      </c>
      <c r="AX485" s="107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3">
        <f t="shared" si="243"/>
        <v>0</v>
      </c>
      <c r="AW486" s="1073">
        <f t="shared" si="244"/>
        <v>0</v>
      </c>
      <c r="AX486" s="107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3">
        <f t="shared" si="243"/>
        <v>0</v>
      </c>
      <c r="AW487" s="1073">
        <f t="shared" si="244"/>
        <v>0</v>
      </c>
      <c r="AX487" s="107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3">
        <f t="shared" si="243"/>
        <v>0</v>
      </c>
      <c r="AW488" s="1073">
        <f t="shared" si="244"/>
        <v>0</v>
      </c>
      <c r="AX488" s="107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3">
        <f t="shared" si="243"/>
        <v>0</v>
      </c>
      <c r="AW489" s="1073">
        <f t="shared" si="244"/>
        <v>0</v>
      </c>
      <c r="AX489" s="107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3">
        <f t="shared" si="243"/>
        <v>0</v>
      </c>
      <c r="AW490" s="1073">
        <f t="shared" si="244"/>
        <v>0</v>
      </c>
      <c r="AX490" s="107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3">
        <f t="shared" si="243"/>
        <v>0</v>
      </c>
      <c r="AW491" s="1073">
        <f t="shared" si="244"/>
        <v>0</v>
      </c>
      <c r="AX491" s="107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3">
        <f t="shared" si="243"/>
        <v>0</v>
      </c>
      <c r="AW492" s="1073">
        <f t="shared" si="244"/>
        <v>0</v>
      </c>
      <c r="AX492" s="107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3">
        <f t="shared" ref="AV493:AV520" si="294">A493</f>
        <v>0</v>
      </c>
      <c r="AW493" s="1073">
        <f t="shared" ref="AW493:AW520" si="295">B493</f>
        <v>0</v>
      </c>
      <c r="AX493" s="107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3">
        <f t="shared" si="294"/>
        <v>0</v>
      </c>
      <c r="AW494" s="1073">
        <f t="shared" si="295"/>
        <v>0</v>
      </c>
      <c r="AX494" s="107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3">
        <f t="shared" si="294"/>
        <v>0</v>
      </c>
      <c r="AW495" s="1073">
        <f t="shared" si="295"/>
        <v>0</v>
      </c>
      <c r="AX495" s="107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3">
        <f t="shared" si="294"/>
        <v>0</v>
      </c>
      <c r="AW496" s="1073">
        <f t="shared" si="295"/>
        <v>0</v>
      </c>
      <c r="AX496" s="107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3">
        <f t="shared" si="294"/>
        <v>0</v>
      </c>
      <c r="AW497" s="1073">
        <f t="shared" si="295"/>
        <v>0</v>
      </c>
      <c r="AX497" s="107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3">
        <f t="shared" si="294"/>
        <v>0</v>
      </c>
      <c r="AW498" s="1073">
        <f t="shared" si="295"/>
        <v>0</v>
      </c>
      <c r="AX498" s="107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3">
        <f t="shared" si="294"/>
        <v>0</v>
      </c>
      <c r="AW499" s="1073">
        <f t="shared" si="295"/>
        <v>0</v>
      </c>
      <c r="AX499" s="107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3">
        <f t="shared" si="294"/>
        <v>0</v>
      </c>
      <c r="AW500" s="1073">
        <f t="shared" si="295"/>
        <v>0</v>
      </c>
      <c r="AX500" s="107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3">
        <f t="shared" si="294"/>
        <v>0</v>
      </c>
      <c r="AW501" s="1073">
        <f t="shared" si="295"/>
        <v>0</v>
      </c>
      <c r="AX501" s="107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3">
        <f t="shared" si="294"/>
        <v>0</v>
      </c>
      <c r="AW502" s="1073">
        <f t="shared" si="295"/>
        <v>0</v>
      </c>
      <c r="AX502" s="107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3">
        <f t="shared" si="294"/>
        <v>0</v>
      </c>
      <c r="AW503" s="1073">
        <f t="shared" si="295"/>
        <v>0</v>
      </c>
      <c r="AX503" s="107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3">
        <f t="shared" si="294"/>
        <v>0</v>
      </c>
      <c r="AW504" s="1073">
        <f t="shared" si="295"/>
        <v>0</v>
      </c>
      <c r="AX504" s="107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3">
        <f t="shared" si="294"/>
        <v>0</v>
      </c>
      <c r="AW505" s="1073">
        <f t="shared" si="295"/>
        <v>0</v>
      </c>
      <c r="AX505" s="107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3">
        <f t="shared" si="294"/>
        <v>0</v>
      </c>
      <c r="AW506" s="1073">
        <f t="shared" si="295"/>
        <v>0</v>
      </c>
      <c r="AX506" s="107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3">
        <f t="shared" si="294"/>
        <v>0</v>
      </c>
      <c r="AW507" s="1073">
        <f t="shared" si="295"/>
        <v>0</v>
      </c>
      <c r="AX507" s="107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3">
        <f t="shared" si="294"/>
        <v>0</v>
      </c>
      <c r="AW508" s="1073">
        <f t="shared" si="295"/>
        <v>0</v>
      </c>
      <c r="AX508" s="107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3">
        <f t="shared" si="294"/>
        <v>0</v>
      </c>
      <c r="AW509" s="1073">
        <f t="shared" si="295"/>
        <v>0</v>
      </c>
      <c r="AX509" s="107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3">
        <f t="shared" si="294"/>
        <v>0</v>
      </c>
      <c r="AW510" s="1073">
        <f t="shared" si="295"/>
        <v>0</v>
      </c>
      <c r="AX510" s="107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3">
        <f t="shared" si="294"/>
        <v>0</v>
      </c>
      <c r="AW511" s="1073">
        <f t="shared" si="295"/>
        <v>0</v>
      </c>
      <c r="AX511" s="107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3">
        <f t="shared" si="294"/>
        <v>0</v>
      </c>
      <c r="AW512" s="1073">
        <f t="shared" si="295"/>
        <v>0</v>
      </c>
      <c r="AX512" s="107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3">
        <f t="shared" si="294"/>
        <v>0</v>
      </c>
      <c r="AW513" s="1073">
        <f t="shared" si="295"/>
        <v>0</v>
      </c>
      <c r="AX513" s="107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3">
        <f t="shared" si="294"/>
        <v>0</v>
      </c>
      <c r="AW514" s="1073">
        <f t="shared" si="295"/>
        <v>0</v>
      </c>
      <c r="AX514" s="107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3">
        <f t="shared" si="294"/>
        <v>0</v>
      </c>
      <c r="AW515" s="1073">
        <f t="shared" si="295"/>
        <v>0</v>
      </c>
      <c r="AX515" s="107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3">
        <f t="shared" si="294"/>
        <v>0</v>
      </c>
      <c r="AW516" s="1073">
        <f t="shared" si="295"/>
        <v>0</v>
      </c>
      <c r="AX516" s="107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3">
        <f t="shared" si="294"/>
        <v>0</v>
      </c>
      <c r="AW517" s="1073">
        <f t="shared" si="295"/>
        <v>0</v>
      </c>
      <c r="AX517" s="107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3">
        <f t="shared" si="294"/>
        <v>0</v>
      </c>
      <c r="AW518" s="1073">
        <f t="shared" si="295"/>
        <v>0</v>
      </c>
      <c r="AX518" s="107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3">
        <f t="shared" si="294"/>
        <v>0</v>
      </c>
      <c r="AW519" s="1073">
        <f t="shared" si="295"/>
        <v>0</v>
      </c>
      <c r="AX519" s="107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3">
        <f t="shared" si="294"/>
        <v>0</v>
      </c>
      <c r="AW520" s="1073">
        <f t="shared" si="295"/>
        <v>0</v>
      </c>
      <c r="AX520" s="107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3">
        <f t="shared" ref="AV521:AV552" si="298">A521</f>
        <v>0</v>
      </c>
      <c r="AW521" s="1073">
        <f t="shared" ref="AW521:AW552" si="299">B521</f>
        <v>0</v>
      </c>
      <c r="AX521" s="107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3">
        <f t="shared" si="298"/>
        <v>0</v>
      </c>
      <c r="AW522" s="1073">
        <f t="shared" si="299"/>
        <v>0</v>
      </c>
      <c r="AX522" s="107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3">
        <f t="shared" si="298"/>
        <v>0</v>
      </c>
      <c r="AW523" s="1073">
        <f t="shared" si="299"/>
        <v>0</v>
      </c>
      <c r="AX523" s="107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3">
        <f t="shared" si="298"/>
        <v>0</v>
      </c>
      <c r="AW524" s="1073">
        <f t="shared" si="299"/>
        <v>0</v>
      </c>
      <c r="AX524" s="107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3">
        <f t="shared" si="298"/>
        <v>0</v>
      </c>
      <c r="AW525" s="1073">
        <f t="shared" si="299"/>
        <v>0</v>
      </c>
      <c r="AX525" s="107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3">
        <f t="shared" si="298"/>
        <v>0</v>
      </c>
      <c r="AW526" s="1073">
        <f t="shared" si="299"/>
        <v>0</v>
      </c>
      <c r="AX526" s="107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3">
        <f t="shared" si="298"/>
        <v>0</v>
      </c>
      <c r="AW527" s="1073">
        <f t="shared" si="299"/>
        <v>0</v>
      </c>
      <c r="AX527" s="107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3">
        <f t="shared" si="298"/>
        <v>0</v>
      </c>
      <c r="AW528" s="1073">
        <f t="shared" si="299"/>
        <v>0</v>
      </c>
      <c r="AX528" s="107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3">
        <f t="shared" si="298"/>
        <v>0</v>
      </c>
      <c r="AW529" s="1073">
        <f t="shared" si="299"/>
        <v>0</v>
      </c>
      <c r="AX529" s="107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3">
        <f t="shared" si="298"/>
        <v>0</v>
      </c>
      <c r="AW530" s="1073">
        <f t="shared" si="299"/>
        <v>0</v>
      </c>
      <c r="AX530" s="107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3">
        <f t="shared" si="298"/>
        <v>0</v>
      </c>
      <c r="AW531" s="1073">
        <f t="shared" si="299"/>
        <v>0</v>
      </c>
      <c r="AX531" s="107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3">
        <f t="shared" si="298"/>
        <v>0</v>
      </c>
      <c r="AW532" s="1073">
        <f t="shared" si="299"/>
        <v>0</v>
      </c>
      <c r="AX532" s="107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3">
        <f t="shared" si="298"/>
        <v>0</v>
      </c>
      <c r="AW533" s="1073">
        <f t="shared" si="299"/>
        <v>0</v>
      </c>
      <c r="AX533" s="107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3">
        <f t="shared" si="298"/>
        <v>0</v>
      </c>
      <c r="AW534" s="1073">
        <f t="shared" si="299"/>
        <v>0</v>
      </c>
      <c r="AX534" s="107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3">
        <f t="shared" si="298"/>
        <v>0</v>
      </c>
      <c r="AW535" s="1073">
        <f t="shared" si="299"/>
        <v>0</v>
      </c>
      <c r="AX535" s="107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3">
        <f t="shared" si="298"/>
        <v>0</v>
      </c>
      <c r="AW536" s="1073">
        <f t="shared" si="299"/>
        <v>0</v>
      </c>
      <c r="AX536" s="107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3">
        <f t="shared" si="298"/>
        <v>0</v>
      </c>
      <c r="AW537" s="1073">
        <f t="shared" si="299"/>
        <v>0</v>
      </c>
      <c r="AX537" s="107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3">
        <f t="shared" si="298"/>
        <v>0</v>
      </c>
      <c r="AW538" s="1073">
        <f t="shared" si="299"/>
        <v>0</v>
      </c>
      <c r="AX538" s="107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3">
        <f t="shared" si="298"/>
        <v>0</v>
      </c>
      <c r="AW539" s="1073">
        <f t="shared" si="299"/>
        <v>0</v>
      </c>
      <c r="AX539" s="107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3">
        <f t="shared" si="298"/>
        <v>0</v>
      </c>
      <c r="AW540" s="1073">
        <f t="shared" si="299"/>
        <v>0</v>
      </c>
      <c r="AX540" s="107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3">
        <f t="shared" si="298"/>
        <v>0</v>
      </c>
      <c r="AW541" s="1073">
        <f t="shared" si="299"/>
        <v>0</v>
      </c>
      <c r="AX541" s="107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3">
        <f t="shared" si="298"/>
        <v>0</v>
      </c>
      <c r="AW542" s="1073">
        <f t="shared" si="299"/>
        <v>0</v>
      </c>
      <c r="AX542" s="107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3">
        <f t="shared" si="298"/>
        <v>0</v>
      </c>
      <c r="AW543" s="1073">
        <f t="shared" si="299"/>
        <v>0</v>
      </c>
      <c r="AX543" s="107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3">
        <f t="shared" si="298"/>
        <v>0</v>
      </c>
      <c r="AW544" s="1073">
        <f t="shared" si="299"/>
        <v>0</v>
      </c>
      <c r="AX544" s="107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3">
        <f t="shared" si="298"/>
        <v>0</v>
      </c>
      <c r="AW545" s="1073">
        <f t="shared" si="299"/>
        <v>0</v>
      </c>
      <c r="AX545" s="107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3">
        <f t="shared" si="298"/>
        <v>0</v>
      </c>
      <c r="AW546" s="1073">
        <f t="shared" si="299"/>
        <v>0</v>
      </c>
      <c r="AX546" s="107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3">
        <f t="shared" si="298"/>
        <v>0</v>
      </c>
      <c r="AW547" s="1073">
        <f t="shared" si="299"/>
        <v>0</v>
      </c>
      <c r="AX547" s="107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3">
        <f t="shared" si="298"/>
        <v>0</v>
      </c>
      <c r="AW548" s="1073">
        <f t="shared" si="299"/>
        <v>0</v>
      </c>
      <c r="AX548" s="107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3">
        <f t="shared" si="298"/>
        <v>0</v>
      </c>
      <c r="AW549" s="1073">
        <f t="shared" si="299"/>
        <v>0</v>
      </c>
      <c r="AX549" s="107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3">
        <f t="shared" si="298"/>
        <v>0</v>
      </c>
      <c r="AW550" s="1073">
        <f t="shared" si="299"/>
        <v>0</v>
      </c>
      <c r="AX550" s="107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3">
        <f t="shared" si="298"/>
        <v>0</v>
      </c>
      <c r="AW551" s="1073">
        <f t="shared" si="299"/>
        <v>0</v>
      </c>
      <c r="AX551" s="107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3">
        <f t="shared" si="298"/>
        <v>0</v>
      </c>
      <c r="AW552" s="1073">
        <f t="shared" si="299"/>
        <v>0</v>
      </c>
      <c r="AX552" s="107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3">
        <f t="shared" ref="AV553:AV587" si="330">A553</f>
        <v>0</v>
      </c>
      <c r="AW553" s="1073">
        <f t="shared" ref="AW553:AW587" si="331">B553</f>
        <v>0</v>
      </c>
      <c r="AX553" s="107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3">
        <f t="shared" si="330"/>
        <v>0</v>
      </c>
      <c r="AW554" s="1073">
        <f t="shared" si="331"/>
        <v>0</v>
      </c>
      <c r="AX554" s="107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3">
        <f t="shared" si="330"/>
        <v>0</v>
      </c>
      <c r="AW555" s="1073">
        <f t="shared" si="331"/>
        <v>0</v>
      </c>
      <c r="AX555" s="107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3">
        <f t="shared" si="330"/>
        <v>0</v>
      </c>
      <c r="AW556" s="1073">
        <f t="shared" si="331"/>
        <v>0</v>
      </c>
      <c r="AX556" s="107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3">
        <f t="shared" si="330"/>
        <v>0</v>
      </c>
      <c r="AW557" s="1073">
        <f t="shared" si="331"/>
        <v>0</v>
      </c>
      <c r="AX557" s="107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3">
        <f t="shared" si="330"/>
        <v>0</v>
      </c>
      <c r="AW558" s="1073">
        <f t="shared" si="331"/>
        <v>0</v>
      </c>
      <c r="AX558" s="107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3">
        <f t="shared" si="330"/>
        <v>0</v>
      </c>
      <c r="AW559" s="1073">
        <f t="shared" si="331"/>
        <v>0</v>
      </c>
      <c r="AX559" s="107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3">
        <f t="shared" si="330"/>
        <v>0</v>
      </c>
      <c r="AW560" s="1073">
        <f t="shared" si="331"/>
        <v>0</v>
      </c>
      <c r="AX560" s="107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3">
        <f t="shared" si="330"/>
        <v>0</v>
      </c>
      <c r="AW561" s="1073">
        <f t="shared" si="331"/>
        <v>0</v>
      </c>
      <c r="AX561" s="107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3">
        <f t="shared" si="330"/>
        <v>0</v>
      </c>
      <c r="AW562" s="1073">
        <f t="shared" si="331"/>
        <v>0</v>
      </c>
      <c r="AX562" s="107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3">
        <f t="shared" si="330"/>
        <v>0</v>
      </c>
      <c r="AW563" s="1073">
        <f t="shared" si="331"/>
        <v>0</v>
      </c>
      <c r="AX563" s="107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3">
        <f t="shared" si="330"/>
        <v>0</v>
      </c>
      <c r="AW564" s="1073">
        <f t="shared" si="331"/>
        <v>0</v>
      </c>
      <c r="AX564" s="107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3">
        <f t="shared" si="330"/>
        <v>0</v>
      </c>
      <c r="AW565" s="1073">
        <f t="shared" si="331"/>
        <v>0</v>
      </c>
      <c r="AX565" s="107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3">
        <f t="shared" si="330"/>
        <v>0</v>
      </c>
      <c r="AW566" s="1073">
        <f t="shared" si="331"/>
        <v>0</v>
      </c>
      <c r="AX566" s="107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3">
        <f t="shared" si="330"/>
        <v>0</v>
      </c>
      <c r="AW567" s="1073">
        <f t="shared" si="331"/>
        <v>0</v>
      </c>
      <c r="AX567" s="107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3">
        <f t="shared" si="330"/>
        <v>0</v>
      </c>
      <c r="AW568" s="1073">
        <f t="shared" si="331"/>
        <v>0</v>
      </c>
      <c r="AX568" s="107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3">
        <f t="shared" si="330"/>
        <v>0</v>
      </c>
      <c r="AW569" s="1073">
        <f t="shared" si="331"/>
        <v>0</v>
      </c>
      <c r="AX569" s="107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3">
        <f t="shared" si="330"/>
        <v>0</v>
      </c>
      <c r="AW570" s="1073">
        <f t="shared" si="331"/>
        <v>0</v>
      </c>
      <c r="AX570" s="107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3">
        <f t="shared" si="330"/>
        <v>0</v>
      </c>
      <c r="AW571" s="1073">
        <f t="shared" si="331"/>
        <v>0</v>
      </c>
      <c r="AX571" s="107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3">
        <f t="shared" si="330"/>
        <v>0</v>
      </c>
      <c r="AW572" s="1073">
        <f t="shared" si="331"/>
        <v>0</v>
      </c>
      <c r="AX572" s="107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3">
        <f t="shared" si="330"/>
        <v>0</v>
      </c>
      <c r="AW573" s="1073">
        <f t="shared" si="331"/>
        <v>0</v>
      </c>
      <c r="AX573" s="107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3">
        <f t="shared" si="330"/>
        <v>0</v>
      </c>
      <c r="AW574" s="1073">
        <f t="shared" si="331"/>
        <v>0</v>
      </c>
      <c r="AX574" s="107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3">
        <f t="shared" si="330"/>
        <v>0</v>
      </c>
      <c r="AW575" s="1073">
        <f t="shared" si="331"/>
        <v>0</v>
      </c>
      <c r="AX575" s="107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3">
        <f t="shared" si="330"/>
        <v>0</v>
      </c>
      <c r="AW576" s="1073">
        <f t="shared" si="331"/>
        <v>0</v>
      </c>
      <c r="AX576" s="107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3">
        <f t="shared" si="330"/>
        <v>0</v>
      </c>
      <c r="AW577" s="1073">
        <f t="shared" si="331"/>
        <v>0</v>
      </c>
      <c r="AX577" s="107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3">
        <f t="shared" si="330"/>
        <v>0</v>
      </c>
      <c r="AW578" s="1073">
        <f t="shared" si="331"/>
        <v>0</v>
      </c>
      <c r="AX578" s="107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3">
        <f t="shared" si="330"/>
        <v>0</v>
      </c>
      <c r="AW579" s="1073">
        <f t="shared" si="331"/>
        <v>0</v>
      </c>
      <c r="AX579" s="107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3">
        <f t="shared" si="330"/>
        <v>0</v>
      </c>
      <c r="AW580" s="1073">
        <f t="shared" si="331"/>
        <v>0</v>
      </c>
      <c r="AX580" s="107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3">
        <f t="shared" si="330"/>
        <v>0</v>
      </c>
      <c r="AW581" s="1073">
        <f t="shared" si="331"/>
        <v>0</v>
      </c>
      <c r="AX581" s="107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3">
        <f t="shared" si="330"/>
        <v>0</v>
      </c>
      <c r="AW582" s="1073">
        <f t="shared" si="331"/>
        <v>0</v>
      </c>
      <c r="AX582" s="107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3">
        <f t="shared" si="330"/>
        <v>0</v>
      </c>
      <c r="AW583" s="1073">
        <f t="shared" si="331"/>
        <v>0</v>
      </c>
      <c r="AX583" s="107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3">
        <f t="shared" si="330"/>
        <v>0</v>
      </c>
      <c r="AW584" s="1073">
        <f t="shared" si="331"/>
        <v>0</v>
      </c>
      <c r="AX584" s="107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3">
        <f t="shared" si="330"/>
        <v>0</v>
      </c>
      <c r="AW585" s="1073">
        <f t="shared" si="331"/>
        <v>0</v>
      </c>
      <c r="AX585" s="107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3">
        <f t="shared" si="330"/>
        <v>0</v>
      </c>
      <c r="AW586" s="1073">
        <f t="shared" si="331"/>
        <v>0</v>
      </c>
      <c r="AX586" s="107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3">
        <f t="shared" si="330"/>
        <v>0</v>
      </c>
      <c r="AW587" s="1073">
        <f t="shared" si="331"/>
        <v>0</v>
      </c>
      <c r="AX587" s="107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5" customWidth="1"/>
    <col min="2" max="2" width="10.6666666666667" style="3075" customWidth="1"/>
    <col min="3" max="3" width="15.7777777777778" style="3075" customWidth="1"/>
    <col min="4" max="7" width="9.44444444444444" style="3075" customWidth="1"/>
    <col min="8" max="13" width="9.11111111111111" style="3075" customWidth="1"/>
    <col min="14" max="16384" width="9" style="3075"/>
  </cols>
  <sheetData>
    <row r="1" ht="15.6"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46.8" spans="1:13">
      <c r="A3" s="3076"/>
      <c r="B3" s="3076"/>
      <c r="C3" s="3076"/>
      <c r="D3" s="3077"/>
      <c r="E3" s="3077"/>
      <c r="F3" s="3078" t="s">
        <v>472</v>
      </c>
      <c r="G3" s="3078" t="s">
        <v>473</v>
      </c>
      <c r="H3" s="3078" t="s">
        <v>474</v>
      </c>
      <c r="I3" s="3078" t="s">
        <v>475</v>
      </c>
      <c r="J3" s="3078" t="s">
        <v>472</v>
      </c>
      <c r="K3" s="3078" t="s">
        <v>476</v>
      </c>
      <c r="L3" s="3078" t="s">
        <v>477</v>
      </c>
      <c r="M3" s="3078" t="s">
        <v>478</v>
      </c>
    </row>
    <row r="4" ht="46.8"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6.8"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6.8"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6.8"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6.8"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9" customWidth="1"/>
    <col min="2" max="2" width="10.2222222222222" style="2979" customWidth="1"/>
    <col min="3" max="3" width="18.4444444444444" style="2979" customWidth="1"/>
    <col min="4" max="4" width="11.6666666666667" style="2979" customWidth="1"/>
    <col min="5" max="5" width="13.3333333333333" style="2979" customWidth="1"/>
    <col min="6" max="8" width="11.4444444444444" style="2979" customWidth="1"/>
    <col min="9" max="9" width="11.1111111111111" style="2979" customWidth="1"/>
    <col min="10" max="10" width="3.11111111111111" style="2980" customWidth="1"/>
    <col min="11" max="16" width="10" style="2979" customWidth="1"/>
    <col min="17" max="17" width="2.66666666666667" style="2979" customWidth="1"/>
    <col min="18" max="18" width="9.33333333333333" style="2979" customWidth="1"/>
    <col min="19" max="19" width="10.4444444444444" style="2979" customWidth="1"/>
    <col min="20" max="16384" width="9.22222222222222" style="2979"/>
  </cols>
  <sheetData>
    <row r="1" ht="18.15" spans="1:16">
      <c r="A1" s="2337" t="s">
        <v>487</v>
      </c>
      <c r="B1" s="2423"/>
      <c r="C1" s="2423"/>
      <c r="D1" s="2423"/>
      <c r="E1" s="2423"/>
      <c r="F1" s="2423"/>
      <c r="G1" s="2423"/>
      <c r="H1" s="2423"/>
      <c r="I1" s="2423"/>
      <c r="J1" s="2423"/>
      <c r="K1" s="2423"/>
      <c r="L1" s="2423"/>
      <c r="M1" s="2423"/>
      <c r="N1" s="2423"/>
      <c r="O1" s="2423"/>
      <c r="P1" s="2423"/>
    </row>
    <row r="2" ht="14.4" spans="1:16">
      <c r="A2" s="2214" t="s">
        <v>488</v>
      </c>
      <c r="B2" s="2214"/>
      <c r="C2" s="2214"/>
      <c r="D2" s="2214" t="s">
        <v>489</v>
      </c>
      <c r="E2" s="2981" t="s">
        <v>490</v>
      </c>
      <c r="F2" s="2982"/>
      <c r="G2" s="2983"/>
      <c r="H2" s="2984"/>
      <c r="I2" s="2604" t="s">
        <v>491</v>
      </c>
      <c r="J2" s="2982"/>
      <c r="K2" s="2982"/>
      <c r="L2" s="2982"/>
      <c r="M2" s="2982"/>
      <c r="N2" s="1204"/>
      <c r="O2" s="2982"/>
      <c r="P2" s="2982"/>
    </row>
    <row r="3" ht="15.15" spans="1:16">
      <c r="A3" s="2985" t="s">
        <v>492</v>
      </c>
      <c r="B3" s="2985"/>
      <c r="C3" s="2985"/>
      <c r="D3" s="2986">
        <f>'数据-基础表'!AY6</f>
        <v>0</v>
      </c>
      <c r="E3" s="2986">
        <f>'数据-基础表'!AZ5</f>
        <v>2791.88</v>
      </c>
      <c r="F3" s="2982"/>
      <c r="G3" s="2987"/>
      <c r="H3" s="2371" t="s">
        <v>493</v>
      </c>
      <c r="I3" s="3051" t="e">
        <f>ROUND('数据-基础表'!B3/'数据-基础表'!A3,2)</f>
        <v>#DIV/0!</v>
      </c>
      <c r="J3" s="2982"/>
      <c r="K3" s="2982"/>
      <c r="L3" s="2982"/>
      <c r="M3" s="2982"/>
      <c r="N3" s="1204"/>
      <c r="O3" s="2982"/>
      <c r="P3" s="2982"/>
    </row>
    <row r="4" ht="14.4" spans="1:16">
      <c r="A4" s="2602"/>
      <c r="B4" s="2603"/>
      <c r="C4" s="2988"/>
      <c r="D4" s="2989" t="s">
        <v>489</v>
      </c>
      <c r="E4" s="2990" t="s">
        <v>490</v>
      </c>
      <c r="F4" s="2982"/>
      <c r="G4" s="2991" t="s">
        <v>494</v>
      </c>
      <c r="H4" s="2371" t="s">
        <v>495</v>
      </c>
      <c r="I4" s="3051" t="e">
        <f>ROUND(SUMIF('数据-基础表'!I9:AS9,"地上",'数据-基础表'!I5:AS5)/'数据-基础表'!A3,2)</f>
        <v>#DIV/0!</v>
      </c>
      <c r="J4" s="2982"/>
      <c r="K4" s="2982"/>
      <c r="L4" s="2982"/>
      <c r="M4" s="2982"/>
      <c r="N4" s="1204"/>
      <c r="O4" s="2982"/>
      <c r="P4" s="2982"/>
    </row>
    <row r="5" ht="14.4" spans="1:16">
      <c r="A5" s="2992" t="s">
        <v>496</v>
      </c>
      <c r="B5" s="1089" t="s">
        <v>497</v>
      </c>
      <c r="C5" s="1089"/>
      <c r="D5" s="2993">
        <f>ROUND($D$3*E5/$E$3,2)</f>
        <v>0</v>
      </c>
      <c r="E5" s="2994">
        <f>SUMIF('数据-基础表'!$11:$11,"住宅",'数据-基础表'!$5:$5)</f>
        <v>0</v>
      </c>
      <c r="F5" s="2982"/>
      <c r="G5" s="2987"/>
      <c r="H5" s="2371" t="s">
        <v>493</v>
      </c>
      <c r="I5" s="3051" t="e">
        <f>ROUND(E31/D31,2)</f>
        <v>#DIV/0!</v>
      </c>
      <c r="J5" s="2982"/>
      <c r="K5" s="2982"/>
      <c r="L5" s="2982"/>
      <c r="M5" s="2982"/>
      <c r="N5" s="2982"/>
      <c r="O5" s="2982"/>
      <c r="P5" s="2982"/>
    </row>
    <row r="6" ht="15.15" spans="1:16">
      <c r="A6" s="2995"/>
      <c r="B6" s="1089" t="s">
        <v>498</v>
      </c>
      <c r="C6" s="1089"/>
      <c r="D6" s="2993">
        <f>ROUND($D$3*E6/$E$3,2)</f>
        <v>0</v>
      </c>
      <c r="E6" s="2994">
        <f>E3-E5</f>
        <v>2791.88</v>
      </c>
      <c r="F6" s="2982"/>
      <c r="G6" s="2996" t="s">
        <v>499</v>
      </c>
      <c r="H6" s="2997" t="s">
        <v>495</v>
      </c>
      <c r="I6" s="3052" t="e">
        <f>ROUND(F31/D31,2)</f>
        <v>#DIV/0!</v>
      </c>
      <c r="J6" s="2982"/>
      <c r="K6" s="2982"/>
      <c r="L6" s="2982"/>
      <c r="M6" s="2982"/>
      <c r="N6" s="2982"/>
      <c r="O6" s="2982"/>
      <c r="P6" s="2982"/>
    </row>
    <row r="7" ht="15.15" spans="1:16">
      <c r="A7" s="2998"/>
      <c r="B7" s="2999"/>
      <c r="C7" s="3000"/>
      <c r="D7" s="2989" t="s">
        <v>489</v>
      </c>
      <c r="E7" s="3001" t="s">
        <v>500</v>
      </c>
      <c r="F7" s="2982"/>
      <c r="G7" s="3002" t="s">
        <v>501</v>
      </c>
      <c r="H7" s="3003"/>
      <c r="I7" s="3053"/>
      <c r="J7" s="2982"/>
      <c r="K7" s="2982"/>
      <c r="L7" s="2982"/>
      <c r="M7" s="2982"/>
      <c r="N7" s="2982"/>
      <c r="O7" s="2982"/>
      <c r="P7" s="2982"/>
    </row>
    <row r="8" ht="14.4" spans="1:16">
      <c r="A8" s="2992" t="s">
        <v>502</v>
      </c>
      <c r="B8" s="3004" t="s">
        <v>503</v>
      </c>
      <c r="C8" s="2993" t="s">
        <v>504</v>
      </c>
      <c r="D8" s="2993">
        <f t="shared" ref="D8:D15" si="0">ROUND($D$3*E8/$E$3,2)</f>
        <v>0</v>
      </c>
      <c r="E8" s="3005">
        <f>SUMIF('数据-基础表'!BB10:BK10,"地上",'数据-基础表'!BB5:BK5)</f>
        <v>2791.88</v>
      </c>
      <c r="F8" s="2982"/>
      <c r="G8" s="3006"/>
      <c r="H8" s="3006"/>
      <c r="I8" s="2982"/>
      <c r="J8" s="2982"/>
      <c r="K8" s="2982"/>
      <c r="L8" s="2982"/>
      <c r="M8" s="2982"/>
      <c r="N8" s="2982"/>
      <c r="O8" s="2982"/>
      <c r="P8" s="2982"/>
    </row>
    <row r="9" ht="14.4" spans="1:16">
      <c r="A9" s="3007"/>
      <c r="B9" s="3008"/>
      <c r="C9" s="2993" t="s">
        <v>505</v>
      </c>
      <c r="D9" s="2993">
        <f t="shared" si="0"/>
        <v>0</v>
      </c>
      <c r="E9" s="3009">
        <v>0</v>
      </c>
      <c r="F9" s="2982"/>
      <c r="G9" s="3006"/>
      <c r="H9" s="3006"/>
      <c r="I9" s="2982"/>
      <c r="J9" s="2982"/>
      <c r="K9" s="2982"/>
      <c r="L9" s="2982"/>
      <c r="M9" s="2982"/>
      <c r="N9" s="2982"/>
      <c r="O9" s="2982"/>
      <c r="P9" s="2982"/>
    </row>
    <row r="10" ht="14.4"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512</v>
      </c>
      <c r="D16" s="3004">
        <f>SUM(D8:D15)</f>
        <v>0</v>
      </c>
      <c r="E16" s="3010">
        <f>SUM(E8:E15)</f>
        <v>2791.88</v>
      </c>
      <c r="F16" s="2982"/>
      <c r="G16" s="3006"/>
      <c r="H16" s="3011" t="s">
        <v>513</v>
      </c>
      <c r="I16" s="3054"/>
      <c r="J16" s="2423"/>
      <c r="K16" s="3055" t="s">
        <v>513</v>
      </c>
      <c r="L16" s="3013"/>
      <c r="M16" s="3013"/>
      <c r="N16" s="3013"/>
      <c r="O16" s="3013"/>
      <c r="P16" s="3056"/>
    </row>
    <row r="17" ht="14.4" spans="1:19">
      <c r="A17" s="2941" t="s">
        <v>514</v>
      </c>
      <c r="B17" s="3012" t="s">
        <v>515</v>
      </c>
      <c r="C17" s="2940" t="s">
        <v>516</v>
      </c>
      <c r="D17" s="3013" t="s">
        <v>489</v>
      </c>
      <c r="E17" s="3014" t="s">
        <v>490</v>
      </c>
      <c r="F17" s="3015"/>
      <c r="G17" s="3016"/>
      <c r="H17" s="3017" t="s">
        <v>517</v>
      </c>
      <c r="I17" s="3057" t="s">
        <v>518</v>
      </c>
      <c r="J17" s="2423"/>
      <c r="K17" s="3058" t="s">
        <v>519</v>
      </c>
      <c r="L17" s="3059"/>
      <c r="M17" s="3060"/>
      <c r="N17" s="3058" t="s">
        <v>520</v>
      </c>
      <c r="O17" s="3059"/>
      <c r="P17" s="3060"/>
      <c r="R17" s="3073" t="s">
        <v>521</v>
      </c>
      <c r="S17" s="2358"/>
    </row>
    <row r="18" ht="14.4" spans="1:19">
      <c r="A18" s="3007"/>
      <c r="B18" s="3018"/>
      <c r="C18" s="3019"/>
      <c r="D18" s="3020"/>
      <c r="E18" s="3021" t="s">
        <v>522</v>
      </c>
      <c r="F18" s="3022" t="s">
        <v>495</v>
      </c>
      <c r="G18" s="3023" t="s">
        <v>523</v>
      </c>
      <c r="H18" s="2946" t="s">
        <v>524</v>
      </c>
      <c r="I18" s="3061" t="s">
        <v>525</v>
      </c>
      <c r="J18" s="2423"/>
      <c r="K18" s="2946" t="s">
        <v>526</v>
      </c>
      <c r="L18" s="2623" t="s">
        <v>527</v>
      </c>
      <c r="M18" s="3051" t="s">
        <v>528</v>
      </c>
      <c r="N18" s="2946" t="s">
        <v>526</v>
      </c>
      <c r="O18" s="2623" t="s">
        <v>527</v>
      </c>
      <c r="P18" s="3051" t="s">
        <v>528</v>
      </c>
      <c r="R18" s="2371" t="s">
        <v>524</v>
      </c>
      <c r="S18" s="2371" t="s">
        <v>525</v>
      </c>
    </row>
    <row r="19" ht="14.4" spans="1:19">
      <c r="A19" s="3024"/>
      <c r="B19" s="3004" t="s">
        <v>529</v>
      </c>
      <c r="C19" s="3025" t="s">
        <v>454</v>
      </c>
      <c r="D19" s="2993">
        <f>ROUND($D$3*E19/$E$3,2)</f>
        <v>0</v>
      </c>
      <c r="E19" s="3026">
        <f t="shared" ref="E19:E26" si="1">SUM(F19:G19)</f>
        <v>2791.88</v>
      </c>
      <c r="F19" s="3027">
        <f>'数据-基础表'!I13</f>
        <v>2791.88</v>
      </c>
      <c r="G19" s="3028">
        <f>'数据-基础表'!K13</f>
        <v>0</v>
      </c>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0</v>
      </c>
      <c r="S19" s="3074">
        <f t="shared" si="5"/>
        <v>2791.88</v>
      </c>
    </row>
    <row r="20" ht="14.4" spans="1:19">
      <c r="A20" s="3029"/>
      <c r="B20" s="3004" t="s">
        <v>529</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ht="14.4" spans="1:19">
      <c r="A21" s="3029"/>
      <c r="B21" s="3004" t="s">
        <v>529</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ht="14.4" spans="1:19">
      <c r="A22" s="3029"/>
      <c r="B22" s="3004" t="s">
        <v>529</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ht="14.4" spans="1:19">
      <c r="A23" s="3029"/>
      <c r="B23" s="3004" t="s">
        <v>529</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ht="14.4" spans="1:19">
      <c r="A24" s="3029"/>
      <c r="B24" s="3004" t="s">
        <v>529</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ht="14.4" spans="1:19">
      <c r="A25" s="3029"/>
      <c r="B25" s="3004" t="s">
        <v>529</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ht="14.4" spans="1:19">
      <c r="A26" s="3029"/>
      <c r="B26" s="3004" t="s">
        <v>529</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15" spans="1:19">
      <c r="A27" s="3029"/>
      <c r="B27" s="2993"/>
      <c r="C27" s="2609" t="s">
        <v>530</v>
      </c>
      <c r="D27" s="3035">
        <f>SUM(D19:D26)</f>
        <v>0</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0</v>
      </c>
      <c r="S27" s="2371">
        <f>IF(SUM(S19:S26)=$E$3,SUM(S19:S26),SUM(S19:S26)&amp;"误差"&amp;ROUND(SUM(S19:S26)-E3,2))</f>
        <v>2791.88</v>
      </c>
    </row>
    <row r="28" ht="14.4"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257" t="s">
        <v>534</v>
      </c>
      <c r="D31" s="3045">
        <f>D27+D30</f>
        <v>0</v>
      </c>
      <c r="E31" s="3045">
        <f>E27+E30</f>
        <v>2791.88</v>
      </c>
      <c r="F31" s="3046">
        <f>F27+F30</f>
        <v>2791.88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35" activePane="bottomRight" state="frozen"/>
      <selection/>
      <selection pane="topRight"/>
      <selection pane="bottomLeft"/>
      <selection pane="bottomRight" activeCell="B30" sqref="B30"/>
    </sheetView>
  </sheetViews>
  <sheetFormatPr defaultColWidth="13.7777777777778" defaultRowHeight="13.2"/>
  <cols>
    <col min="1" max="1" width="22.3333333333333" style="2782" customWidth="1"/>
    <col min="2" max="2" width="12" style="2783" customWidth="1"/>
    <col min="3" max="3" width="12.7777777777778" style="2783" customWidth="1"/>
    <col min="4" max="4" width="9.11111111111111" style="2784" customWidth="1"/>
    <col min="5" max="5" width="15" style="2783" customWidth="1"/>
    <col min="6" max="10" width="8.88888888888889" style="2783" customWidth="1"/>
    <col min="11" max="12" width="12.3333333333333" style="2785" customWidth="1"/>
    <col min="13" max="13" width="8.66666666666667" style="2783" customWidth="1"/>
    <col min="14" max="14" width="11.8888888888889" style="2783" customWidth="1"/>
    <col min="15" max="15" width="8.44444444444444" style="2783" customWidth="1"/>
    <col min="16" max="17" width="10.8888888888889" style="2783" customWidth="1"/>
    <col min="18" max="19" width="12.4444444444444" style="2783" customWidth="1"/>
    <col min="20" max="20" width="12.1111111111111" style="2783" customWidth="1"/>
    <col min="21" max="21" width="7.44444444444444" style="2783" customWidth="1"/>
    <col min="22" max="22" width="6.33333333333333" style="2783" customWidth="1"/>
    <col min="23" max="30" width="6.77777777777778" style="2783" customWidth="1"/>
    <col min="31" max="31" width="8" style="2783" customWidth="1"/>
    <col min="32" max="34" width="7.22222222222222" style="2783" customWidth="1"/>
    <col min="35" max="39" width="8" style="2783" customWidth="1"/>
    <col min="40" max="40" width="13.7777777777778" style="2781"/>
    <col min="41" max="41" width="11.6666666666667" style="2781" customWidth="1"/>
    <col min="42" max="42" width="9.77777777777778" style="2781" customWidth="1"/>
    <col min="43" max="67" width="13.7777777777778" style="2781"/>
    <col min="68" max="16384" width="13.7777777777778" style="2783"/>
  </cols>
  <sheetData>
    <row r="1" ht="18.15" spans="1:44">
      <c r="A1" s="2786" t="s">
        <v>536</v>
      </c>
      <c r="B1" s="2787"/>
      <c r="C1" s="1876"/>
      <c r="D1" s="2788"/>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8" customFormat="1" ht="15.1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8"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5" t="s">
        <v>557</v>
      </c>
      <c r="R5" s="2914" t="s">
        <v>558</v>
      </c>
      <c r="S5" s="2915" t="s">
        <v>559</v>
      </c>
      <c r="T5" s="2916" t="s">
        <v>560</v>
      </c>
      <c r="U5" s="2917" t="s">
        <v>561</v>
      </c>
      <c r="V5" s="2801" t="s">
        <v>562</v>
      </c>
      <c r="W5" s="2801" t="s">
        <v>563</v>
      </c>
      <c r="X5" s="873"/>
      <c r="Y5" s="1345" t="s">
        <v>564</v>
      </c>
      <c r="Z5" s="2942" t="s">
        <v>561</v>
      </c>
      <c r="AA5" s="2801" t="s">
        <v>562</v>
      </c>
      <c r="AB5" s="2801" t="s">
        <v>563</v>
      </c>
      <c r="AC5" s="873"/>
      <c r="AD5" s="873" t="s">
        <v>564</v>
      </c>
      <c r="AE5" s="2917" t="s">
        <v>565</v>
      </c>
      <c r="AF5" s="2801" t="s">
        <v>566</v>
      </c>
      <c r="AG5" s="1345" t="s">
        <v>567</v>
      </c>
      <c r="AH5" s="2917" t="s">
        <v>568</v>
      </c>
      <c r="AI5" s="2942" t="s">
        <v>569</v>
      </c>
      <c r="AJ5" s="2942" t="s">
        <v>570</v>
      </c>
      <c r="AK5" s="2801" t="s">
        <v>571</v>
      </c>
      <c r="AL5" s="2801" t="s">
        <v>572</v>
      </c>
      <c r="AM5" s="1345"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56025</v>
      </c>
      <c r="F6" s="2808">
        <f>SUMIF(项目基本情况!D$12:I$12,C6,项目基本情况!D$15:I$15)</f>
        <v>30.59</v>
      </c>
      <c r="G6" s="2809">
        <f>IF(ISERROR(ROUND(POWER(1+H6,D6-F6)*(POWER(1+H6,F6)-1)/(POWER(1+H6,D6)-1),3)),0,ROUND(POWER(1+H6,D6-F6)*(POWER(1+H6,F6)-1)/(POWER(1+H6,D6)-1),3))</f>
        <v>0.849</v>
      </c>
      <c r="H6" s="2810">
        <v>0.05</v>
      </c>
      <c r="I6" s="2810">
        <v>0.055</v>
      </c>
      <c r="J6" s="2811">
        <v>0.075</v>
      </c>
      <c r="K6" s="2898">
        <f>SUMIF('数据-汇总表'!C$19:C$33,A6,'数据-汇总表'!E$19:E$33)</f>
        <v>2791.88</v>
      </c>
      <c r="L6" s="2899">
        <v>3500</v>
      </c>
      <c r="M6" s="2900">
        <f t="shared" ref="M6:M14" si="0">ROUND(K6*L6/10000,0)</f>
        <v>977</v>
      </c>
      <c r="N6" s="2901">
        <f>N21</f>
        <v>0.75</v>
      </c>
      <c r="O6" s="2900" t="str">
        <f>IF($N$5="成新度","——",ROUND(M6*N6,0))</f>
        <v>——</v>
      </c>
      <c r="P6" s="2902"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0.75</v>
      </c>
      <c r="Z6" s="2944"/>
      <c r="AA6" s="2811"/>
      <c r="AB6" s="2811"/>
      <c r="AC6" s="2924"/>
      <c r="AD6" s="2945"/>
      <c r="AE6" s="2946">
        <f ca="1">IF(AN6="",0,SUMIF(INDIRECT("'"&amp;AN6&amp;"'"&amp;"!E:E"),$AE$5,INDIRECT("'"&amp;AN6&amp;"'"&amp;"!F:F")))</f>
        <v>30.59</v>
      </c>
      <c r="AF6" s="2353"/>
      <c r="AG6" s="1513">
        <f ca="1">IF(AF6="",0,AE6-AF6)</f>
        <v>0</v>
      </c>
      <c r="AH6" s="2928"/>
      <c r="AI6" s="2956">
        <v>365</v>
      </c>
      <c r="AJ6" s="2957"/>
      <c r="AK6" s="2958">
        <v>0.015</v>
      </c>
      <c r="AL6" s="2959">
        <v>0.0015</v>
      </c>
      <c r="AM6" s="2960">
        <v>0.015</v>
      </c>
      <c r="AN6" s="2961" t="s">
        <v>579</v>
      </c>
      <c r="AO6" s="1089">
        <f ca="1">SUMIF(INDIRECT("'"&amp;AN6&amp;"'"&amp;"!A:A"),"总价",INDIRECT("'"&amp;AN6&amp;"'"&amp;"!B:B"))</f>
        <v>7340</v>
      </c>
      <c r="AP6" s="2975">
        <f>IF(C6="住宅",K6*L6,0)</f>
        <v>0</v>
      </c>
      <c r="AQ6" s="1089">
        <f>ROUND($L$14*$N$14*S6/10000,0)</f>
        <v>0</v>
      </c>
      <c r="AR6" s="1089">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3">
        <f ca="1" t="shared" ref="AG7:AG13" si="7">IF(AF7="",0,AE7-AF7)</f>
        <v>0</v>
      </c>
      <c r="AH7" s="2928"/>
      <c r="AI7" s="2956"/>
      <c r="AJ7" s="2957"/>
      <c r="AK7" s="2958"/>
      <c r="AL7" s="2959"/>
      <c r="AM7" s="2960"/>
      <c r="AN7" s="2961"/>
      <c r="AO7" s="1089" t="e">
        <f ca="1" t="shared" ref="AO7:AO13" si="8">SUMIF(INDIRECT("'"&amp;AN7&amp;"'"&amp;"!A:A"),"总价",INDIRECT("'"&amp;AN7&amp;"'"&amp;"!B:B"))</f>
        <v>#REF!</v>
      </c>
      <c r="AP7" s="2975">
        <f t="shared" ref="AP7:AP13" si="9">IF(C7="住宅",K7*L7,0)</f>
        <v>0</v>
      </c>
      <c r="AQ7" s="1089">
        <f t="shared" ref="AQ7:AQ13" si="10">ROUND($L$14*$N$14*S7/10000,0)</f>
        <v>0</v>
      </c>
      <c r="AR7" s="1089">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3">
        <f ca="1" t="shared" si="7"/>
        <v>0</v>
      </c>
      <c r="AH8" s="2962"/>
      <c r="AI8" s="2956"/>
      <c r="AJ8" s="2957"/>
      <c r="AK8" s="2963"/>
      <c r="AL8" s="2964"/>
      <c r="AM8" s="2965"/>
      <c r="AN8" s="2961"/>
      <c r="AO8" s="1089" t="e">
        <f ca="1" t="shared" si="8"/>
        <v>#REF!</v>
      </c>
      <c r="AP8" s="2975">
        <f t="shared" si="9"/>
        <v>0</v>
      </c>
      <c r="AQ8" s="1089">
        <f t="shared" si="10"/>
        <v>0</v>
      </c>
      <c r="AR8" s="1089">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3">
        <f ca="1" t="shared" si="7"/>
        <v>0</v>
      </c>
      <c r="AH9" s="2928"/>
      <c r="AI9" s="2956"/>
      <c r="AJ9" s="2957"/>
      <c r="AK9" s="2958"/>
      <c r="AL9" s="2959"/>
      <c r="AM9" s="2960"/>
      <c r="AN9" s="2961"/>
      <c r="AO9" s="1089" t="e">
        <f ca="1" t="shared" si="8"/>
        <v>#REF!</v>
      </c>
      <c r="AP9" s="2975">
        <f t="shared" si="9"/>
        <v>0</v>
      </c>
      <c r="AQ9" s="1089">
        <f t="shared" si="10"/>
        <v>0</v>
      </c>
      <c r="AR9" s="1089">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3">
        <f ca="1" t="shared" si="7"/>
        <v>0</v>
      </c>
      <c r="AH10" s="2928"/>
      <c r="AI10" s="2956"/>
      <c r="AJ10" s="2957"/>
      <c r="AK10" s="2958"/>
      <c r="AL10" s="2959"/>
      <c r="AM10" s="2960"/>
      <c r="AN10" s="2961"/>
      <c r="AO10" s="1089" t="e">
        <f ca="1" t="shared" si="8"/>
        <v>#REF!</v>
      </c>
      <c r="AP10" s="2975">
        <f t="shared" si="9"/>
        <v>0</v>
      </c>
      <c r="AQ10" s="1089">
        <f t="shared" si="10"/>
        <v>0</v>
      </c>
      <c r="AR10" s="1089">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3">
        <f ca="1" t="shared" si="7"/>
        <v>0</v>
      </c>
      <c r="AH11" s="2928"/>
      <c r="AI11" s="2956"/>
      <c r="AJ11" s="2957"/>
      <c r="AK11" s="2966"/>
      <c r="AL11" s="2967"/>
      <c r="AM11" s="2968"/>
      <c r="AN11" s="2961"/>
      <c r="AO11" s="1089" t="e">
        <f ca="1" t="shared" si="8"/>
        <v>#REF!</v>
      </c>
      <c r="AP11" s="2975">
        <f t="shared" si="9"/>
        <v>0</v>
      </c>
      <c r="AQ11" s="1089">
        <f t="shared" si="10"/>
        <v>0</v>
      </c>
      <c r="AR11" s="1089">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3">
        <f ca="1" t="shared" si="7"/>
        <v>0</v>
      </c>
      <c r="AH12" s="2928"/>
      <c r="AI12" s="2956"/>
      <c r="AJ12" s="2957"/>
      <c r="AK12" s="2966"/>
      <c r="AL12" s="2967"/>
      <c r="AM12" s="2968"/>
      <c r="AN12" s="2961"/>
      <c r="AO12" s="1089" t="e">
        <f ca="1" t="shared" si="8"/>
        <v>#REF!</v>
      </c>
      <c r="AP12" s="2975">
        <f t="shared" si="9"/>
        <v>0</v>
      </c>
      <c r="AQ12" s="1089">
        <f t="shared" si="10"/>
        <v>0</v>
      </c>
      <c r="AR12" s="1089">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3">
        <f ca="1" t="shared" si="7"/>
        <v>0</v>
      </c>
      <c r="AH13" s="2928"/>
      <c r="AI13" s="2956"/>
      <c r="AJ13" s="2957"/>
      <c r="AK13" s="2958"/>
      <c r="AL13" s="2959"/>
      <c r="AM13" s="2960"/>
      <c r="AN13" s="2961"/>
      <c r="AO13" s="1089" t="e">
        <f ca="1" t="shared" si="8"/>
        <v>#REF!</v>
      </c>
      <c r="AP13" s="2975">
        <f t="shared" si="9"/>
        <v>0</v>
      </c>
      <c r="AQ13" s="1089">
        <f t="shared" si="10"/>
        <v>0</v>
      </c>
      <c r="AR13" s="1089">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9"/>
      <c r="AG14" s="1513"/>
      <c r="AH14" s="2946"/>
      <c r="AI14" s="1072"/>
      <c r="AJ14" s="1088"/>
      <c r="AK14" s="2969"/>
      <c r="AL14" s="2970"/>
      <c r="AM14" s="2971"/>
      <c r="AN14" s="2197"/>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9"/>
      <c r="AG15" s="1513"/>
      <c r="AH15" s="2946"/>
      <c r="AI15" s="1072"/>
      <c r="AJ15" s="1088"/>
      <c r="AK15" s="2969"/>
      <c r="AL15" s="2970"/>
      <c r="AM15" s="2971"/>
      <c r="AN15" s="2197"/>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255"/>
      <c r="D16" s="2817"/>
      <c r="E16" s="2816"/>
      <c r="F16" s="2816"/>
      <c r="G16" s="2818">
        <f>ROUND(SUMPRODUCT(G6:G13,K6:K13)/SUMPRODUCT((G6:G13&gt;0)*(K6:K13)),3)</f>
        <v>0.849</v>
      </c>
      <c r="H16" s="2819">
        <f>ROUND(SUMPRODUCT(H6:H13,K6:K13)/SUMPRODUCT((H6:H13&gt;0)*(K6:K13)),3)</f>
        <v>0.05</v>
      </c>
      <c r="I16" s="2907"/>
      <c r="J16" s="2907"/>
      <c r="K16" s="2908">
        <f>SUM(K6:K15)</f>
        <v>2791.88</v>
      </c>
      <c r="L16" s="2909">
        <f>ROUND(M16*10000/SUM(K6:K14),0)</f>
        <v>3499</v>
      </c>
      <c r="M16" s="2909">
        <f>SUM(M6:M14)</f>
        <v>977</v>
      </c>
      <c r="N16" s="2910">
        <f>ROUND(SUMPRODUCT(M6:M14,N6:N14)/M16,3)</f>
        <v>0.75</v>
      </c>
      <c r="O16" s="2909">
        <f>SUM(O6:O14)</f>
        <v>0</v>
      </c>
      <c r="P16" s="2909">
        <f>SUM(P6:P14)</f>
        <v>0</v>
      </c>
      <c r="Q16" s="2933">
        <f>ROUND(SUMPRODUCT(Q6:Q13,K6:K13)/SUMPRODUCT((Q6:Q13&gt;0)*(K6:K13)),2)</f>
        <v>0.15</v>
      </c>
      <c r="R16" s="2934">
        <f ca="1">SUM(R6:R13)</f>
        <v>0</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7"/>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197"/>
      <c r="D17" s="2822"/>
      <c r="E17" s="2822"/>
      <c r="F17" s="2197"/>
      <c r="G17" s="2197"/>
      <c r="H17" s="2197"/>
      <c r="I17" s="2197"/>
      <c r="J17" s="2197"/>
      <c r="K17" s="2911"/>
      <c r="L17" s="2911"/>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15" spans="1:44">
      <c r="A18" s="1328" t="s">
        <v>581</v>
      </c>
      <c r="B18" s="2823"/>
      <c r="C18" s="2824"/>
      <c r="D18" s="2825"/>
      <c r="E18" s="2824"/>
      <c r="F18" s="2824"/>
      <c r="G18" s="2824"/>
      <c r="H18" s="2824"/>
      <c r="I18" s="2824"/>
      <c r="J18" s="2824"/>
      <c r="K18" s="2911"/>
      <c r="L18" s="2911"/>
      <c r="M18" s="2197"/>
      <c r="N18" s="2197">
        <v>2004</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4" spans="1:44">
      <c r="A19" s="2826" t="s">
        <v>582</v>
      </c>
      <c r="B19" s="2827">
        <v>0</v>
      </c>
      <c r="C19" s="2828" t="s">
        <v>583</v>
      </c>
      <c r="D19" s="2825"/>
      <c r="E19" s="2824"/>
      <c r="F19" s="2824"/>
      <c r="G19" s="2824"/>
      <c r="H19" s="2824"/>
      <c r="I19" s="2824"/>
      <c r="J19" s="2824"/>
      <c r="K19" s="2911"/>
      <c r="L19" s="2911"/>
      <c r="M19" s="2197"/>
      <c r="N19" s="2197">
        <f>ROUND(1-0.98*(2022-N18)/50,2)</f>
        <v>0.65</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4" spans="1:44">
      <c r="A20" s="2829" t="s">
        <v>584</v>
      </c>
      <c r="B20" s="2830">
        <v>2</v>
      </c>
      <c r="C20" s="2831" t="s">
        <v>585</v>
      </c>
      <c r="D20" s="2825"/>
      <c r="E20" s="2824"/>
      <c r="F20" s="2824"/>
      <c r="G20" s="2824"/>
      <c r="H20" s="2824"/>
      <c r="I20" s="2824"/>
      <c r="J20" s="2824"/>
      <c r="K20" s="2911"/>
      <c r="L20" s="2911"/>
      <c r="M20" s="2197"/>
      <c r="N20" s="2197">
        <v>0.85</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4" spans="1:44">
      <c r="A21" s="2832" t="s">
        <v>586</v>
      </c>
      <c r="B21" s="2830">
        <v>2</v>
      </c>
      <c r="C21" s="2824"/>
      <c r="D21" s="2825"/>
      <c r="E21" s="2824"/>
      <c r="F21" s="2824"/>
      <c r="G21" s="2824"/>
      <c r="H21" s="2824"/>
      <c r="I21" s="2824"/>
      <c r="J21" s="2824"/>
      <c r="K21" s="2911"/>
      <c r="L21" s="2911"/>
      <c r="M21" s="2197"/>
      <c r="N21" s="2197">
        <f>ROUND((N19+N20)/2,2)</f>
        <v>0.75</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4" spans="1:44">
      <c r="A22" s="2829" t="s">
        <v>587</v>
      </c>
      <c r="B22" s="2833">
        <f>B19+B20</f>
        <v>2</v>
      </c>
      <c r="C22" s="2824"/>
      <c r="D22" s="2825"/>
      <c r="E22" s="2824"/>
      <c r="F22" s="2824"/>
      <c r="G22" s="2824"/>
      <c r="H22" s="2824"/>
      <c r="I22" s="2824"/>
      <c r="J22" s="2824"/>
      <c r="K22" s="2911"/>
      <c r="L22" s="2911"/>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4" spans="1:44">
      <c r="A23" s="2832" t="s">
        <v>588</v>
      </c>
      <c r="B23" s="2833">
        <f>B19+B21</f>
        <v>2</v>
      </c>
      <c r="C23" s="2824"/>
      <c r="D23" s="2825"/>
      <c r="E23" s="2824"/>
      <c r="F23" s="2824"/>
      <c r="G23" s="2824"/>
      <c r="H23" s="2824"/>
      <c r="I23" s="2824"/>
      <c r="J23" s="2824"/>
      <c r="K23" s="2911"/>
      <c r="L23" s="2911"/>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15" spans="1:44">
      <c r="A24" s="2834" t="s">
        <v>589</v>
      </c>
      <c r="B24" s="2835">
        <f>B20-B21</f>
        <v>0</v>
      </c>
      <c r="C24" s="2824"/>
      <c r="D24" s="2825"/>
      <c r="E24" s="2824"/>
      <c r="F24" s="2824"/>
      <c r="G24" s="2824"/>
      <c r="H24" s="2824"/>
      <c r="I24" s="2824"/>
      <c r="J24" s="2824"/>
      <c r="K24" s="2911"/>
      <c r="L24" s="2911"/>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4.55" spans="1:44">
      <c r="A25" s="2793"/>
      <c r="B25" s="2794"/>
      <c r="C25" s="2824"/>
      <c r="D25" s="2825"/>
      <c r="E25" s="2824"/>
      <c r="F25" s="2824"/>
      <c r="G25" s="2824"/>
      <c r="H25" s="2824"/>
      <c r="I25" s="2824"/>
      <c r="J25" s="2824"/>
      <c r="K25" s="2911"/>
      <c r="L25" s="2911"/>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15" spans="1:44">
      <c r="A26" s="2789" t="s">
        <v>590</v>
      </c>
      <c r="B26" s="2836" t="s">
        <v>591</v>
      </c>
      <c r="C26" s="2837" t="s">
        <v>592</v>
      </c>
      <c r="D26" s="2825"/>
      <c r="E26" s="2824"/>
      <c r="F26" s="2824"/>
      <c r="G26" s="2824"/>
      <c r="H26" s="2824"/>
      <c r="I26" s="2824"/>
      <c r="J26" s="2824"/>
      <c r="K26" s="2911"/>
      <c r="L26" s="2911"/>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80" customFormat="1" ht="28.8" spans="1:67">
      <c r="A27" s="2838" t="s">
        <v>593</v>
      </c>
      <c r="B27" s="2839"/>
      <c r="C27" s="2840" t="s">
        <v>594</v>
      </c>
      <c r="D27" s="2841"/>
      <c r="E27" s="1204"/>
      <c r="F27" s="1204"/>
      <c r="G27" s="2824"/>
      <c r="H27" s="2824"/>
      <c r="I27" s="2824"/>
      <c r="J27" s="2824"/>
      <c r="K27" s="2911"/>
      <c r="L27" s="2911"/>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80" customFormat="1" ht="28.8" spans="1:67">
      <c r="A28" s="2842" t="s">
        <v>595</v>
      </c>
      <c r="B28" s="2843">
        <v>200</v>
      </c>
      <c r="C28" s="2844"/>
      <c r="D28" s="2841"/>
      <c r="E28" s="1204"/>
      <c r="F28" s="1204"/>
      <c r="G28" s="2824"/>
      <c r="H28" s="2824"/>
      <c r="I28" s="2824"/>
      <c r="J28" s="2824"/>
      <c r="K28" s="2911"/>
      <c r="L28" s="2911"/>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80" customFormat="1" ht="29.55" spans="1:67">
      <c r="A29" s="2845" t="s">
        <v>596</v>
      </c>
      <c r="B29" s="2846"/>
      <c r="C29" s="2847" t="s">
        <v>597</v>
      </c>
      <c r="D29" s="2841"/>
      <c r="E29" s="1204"/>
      <c r="F29" s="1204"/>
      <c r="G29" s="2824"/>
      <c r="H29" s="2824"/>
      <c r="I29" s="2824"/>
      <c r="J29" s="2824"/>
      <c r="K29" s="2911"/>
      <c r="L29" s="2911"/>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80" customFormat="1" ht="28.8" spans="1:67">
      <c r="A30" s="2848" t="s">
        <v>598</v>
      </c>
      <c r="B30" s="2849">
        <v>200</v>
      </c>
      <c r="C30" s="2844"/>
      <c r="D30" s="2841"/>
      <c r="E30" s="1204"/>
      <c r="F30" s="1204"/>
      <c r="G30" s="2824"/>
      <c r="H30" s="2824"/>
      <c r="I30" s="2824"/>
      <c r="J30" s="2824"/>
      <c r="K30" s="2911"/>
      <c r="L30" s="2911"/>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80" customFormat="1" ht="28.8" spans="1:67">
      <c r="A31" s="2842" t="s">
        <v>599</v>
      </c>
      <c r="B31" s="2850">
        <f>B30-B32</f>
        <v>200</v>
      </c>
      <c r="C31" s="2851"/>
      <c r="D31" s="2841"/>
      <c r="E31" s="1204"/>
      <c r="F31" s="1204"/>
      <c r="G31" s="2824"/>
      <c r="H31" s="2824"/>
      <c r="I31" s="2824"/>
      <c r="J31" s="2824"/>
      <c r="K31" s="2911"/>
      <c r="L31" s="2911"/>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80" customFormat="1" ht="29.55" spans="1:67">
      <c r="A32" s="2852" t="s">
        <v>600</v>
      </c>
      <c r="B32" s="2853">
        <v>0</v>
      </c>
      <c r="C32" s="2844"/>
      <c r="D32" s="2825"/>
      <c r="E32" s="2824"/>
      <c r="F32" s="2824"/>
      <c r="G32" s="2824"/>
      <c r="H32" s="2824"/>
      <c r="I32" s="2824"/>
      <c r="J32" s="2824"/>
      <c r="K32" s="2911"/>
      <c r="L32" s="2911"/>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80" customFormat="1" ht="14.4" spans="1:67">
      <c r="A33" s="2838" t="s">
        <v>601</v>
      </c>
      <c r="B33" s="2854">
        <v>0.03</v>
      </c>
      <c r="C33" s="2855" t="s">
        <v>602</v>
      </c>
      <c r="D33" s="2825"/>
      <c r="E33" s="2824"/>
      <c r="F33" s="2824"/>
      <c r="G33" s="2824"/>
      <c r="H33" s="2824"/>
      <c r="I33" s="2824"/>
      <c r="J33" s="2824"/>
      <c r="K33" s="2911"/>
      <c r="L33" s="2911"/>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80" customFormat="1" ht="14.4" spans="1:67">
      <c r="A34" s="2842" t="s">
        <v>603</v>
      </c>
      <c r="B34" s="2856">
        <v>0</v>
      </c>
      <c r="C34" s="2855" t="s">
        <v>604</v>
      </c>
      <c r="D34" s="2857" t="s">
        <v>605</v>
      </c>
      <c r="E34" s="2821"/>
      <c r="F34" s="2824"/>
      <c r="G34" s="2824"/>
      <c r="H34" s="2824"/>
      <c r="I34" s="2824"/>
      <c r="J34" s="2824"/>
      <c r="K34" s="2911"/>
      <c r="L34" s="2911"/>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80" customFormat="1" ht="14.4" spans="1:67">
      <c r="A35" s="2842" t="s">
        <v>606</v>
      </c>
      <c r="B35" s="2843">
        <v>200</v>
      </c>
      <c r="C35" s="2855" t="s">
        <v>607</v>
      </c>
      <c r="D35" s="2841"/>
      <c r="E35" s="1204"/>
      <c r="F35" s="1204"/>
      <c r="G35" s="2824"/>
      <c r="H35" s="2824"/>
      <c r="I35" s="2824"/>
      <c r="J35" s="2824"/>
      <c r="K35" s="2911"/>
      <c r="L35" s="2911"/>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15" spans="1:44">
      <c r="A36" s="2845" t="s">
        <v>608</v>
      </c>
      <c r="B36" s="2858">
        <v>0.015</v>
      </c>
      <c r="C36" s="2855" t="s">
        <v>609</v>
      </c>
      <c r="D36" s="2825"/>
      <c r="E36" s="2824"/>
      <c r="F36" s="2824"/>
      <c r="G36" s="2824"/>
      <c r="H36" s="2824"/>
      <c r="I36" s="2824"/>
      <c r="J36" s="2824"/>
      <c r="K36" s="2911"/>
      <c r="L36" s="2911"/>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4" spans="1:44">
      <c r="A37" s="2848" t="s">
        <v>610</v>
      </c>
      <c r="B37" s="2859">
        <v>0.02</v>
      </c>
      <c r="C37" s="2855" t="s">
        <v>611</v>
      </c>
      <c r="D37" s="2825"/>
      <c r="E37" s="2824"/>
      <c r="F37" s="2824"/>
      <c r="G37" s="2824"/>
      <c r="H37" s="2824"/>
      <c r="I37" s="2824"/>
      <c r="J37" s="2824"/>
      <c r="K37" s="2911"/>
      <c r="L37" s="2911"/>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4" spans="1:44">
      <c r="A38" s="2842" t="s">
        <v>612</v>
      </c>
      <c r="B38" s="2856">
        <v>0.02</v>
      </c>
      <c r="C38" s="2855" t="s">
        <v>611</v>
      </c>
      <c r="D38" s="2825"/>
      <c r="E38" s="2824"/>
      <c r="F38" s="2824"/>
      <c r="G38" s="2824"/>
      <c r="H38" s="2824"/>
      <c r="I38" s="2824"/>
      <c r="J38" s="2824"/>
      <c r="K38" s="2911"/>
      <c r="L38" s="2911"/>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4" spans="1:44">
      <c r="A39" s="2852" t="s">
        <v>613</v>
      </c>
      <c r="B39" s="2860">
        <f ca="1">存贷款利率!I1</f>
        <v>0.015</v>
      </c>
      <c r="C39" s="2861"/>
      <c r="D39" s="2825"/>
      <c r="E39" s="2824"/>
      <c r="F39" s="2824"/>
      <c r="G39" s="2824"/>
      <c r="H39" s="2824"/>
      <c r="I39" s="2824"/>
      <c r="J39" s="2824"/>
      <c r="K39" s="2911"/>
      <c r="L39" s="2911"/>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29.55" spans="1:44">
      <c r="A40" s="2862" t="s">
        <v>614</v>
      </c>
      <c r="B40" s="2863">
        <f ca="1">IF(A40="利息：取LPR",存贷款利率!G1,存贷款利率!G1+C40)</f>
        <v>0.0415</v>
      </c>
      <c r="C40" s="2864">
        <v>0.005</v>
      </c>
      <c r="D40" s="2197"/>
      <c r="E40" s="2825"/>
      <c r="F40" s="2824"/>
      <c r="G40" s="2824"/>
      <c r="H40" s="2824"/>
      <c r="I40" s="2824"/>
      <c r="J40" s="2824"/>
      <c r="K40" s="2911"/>
      <c r="L40" s="2911"/>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4" spans="1:44">
      <c r="A41" s="2838" t="s">
        <v>615</v>
      </c>
      <c r="B41" s="2865">
        <f>B42+B43</f>
        <v>0.056</v>
      </c>
      <c r="C41" s="2851"/>
      <c r="D41" s="2197"/>
      <c r="E41" s="2825"/>
      <c r="F41" s="2824"/>
      <c r="G41" s="2824"/>
      <c r="H41" s="2824"/>
      <c r="I41" s="2824"/>
      <c r="J41" s="2824"/>
      <c r="K41" s="2911"/>
      <c r="L41" s="2911"/>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4" spans="1:44">
      <c r="A42" s="2866" t="s">
        <v>616</v>
      </c>
      <c r="B42" s="2867">
        <v>0.05</v>
      </c>
      <c r="C42" s="2868">
        <f>IF(B2&lt;DATE(2016,5,1),0,B42)</f>
        <v>0.05</v>
      </c>
      <c r="D42" s="2825"/>
      <c r="E42" s="2824"/>
      <c r="F42" s="2824"/>
      <c r="G42" s="2824"/>
      <c r="H42" s="2824"/>
      <c r="I42" s="2824"/>
      <c r="J42" s="2824"/>
      <c r="K42" s="2911"/>
      <c r="L42" s="2911"/>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4" spans="1:44">
      <c r="A43" s="2866" t="s">
        <v>617</v>
      </c>
      <c r="B43" s="2869">
        <f>B42*(B44+B45+B46)+B47</f>
        <v>0.006</v>
      </c>
      <c r="C43" s="2851"/>
      <c r="D43" s="2825"/>
      <c r="E43" s="2824"/>
      <c r="F43" s="2824"/>
      <c r="G43" s="2824"/>
      <c r="H43" s="2824"/>
      <c r="I43" s="2824"/>
      <c r="J43" s="2824"/>
      <c r="K43" s="2911"/>
      <c r="L43" s="2911"/>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4" spans="1:44">
      <c r="A44" s="2870" t="s">
        <v>618</v>
      </c>
      <c r="B44" s="2871">
        <v>0.07</v>
      </c>
      <c r="C44" s="2855" t="s">
        <v>619</v>
      </c>
      <c r="D44" s="2825"/>
      <c r="E44" s="2824"/>
      <c r="F44" s="2824"/>
      <c r="G44" s="2824"/>
      <c r="H44" s="2824"/>
      <c r="I44" s="2824"/>
      <c r="J44" s="2824"/>
      <c r="K44" s="2911"/>
      <c r="L44" s="2911"/>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4" spans="1:44">
      <c r="A45" s="2870" t="s">
        <v>620</v>
      </c>
      <c r="B45" s="2867">
        <v>0.03</v>
      </c>
      <c r="C45" s="2847" t="s">
        <v>621</v>
      </c>
      <c r="D45" s="2825"/>
      <c r="E45" s="2824"/>
      <c r="F45" s="2824"/>
      <c r="G45" s="2824"/>
      <c r="H45" s="2824"/>
      <c r="I45" s="2824"/>
      <c r="J45" s="2824"/>
      <c r="K45" s="2911"/>
      <c r="L45" s="2911"/>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4" spans="1:44">
      <c r="A46" s="2870" t="s">
        <v>622</v>
      </c>
      <c r="B46" s="2867">
        <v>0.02</v>
      </c>
      <c r="C46" s="2847" t="s">
        <v>623</v>
      </c>
      <c r="D46" s="2825"/>
      <c r="E46" s="2824"/>
      <c r="F46" s="2824"/>
      <c r="G46" s="2824"/>
      <c r="H46" s="2824"/>
      <c r="I46" s="2824"/>
      <c r="J46" s="2824"/>
      <c r="K46" s="2911"/>
      <c r="L46" s="2911"/>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15" spans="1:44">
      <c r="A47" s="2872" t="s">
        <v>624</v>
      </c>
      <c r="B47" s="2873"/>
      <c r="C47" s="2874" t="s">
        <v>625</v>
      </c>
      <c r="D47" s="2825"/>
      <c r="E47" s="2824"/>
      <c r="F47" s="2824"/>
      <c r="G47" s="2824"/>
      <c r="H47" s="2824"/>
      <c r="I47" s="2824"/>
      <c r="J47" s="2824"/>
      <c r="K47" s="2911"/>
      <c r="L47" s="2911"/>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4" spans="1:44">
      <c r="A48" s="2875" t="s">
        <v>626</v>
      </c>
      <c r="B48" s="2876">
        <v>0.03</v>
      </c>
      <c r="C48" s="2847" t="s">
        <v>621</v>
      </c>
      <c r="D48" s="2825"/>
      <c r="E48" s="2824"/>
      <c r="F48" s="2824"/>
      <c r="G48" s="2824"/>
      <c r="H48" s="2824"/>
      <c r="I48" s="2824"/>
      <c r="J48" s="2824"/>
      <c r="K48" s="2911"/>
      <c r="L48" s="2911"/>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15" spans="1:44">
      <c r="A49" s="2852" t="s">
        <v>627</v>
      </c>
      <c r="B49" s="2867">
        <v>0.0005</v>
      </c>
      <c r="C49" s="2847" t="s">
        <v>628</v>
      </c>
      <c r="D49" s="2825"/>
      <c r="E49" s="2824"/>
      <c r="F49" s="2824"/>
      <c r="G49" s="2824"/>
      <c r="H49" s="2824"/>
      <c r="I49" s="2824"/>
      <c r="J49" s="2824"/>
      <c r="K49" s="2911"/>
      <c r="L49" s="2911"/>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4" spans="1:44">
      <c r="A50" s="2877" t="s">
        <v>629</v>
      </c>
      <c r="B50" s="2878">
        <v>0.012</v>
      </c>
      <c r="C50" s="1204"/>
      <c r="D50" s="2825"/>
      <c r="E50" s="2824"/>
      <c r="F50" s="2824"/>
      <c r="G50" s="2824"/>
      <c r="H50" s="2824"/>
      <c r="I50" s="2824"/>
      <c r="J50" s="2824"/>
      <c r="K50" s="2911"/>
      <c r="L50" s="2911"/>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15" spans="1:44">
      <c r="A51" s="2845" t="s">
        <v>630</v>
      </c>
      <c r="B51" s="2879">
        <v>0.12</v>
      </c>
      <c r="C51" s="1204"/>
      <c r="D51" s="2825"/>
      <c r="E51" s="2824"/>
      <c r="F51" s="2824"/>
      <c r="G51" s="2824"/>
      <c r="H51" s="2824"/>
      <c r="I51" s="2824"/>
      <c r="J51" s="2824"/>
      <c r="K51" s="2911"/>
      <c r="L51" s="2911"/>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4" spans="1:44">
      <c r="A52" s="2877" t="s">
        <v>631</v>
      </c>
      <c r="B52" s="2880">
        <f>SUMIF(A54:A63,B53,B54:B63)</f>
        <v>30</v>
      </c>
      <c r="C52" s="1204"/>
      <c r="D52" s="2825"/>
      <c r="E52" s="2824"/>
      <c r="F52" s="2824"/>
      <c r="G52" s="2824"/>
      <c r="H52" s="2824"/>
      <c r="I52" s="2824"/>
      <c r="J52" s="2824"/>
      <c r="K52" s="2911"/>
      <c r="L52" s="2911"/>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8.8" spans="1:44">
      <c r="A53" s="2842" t="s">
        <v>632</v>
      </c>
      <c r="B53" s="2881" t="s">
        <v>230</v>
      </c>
      <c r="C53" s="1204" t="s">
        <v>633</v>
      </c>
      <c r="D53" s="2882" t="s">
        <v>634</v>
      </c>
      <c r="E53" s="2824"/>
      <c r="F53" s="2824"/>
      <c r="G53" s="2824"/>
      <c r="H53" s="2824"/>
      <c r="I53" s="2824"/>
      <c r="J53" s="2824"/>
      <c r="K53" s="2911"/>
      <c r="L53" s="2911"/>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4" spans="1:44">
      <c r="A54" s="2883" t="s">
        <v>635</v>
      </c>
      <c r="B54" s="2884">
        <v>30</v>
      </c>
      <c r="C54" s="1204">
        <v>30</v>
      </c>
      <c r="D54" s="2825"/>
      <c r="E54" s="2824"/>
      <c r="F54" s="2824"/>
      <c r="G54" s="2824"/>
      <c r="H54" s="2824"/>
      <c r="I54" s="2824"/>
      <c r="J54" s="2824"/>
      <c r="K54" s="2911"/>
      <c r="L54" s="2911"/>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4" spans="1:44">
      <c r="A55" s="2883" t="s">
        <v>636</v>
      </c>
      <c r="B55" s="2884"/>
      <c r="C55" s="1204">
        <v>24</v>
      </c>
      <c r="D55" s="2825"/>
      <c r="E55" s="2824"/>
      <c r="F55" s="2824"/>
      <c r="G55" s="2824"/>
      <c r="H55" s="2824"/>
      <c r="I55" s="2912"/>
      <c r="J55" s="2824"/>
      <c r="K55" s="2911"/>
      <c r="L55" s="2911"/>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4" spans="1:44">
      <c r="A56" s="2883" t="s">
        <v>637</v>
      </c>
      <c r="B56" s="2884"/>
      <c r="C56" s="1204">
        <v>18</v>
      </c>
      <c r="D56" s="2825"/>
      <c r="E56" s="2824"/>
      <c r="F56" s="2824"/>
      <c r="G56" s="2824"/>
      <c r="H56" s="2824"/>
      <c r="I56" s="2824"/>
      <c r="J56" s="2824"/>
      <c r="K56" s="2911"/>
      <c r="L56" s="2911"/>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4" spans="1:44">
      <c r="A57" s="2883" t="s">
        <v>638</v>
      </c>
      <c r="B57" s="2884"/>
      <c r="C57" s="1204">
        <v>12</v>
      </c>
      <c r="D57" s="2825"/>
      <c r="E57" s="2824"/>
      <c r="F57" s="2824"/>
      <c r="G57" s="2824"/>
      <c r="H57" s="2824"/>
      <c r="I57" s="2824"/>
      <c r="J57" s="2824"/>
      <c r="K57" s="2911"/>
      <c r="L57" s="2911"/>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4" spans="1:44">
      <c r="A58" s="2883" t="s">
        <v>639</v>
      </c>
      <c r="B58" s="2884"/>
      <c r="C58" s="1204">
        <v>3</v>
      </c>
      <c r="D58" s="2825"/>
      <c r="E58" s="2824"/>
      <c r="F58" s="2824"/>
      <c r="G58" s="2824"/>
      <c r="H58" s="2824"/>
      <c r="I58" s="2824"/>
      <c r="J58" s="2824"/>
      <c r="K58" s="2911"/>
      <c r="L58" s="2911"/>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4" spans="1:44">
      <c r="A59" s="2883" t="s">
        <v>640</v>
      </c>
      <c r="B59" s="2884"/>
      <c r="C59" s="1204">
        <v>1.5</v>
      </c>
      <c r="D59" s="2825"/>
      <c r="E59" s="2824"/>
      <c r="F59" s="2824"/>
      <c r="G59" s="2824"/>
      <c r="H59" s="2824"/>
      <c r="I59" s="2824"/>
      <c r="J59" s="2824"/>
      <c r="K59" s="2911"/>
      <c r="L59" s="2911"/>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4" spans="1:44">
      <c r="A60" s="2883" t="s">
        <v>641</v>
      </c>
      <c r="B60" s="2884"/>
      <c r="C60" s="2824"/>
      <c r="D60" s="2825"/>
      <c r="E60" s="2824"/>
      <c r="F60" s="2824"/>
      <c r="G60" s="2824"/>
      <c r="H60" s="2824"/>
      <c r="I60" s="2824"/>
      <c r="J60" s="2824"/>
      <c r="K60" s="2911"/>
      <c r="L60" s="2911"/>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4" spans="1:44">
      <c r="A61" s="2883" t="s">
        <v>642</v>
      </c>
      <c r="B61" s="2884"/>
      <c r="C61" s="2824"/>
      <c r="D61" s="2825"/>
      <c r="E61" s="2824"/>
      <c r="F61" s="2824"/>
      <c r="G61" s="2824"/>
      <c r="H61" s="2824"/>
      <c r="I61" s="2824"/>
      <c r="J61" s="2824"/>
      <c r="K61" s="2911"/>
      <c r="L61" s="2911"/>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4" spans="1:44">
      <c r="A62" s="2883" t="s">
        <v>643</v>
      </c>
      <c r="B62" s="2884"/>
      <c r="C62" s="2824"/>
      <c r="D62" s="2825"/>
      <c r="E62" s="2824"/>
      <c r="F62" s="2824"/>
      <c r="G62" s="2824"/>
      <c r="H62" s="2824"/>
      <c r="I62" s="2824"/>
      <c r="J62" s="2824"/>
      <c r="K62" s="2911"/>
      <c r="L62" s="2911"/>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15" spans="1:44">
      <c r="A63" s="2885" t="s">
        <v>644</v>
      </c>
      <c r="B63" s="2886"/>
      <c r="C63" s="2824"/>
      <c r="D63" s="2825"/>
      <c r="E63" s="2824"/>
      <c r="F63" s="2824"/>
      <c r="G63" s="2824"/>
      <c r="H63" s="2824"/>
      <c r="I63" s="2824"/>
      <c r="J63" s="2824"/>
      <c r="K63" s="2911"/>
      <c r="L63" s="2911"/>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7"/>
      <c r="B64" s="2197"/>
      <c r="C64" s="2197"/>
      <c r="D64" s="2822"/>
      <c r="E64" s="2197"/>
      <c r="F64" s="2197"/>
      <c r="G64" s="2197"/>
      <c r="H64" s="2197"/>
      <c r="I64" s="2197"/>
      <c r="J64" s="2197"/>
      <c r="K64" s="2911"/>
      <c r="L64" s="2911"/>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7"/>
      <c r="B65" s="2197"/>
      <c r="C65" s="2197"/>
      <c r="D65" s="2822"/>
      <c r="E65" s="2197"/>
      <c r="F65" s="2197"/>
      <c r="G65" s="2197"/>
      <c r="H65" s="2197"/>
      <c r="I65" s="2197"/>
      <c r="J65" s="2197"/>
      <c r="K65" s="2911"/>
      <c r="L65" s="2911"/>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7"/>
      <c r="B66" s="2197"/>
      <c r="C66" s="2197"/>
      <c r="D66" s="2822"/>
      <c r="E66" s="2197"/>
      <c r="F66" s="2197"/>
      <c r="G66" s="2197"/>
      <c r="H66" s="2197"/>
      <c r="I66" s="2197"/>
      <c r="J66" s="2197"/>
      <c r="K66" s="2911"/>
      <c r="L66" s="2911"/>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7"/>
      <c r="B67" s="2197"/>
      <c r="C67" s="2197"/>
      <c r="D67" s="2822"/>
      <c r="E67" s="2197"/>
      <c r="F67" s="2197"/>
      <c r="G67" s="2197"/>
      <c r="H67" s="2197"/>
      <c r="I67" s="2197"/>
      <c r="J67" s="2197"/>
      <c r="K67" s="2911"/>
      <c r="L67" s="2911"/>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7"/>
      <c r="B68" s="2197"/>
      <c r="C68" s="2197"/>
      <c r="D68" s="2822"/>
      <c r="E68" s="2197"/>
      <c r="F68" s="2197"/>
      <c r="G68" s="2197"/>
      <c r="H68" s="2197"/>
      <c r="I68" s="2197"/>
      <c r="J68" s="2197"/>
      <c r="K68" s="2911"/>
      <c r="L68" s="2911"/>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6"/>
      <c r="K69" s="2159"/>
      <c r="L69" s="2159"/>
    </row>
    <row r="70" s="2270" customFormat="1" spans="1:12">
      <c r="A70" s="2686"/>
      <c r="D70" s="2976"/>
      <c r="K70" s="2159"/>
      <c r="L70" s="2159"/>
    </row>
    <row r="71" s="2270" customFormat="1" spans="1:12">
      <c r="A71" s="2686"/>
      <c r="D71" s="2976"/>
      <c r="K71" s="2159"/>
      <c r="L71" s="2159"/>
    </row>
    <row r="72" s="2270" customFormat="1" spans="1:12">
      <c r="A72" s="2686"/>
      <c r="D72" s="2976"/>
      <c r="K72" s="2159"/>
      <c r="L72" s="2159"/>
    </row>
    <row r="73" s="2270" customFormat="1" spans="1:12">
      <c r="A73" s="2686"/>
      <c r="D73" s="2976"/>
      <c r="K73" s="2159"/>
      <c r="L73" s="2159"/>
    </row>
    <row r="74" s="2270" customFormat="1" spans="1:12">
      <c r="A74" s="2686"/>
      <c r="D74" s="2976"/>
      <c r="K74" s="2159"/>
      <c r="L74" s="2159"/>
    </row>
    <row r="75" s="2270" customFormat="1" spans="1:12">
      <c r="A75" s="2686"/>
      <c r="D75" s="2976"/>
      <c r="K75" s="2159"/>
      <c r="L75" s="2159"/>
    </row>
    <row r="76" s="2270" customFormat="1" spans="1:12">
      <c r="A76" s="2686"/>
      <c r="D76" s="2976"/>
      <c r="K76" s="2159"/>
      <c r="L76" s="2159"/>
    </row>
    <row r="77" s="2270" customFormat="1" spans="1:12">
      <c r="A77" s="2686"/>
      <c r="D77" s="2976"/>
      <c r="K77" s="2159"/>
      <c r="L77" s="2159"/>
    </row>
    <row r="78" s="2270" customFormat="1" spans="1:12">
      <c r="A78" s="2686"/>
      <c r="D78" s="2976"/>
      <c r="K78" s="2159"/>
      <c r="L78" s="2159"/>
    </row>
    <row r="79" s="2270" customFormat="1" spans="1:12">
      <c r="A79" s="2686"/>
      <c r="D79" s="2976"/>
      <c r="K79" s="2159"/>
      <c r="L79" s="2159"/>
    </row>
    <row r="80" s="2270" customFormat="1" spans="1:12">
      <c r="A80" s="2686"/>
      <c r="D80" s="2976"/>
      <c r="K80" s="2159"/>
      <c r="L80" s="2159"/>
    </row>
    <row r="81" s="2270" customFormat="1" spans="1:12">
      <c r="A81" s="2686"/>
      <c r="D81" s="2976"/>
      <c r="K81" s="2159"/>
      <c r="L81" s="2159"/>
    </row>
    <row r="82" s="2270" customFormat="1" spans="1:12">
      <c r="A82" s="2686"/>
      <c r="D82" s="2976"/>
      <c r="K82" s="2159"/>
      <c r="L82" s="2159"/>
    </row>
    <row r="83" s="2270" customFormat="1" spans="1:12">
      <c r="A83" s="2686"/>
      <c r="D83" s="2976"/>
      <c r="K83" s="2159"/>
      <c r="L83" s="2159"/>
    </row>
    <row r="84" s="2270" customFormat="1" spans="1:12">
      <c r="A84" s="2686"/>
      <c r="D84" s="2976"/>
      <c r="K84" s="2159"/>
      <c r="L84" s="2159"/>
    </row>
    <row r="85" s="2270" customFormat="1" spans="1:12">
      <c r="A85" s="2686"/>
      <c r="D85" s="2976"/>
      <c r="K85" s="2159"/>
      <c r="L85" s="2159"/>
    </row>
    <row r="86" s="2270" customFormat="1" spans="1:12">
      <c r="A86" s="2686"/>
      <c r="D86" s="2976"/>
      <c r="K86" s="2159"/>
      <c r="L86" s="2159"/>
    </row>
    <row r="87" s="2270" customFormat="1" spans="1:12">
      <c r="A87" s="2686"/>
      <c r="D87" s="2976"/>
      <c r="K87" s="2159"/>
      <c r="L87" s="2159"/>
    </row>
    <row r="88" s="2270" customFormat="1" spans="1:12">
      <c r="A88" s="2686"/>
      <c r="D88" s="2976"/>
      <c r="K88" s="2159"/>
      <c r="L88" s="2159"/>
    </row>
    <row r="89" s="2270" customFormat="1" spans="1:12">
      <c r="A89" s="2686"/>
      <c r="D89" s="2976"/>
      <c r="K89" s="2159"/>
      <c r="L89" s="2159"/>
    </row>
    <row r="90" s="2270" customFormat="1" spans="1:12">
      <c r="A90" s="2686"/>
      <c r="D90" s="2976"/>
      <c r="K90" s="2159"/>
      <c r="L90" s="2159"/>
    </row>
    <row r="91" s="2270" customFormat="1" spans="1:12">
      <c r="A91" s="2686"/>
      <c r="D91" s="2976"/>
      <c r="K91" s="2159"/>
      <c r="L91" s="2159"/>
    </row>
    <row r="92" s="2270" customFormat="1" spans="1:12">
      <c r="A92" s="2686"/>
      <c r="D92" s="2976"/>
      <c r="K92" s="2159"/>
      <c r="L92" s="2159"/>
    </row>
    <row r="93" s="2270" customFormat="1" spans="1:12">
      <c r="A93" s="2686"/>
      <c r="D93" s="2976"/>
      <c r="K93" s="2159"/>
      <c r="L93" s="2159"/>
    </row>
    <row r="94" s="2270" customFormat="1" spans="1:12">
      <c r="A94" s="2686"/>
      <c r="D94" s="2976"/>
      <c r="K94" s="2159"/>
      <c r="L94" s="2159"/>
    </row>
    <row r="95" s="2270" customFormat="1" spans="1:12">
      <c r="A95" s="2686"/>
      <c r="D95" s="2976"/>
      <c r="K95" s="2159"/>
      <c r="L95" s="2159"/>
    </row>
    <row r="96" s="2270" customFormat="1" spans="1:12">
      <c r="A96" s="2686"/>
      <c r="D96" s="2976"/>
      <c r="K96" s="2159"/>
      <c r="L96" s="2159"/>
    </row>
    <row r="97" s="2270" customFormat="1" spans="1:12">
      <c r="A97" s="2686"/>
      <c r="D97" s="2976"/>
      <c r="K97" s="2159"/>
      <c r="L97" s="2159"/>
    </row>
    <row r="98" s="2270" customFormat="1" spans="1:12">
      <c r="A98" s="2686"/>
      <c r="D98" s="2976"/>
      <c r="K98" s="2159"/>
      <c r="L98" s="2159"/>
    </row>
    <row r="99" s="2270" customFormat="1" spans="1:12">
      <c r="A99" s="2686"/>
      <c r="D99" s="2976"/>
      <c r="K99" s="2159"/>
      <c r="L99" s="2159"/>
    </row>
    <row r="100" s="2270" customFormat="1" spans="1:12">
      <c r="A100" s="2686"/>
      <c r="D100" s="2976"/>
      <c r="K100" s="2159"/>
      <c r="L100" s="2159"/>
    </row>
    <row r="101" s="2270" customFormat="1" spans="1:12">
      <c r="A101" s="2686"/>
      <c r="D101" s="2976"/>
      <c r="K101" s="2159"/>
      <c r="L101" s="2159"/>
    </row>
    <row r="102" s="2270" customFormat="1" spans="1:12">
      <c r="A102" s="2686"/>
      <c r="D102" s="2976"/>
      <c r="K102" s="2159"/>
      <c r="L102" s="2159"/>
    </row>
    <row r="103" s="2270" customFormat="1" spans="1:12">
      <c r="A103" s="2686"/>
      <c r="D103" s="2976"/>
      <c r="K103" s="2159"/>
      <c r="L103" s="2159"/>
    </row>
    <row r="104" s="2270" customFormat="1" spans="1:12">
      <c r="A104" s="2686"/>
      <c r="D104" s="2976"/>
      <c r="K104" s="2159"/>
      <c r="L104" s="2159"/>
    </row>
    <row r="105" s="2270" customFormat="1" spans="1:12">
      <c r="A105" s="2686"/>
      <c r="D105" s="2976"/>
      <c r="K105" s="2159"/>
      <c r="L105" s="2159"/>
    </row>
    <row r="106" s="2270" customFormat="1" spans="1:12">
      <c r="A106" s="2686"/>
      <c r="D106" s="2976"/>
      <c r="K106" s="2159"/>
      <c r="L106" s="2159"/>
    </row>
    <row r="107" s="2270" customFormat="1" spans="1:12">
      <c r="A107" s="2686"/>
      <c r="D107" s="2976"/>
      <c r="K107" s="2159"/>
      <c r="L107" s="2159"/>
    </row>
    <row r="108" s="2270" customFormat="1" spans="1:12">
      <c r="A108" s="2686"/>
      <c r="D108" s="2976"/>
      <c r="K108" s="2159"/>
      <c r="L108" s="2159"/>
    </row>
    <row r="109" s="2270" customFormat="1" spans="1:12">
      <c r="A109" s="2686"/>
      <c r="D109" s="2976"/>
      <c r="K109" s="2159"/>
      <c r="L109" s="2159"/>
    </row>
    <row r="110" s="2270" customFormat="1" spans="1:12">
      <c r="A110" s="2686"/>
      <c r="D110" s="2976"/>
      <c r="K110" s="2159"/>
      <c r="L110" s="2159"/>
    </row>
    <row r="111" s="2270" customFormat="1" spans="1:12">
      <c r="A111" s="2686"/>
      <c r="D111" s="2976"/>
      <c r="K111" s="2159"/>
      <c r="L111" s="2159"/>
    </row>
    <row r="112" s="2270" customFormat="1" spans="1:12">
      <c r="A112" s="2686"/>
      <c r="D112" s="2976"/>
      <c r="K112" s="2159"/>
      <c r="L112" s="2159"/>
    </row>
    <row r="113" s="2270" customFormat="1" spans="1:12">
      <c r="A113" s="2686"/>
      <c r="D113" s="2976"/>
      <c r="K113" s="2159"/>
      <c r="L113" s="2159"/>
    </row>
    <row r="114" s="2270" customFormat="1" spans="1:12">
      <c r="A114" s="2686"/>
      <c r="D114" s="2976"/>
      <c r="K114" s="2159"/>
      <c r="L114" s="2159"/>
    </row>
    <row r="115" s="2270" customFormat="1" spans="1:12">
      <c r="A115" s="2686"/>
      <c r="D115" s="2976"/>
      <c r="K115" s="2159"/>
      <c r="L115" s="2159"/>
    </row>
    <row r="116" s="2270" customFormat="1" spans="1:12">
      <c r="A116" s="2686"/>
      <c r="D116" s="2976"/>
      <c r="K116" s="2159"/>
      <c r="L116" s="2159"/>
    </row>
    <row r="117" s="2270" customFormat="1" spans="1:12">
      <c r="A117" s="2686"/>
      <c r="D117" s="2976"/>
      <c r="K117" s="2159"/>
      <c r="L117" s="2159"/>
    </row>
    <row r="118" s="2270" customFormat="1" spans="1:12">
      <c r="A118" s="2686"/>
      <c r="D118" s="2976"/>
      <c r="K118" s="2159"/>
      <c r="L118" s="2159"/>
    </row>
    <row r="119" s="2270" customFormat="1" spans="1:12">
      <c r="A119" s="2686"/>
      <c r="D119" s="2976"/>
      <c r="K119" s="2159"/>
      <c r="L119" s="2159"/>
    </row>
    <row r="120" s="2270" customFormat="1" spans="1:12">
      <c r="A120" s="2686"/>
      <c r="D120" s="2976"/>
      <c r="K120" s="2159"/>
      <c r="L120" s="2159"/>
    </row>
    <row r="121" s="2270" customFormat="1" spans="1:12">
      <c r="A121" s="2686"/>
      <c r="D121" s="2976"/>
      <c r="K121" s="2159"/>
      <c r="L121" s="2159"/>
    </row>
    <row r="122" s="2270" customFormat="1" spans="1:12">
      <c r="A122" s="2686"/>
      <c r="D122" s="2976"/>
      <c r="K122" s="2159"/>
      <c r="L122" s="2159"/>
    </row>
    <row r="123" s="2270" customFormat="1" spans="1:12">
      <c r="A123" s="2686"/>
      <c r="D123" s="2976"/>
      <c r="K123" s="2159"/>
      <c r="L123" s="2159"/>
    </row>
    <row r="124" s="2270" customFormat="1" spans="1:12">
      <c r="A124" s="2686"/>
      <c r="D124" s="2976"/>
      <c r="K124" s="2159"/>
      <c r="L124" s="2159"/>
    </row>
    <row r="125" s="2270" customFormat="1" spans="1:12">
      <c r="A125" s="2686"/>
      <c r="D125" s="2976"/>
      <c r="K125" s="2159"/>
      <c r="L125" s="2159"/>
    </row>
    <row r="126" s="2270" customFormat="1" spans="1:12">
      <c r="A126" s="2686"/>
      <c r="D126" s="2976"/>
      <c r="K126" s="2159"/>
      <c r="L126" s="2159"/>
    </row>
    <row r="127" s="2270" customFormat="1" spans="1:12">
      <c r="A127" s="2686"/>
      <c r="D127" s="2976"/>
      <c r="K127" s="2159"/>
      <c r="L127" s="2159"/>
    </row>
    <row r="128" s="2270" customFormat="1" spans="1:12">
      <c r="A128" s="2686"/>
      <c r="D128" s="2976"/>
      <c r="K128" s="2159"/>
      <c r="L128" s="2159"/>
    </row>
    <row r="129" s="2270" customFormat="1" spans="1:12">
      <c r="A129" s="2686"/>
      <c r="D129" s="2976"/>
      <c r="K129" s="2159"/>
      <c r="L129" s="2159"/>
    </row>
    <row r="130" s="2270" customFormat="1" spans="1:12">
      <c r="A130" s="2686"/>
      <c r="D130" s="2976"/>
      <c r="K130" s="2159"/>
      <c r="L130" s="2159"/>
    </row>
    <row r="131" s="2270" customFormat="1" spans="1:12">
      <c r="A131" s="2686"/>
      <c r="D131" s="2976"/>
      <c r="K131" s="2159"/>
      <c r="L131" s="2159"/>
    </row>
    <row r="132" s="2270" customFormat="1" spans="1:12">
      <c r="A132" s="2686"/>
      <c r="D132" s="2976"/>
      <c r="K132" s="2159"/>
      <c r="L132" s="2159"/>
    </row>
    <row r="133" s="2270" customFormat="1" spans="1:12">
      <c r="A133" s="2686"/>
      <c r="D133" s="2976"/>
      <c r="K133" s="2159"/>
      <c r="L133" s="2159"/>
    </row>
    <row r="134" s="2781" customFormat="1" spans="1:12">
      <c r="A134" s="2977"/>
      <c r="D134" s="2978"/>
      <c r="K134" s="2063"/>
      <c r="L134" s="2063"/>
    </row>
    <row r="135" s="2781" customFormat="1" spans="1:12">
      <c r="A135" s="2977"/>
      <c r="D135" s="2978"/>
      <c r="K135" s="2063"/>
      <c r="L135" s="2063"/>
    </row>
    <row r="136" s="2781" customFormat="1" spans="1:12">
      <c r="A136" s="2977"/>
      <c r="D136" s="2978"/>
      <c r="K136" s="2063"/>
      <c r="L136" s="2063"/>
    </row>
    <row r="137" s="2781" customFormat="1" spans="1:12">
      <c r="A137" s="2977"/>
      <c r="D137" s="2978"/>
      <c r="K137" s="2063"/>
      <c r="L137" s="2063"/>
    </row>
    <row r="138" s="2781" customFormat="1" spans="1:12">
      <c r="A138" s="2977"/>
      <c r="D138" s="2978"/>
      <c r="K138" s="2063"/>
      <c r="L138" s="2063"/>
    </row>
    <row r="139" s="2781" customFormat="1" spans="1:12">
      <c r="A139" s="2977"/>
      <c r="D139" s="2978"/>
      <c r="K139" s="2063"/>
      <c r="L139" s="2063"/>
    </row>
    <row r="140" s="2781" customFormat="1" spans="1:12">
      <c r="A140" s="2977"/>
      <c r="D140" s="2978"/>
      <c r="K140" s="2063"/>
      <c r="L140" s="2063"/>
    </row>
    <row r="141" s="2781" customFormat="1" spans="1:12">
      <c r="A141" s="2977"/>
      <c r="D141" s="2978"/>
      <c r="K141" s="2063"/>
      <c r="L141" s="2063"/>
    </row>
    <row r="142" s="2781" customFormat="1" spans="1:12">
      <c r="A142" s="2977"/>
      <c r="D142" s="2978"/>
      <c r="K142" s="2063"/>
      <c r="L142" s="2063"/>
    </row>
    <row r="143" s="2781" customFormat="1" spans="1:12">
      <c r="A143" s="2977"/>
      <c r="D143" s="2978"/>
      <c r="K143" s="2063"/>
      <c r="L143" s="2063"/>
    </row>
    <row r="144" s="2781" customFormat="1" spans="1:12">
      <c r="A144" s="2977"/>
      <c r="D144" s="2978"/>
      <c r="K144" s="2063"/>
      <c r="L144" s="2063"/>
    </row>
    <row r="145" s="2781" customFormat="1" spans="1:12">
      <c r="A145" s="2977"/>
      <c r="D145" s="2978"/>
      <c r="K145" s="2063"/>
      <c r="L145" s="2063"/>
    </row>
    <row r="146" s="2781" customFormat="1" spans="1:12">
      <c r="A146" s="2977"/>
      <c r="D146" s="2978"/>
      <c r="K146" s="2063"/>
      <c r="L146" s="2063"/>
    </row>
    <row r="147" s="2781" customFormat="1" spans="1:12">
      <c r="A147" s="2977"/>
      <c r="D147" s="2978"/>
      <c r="K147" s="2063"/>
      <c r="L147" s="2063"/>
    </row>
    <row r="148" s="2781" customFormat="1" spans="1:12">
      <c r="A148" s="2977"/>
      <c r="D148" s="2978"/>
      <c r="K148" s="2063"/>
      <c r="L148" s="2063"/>
    </row>
    <row r="149" s="2781" customFormat="1" spans="1:12">
      <c r="A149" s="2977"/>
      <c r="D149" s="2978"/>
      <c r="K149" s="2063"/>
      <c r="L149" s="2063"/>
    </row>
    <row r="150" s="2781" customFormat="1" spans="1:12">
      <c r="A150" s="2977"/>
      <c r="D150" s="2978"/>
      <c r="K150" s="2063"/>
      <c r="L150" s="2063"/>
    </row>
    <row r="151" s="2781" customFormat="1" spans="1:12">
      <c r="A151" s="2977"/>
      <c r="D151" s="2978"/>
      <c r="K151" s="2063"/>
      <c r="L151" s="2063"/>
    </row>
    <row r="152" s="2781" customFormat="1" spans="1:12">
      <c r="A152" s="2977"/>
      <c r="D152" s="2978"/>
      <c r="K152" s="2063"/>
      <c r="L152" s="2063"/>
    </row>
    <row r="153" s="2781" customFormat="1" spans="1:12">
      <c r="A153" s="2977"/>
      <c r="D153" s="2978"/>
      <c r="K153" s="2063"/>
      <c r="L153" s="2063"/>
    </row>
    <row r="154" s="2781" customFormat="1" spans="1:12">
      <c r="A154" s="2977"/>
      <c r="D154" s="2978"/>
      <c r="K154" s="2063"/>
      <c r="L154" s="2063"/>
    </row>
    <row r="155" s="2781" customFormat="1" spans="1:12">
      <c r="A155" s="2977"/>
      <c r="D155" s="2978"/>
      <c r="K155" s="2063"/>
      <c r="L155" s="2063"/>
    </row>
    <row r="156" s="2781" customFormat="1" spans="1:12">
      <c r="A156" s="2977"/>
      <c r="D156" s="2978"/>
      <c r="K156" s="2063"/>
      <c r="L156" s="2063"/>
    </row>
    <row r="157" s="2781" customFormat="1" spans="1:12">
      <c r="A157" s="2977"/>
      <c r="D157" s="2978"/>
      <c r="K157" s="2063"/>
      <c r="L157" s="2063"/>
    </row>
    <row r="158" s="2781" customFormat="1" spans="1:12">
      <c r="A158" s="2977"/>
      <c r="D158" s="2978"/>
      <c r="K158" s="2063"/>
      <c r="L158" s="2063"/>
    </row>
    <row r="159" s="2781" customFormat="1" spans="1:12">
      <c r="A159" s="2977"/>
      <c r="D159" s="2978"/>
      <c r="K159" s="2063"/>
      <c r="L159" s="2063"/>
    </row>
    <row r="160" s="2781" customFormat="1" spans="1:12">
      <c r="A160" s="2977"/>
      <c r="D160" s="2978"/>
      <c r="K160" s="2063"/>
      <c r="L160" s="2063"/>
    </row>
    <row r="161" s="2781" customFormat="1" spans="1:12">
      <c r="A161" s="2977"/>
      <c r="D161" s="2978"/>
      <c r="K161" s="2063"/>
      <c r="L161" s="2063"/>
    </row>
    <row r="162" s="2781" customFormat="1" spans="1:12">
      <c r="A162" s="2977"/>
      <c r="D162" s="2978"/>
      <c r="K162" s="2063"/>
      <c r="L162" s="2063"/>
    </row>
    <row r="163" s="2781" customFormat="1" spans="1:12">
      <c r="A163" s="2977"/>
      <c r="D163" s="2978"/>
      <c r="K163" s="2063"/>
      <c r="L163" s="2063"/>
    </row>
    <row r="164" s="2781" customFormat="1" spans="1:12">
      <c r="A164" s="2977"/>
      <c r="D164" s="2978"/>
      <c r="K164" s="2063"/>
      <c r="L164" s="2063"/>
    </row>
    <row r="165" s="2781" customFormat="1" spans="1:12">
      <c r="A165" s="2977"/>
      <c r="D165" s="2978"/>
      <c r="K165" s="2063"/>
      <c r="L165" s="2063"/>
    </row>
    <row r="166" s="2781" customFormat="1" spans="1:12">
      <c r="A166" s="2977"/>
      <c r="D166" s="2978"/>
      <c r="K166" s="2063"/>
      <c r="L166" s="2063"/>
    </row>
    <row r="167" s="2781" customFormat="1" spans="1:12">
      <c r="A167" s="2977"/>
      <c r="D167" s="2978"/>
      <c r="K167" s="2063"/>
      <c r="L167" s="2063"/>
    </row>
    <row r="168" s="2781" customFormat="1" spans="1:12">
      <c r="A168" s="2977"/>
      <c r="D168" s="2978"/>
      <c r="K168" s="2063"/>
      <c r="L168" s="2063"/>
    </row>
    <row r="169" s="2781" customFormat="1" spans="1:12">
      <c r="A169" s="2977"/>
      <c r="D169" s="2978"/>
      <c r="K169" s="2063"/>
      <c r="L169" s="2063"/>
    </row>
    <row r="170" s="2781" customFormat="1" spans="1:12">
      <c r="A170" s="2977"/>
      <c r="D170" s="2978"/>
      <c r="K170" s="2063"/>
      <c r="L170" s="2063"/>
    </row>
    <row r="171" s="2781" customFormat="1" spans="1:12">
      <c r="A171" s="2977"/>
      <c r="D171" s="2978"/>
      <c r="K171" s="2063"/>
      <c r="L171" s="2063"/>
    </row>
    <row r="172" s="2781" customFormat="1" spans="1:12">
      <c r="A172" s="2977"/>
      <c r="D172" s="2978"/>
      <c r="K172" s="2063"/>
      <c r="L172" s="2063"/>
    </row>
    <row r="173" s="2781" customFormat="1" spans="1:12">
      <c r="A173" s="2977"/>
      <c r="D173" s="2978"/>
      <c r="K173" s="2063"/>
      <c r="L173" s="2063"/>
    </row>
    <row r="174" s="2781" customFormat="1" spans="1:12">
      <c r="A174" s="2977"/>
      <c r="D174" s="2978"/>
      <c r="K174" s="2063"/>
      <c r="L174" s="206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7" customWidth="1"/>
    <col min="2" max="2" width="24.4444444444444" style="2708" customWidth="1"/>
    <col min="3" max="3" width="24.4444444444444" style="2709" customWidth="1"/>
    <col min="4" max="4" width="2.66666666666667" style="2709" customWidth="1"/>
    <col min="5" max="5" width="5.88888888888889" style="2709" customWidth="1"/>
    <col min="6" max="6" width="27" style="2708" customWidth="1"/>
    <col min="7" max="7" width="27" style="2710" customWidth="1"/>
    <col min="8" max="8" width="11.8888888888889" style="2711" customWidth="1"/>
    <col min="9" max="9" width="16.7777777777778" style="2712" customWidth="1"/>
    <col min="10" max="10" width="2.66666666666667" style="2711" customWidth="1"/>
    <col min="11" max="11" width="11.8888888888889" style="2711" customWidth="1"/>
    <col min="12" max="12" width="16.7777777777778" style="2712" customWidth="1"/>
    <col min="13" max="13" width="2.66666666666667" style="2711" customWidth="1"/>
    <col min="14" max="14" width="11.8888888888889" style="2711" customWidth="1"/>
    <col min="15" max="15" width="16.7777777777778" style="2712" customWidth="1"/>
    <col min="16" max="16" width="2.66666666666667" style="2711" customWidth="1"/>
    <col min="17" max="17" width="11.8888888888889" style="2711" customWidth="1"/>
    <col min="18" max="18" width="16.7777777777778" style="2713" customWidth="1"/>
    <col min="19" max="29" width="9" style="2186"/>
    <col min="30" max="16384" width="9" style="2707"/>
  </cols>
  <sheetData>
    <row r="1" s="2705" customFormat="1" ht="18.1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646</v>
      </c>
      <c r="D2" s="2720"/>
      <c r="E2" s="2717"/>
      <c r="F2" s="2721"/>
      <c r="G2" s="2719" t="s">
        <v>647</v>
      </c>
      <c r="H2" s="2186"/>
      <c r="I2" s="2186"/>
      <c r="J2" s="2186"/>
      <c r="K2" s="2186"/>
      <c r="L2" s="2186"/>
      <c r="M2" s="2186"/>
      <c r="N2" s="2186"/>
      <c r="O2" s="2186"/>
      <c r="P2" s="2186"/>
      <c r="Q2" s="2186"/>
      <c r="R2" s="2186"/>
    </row>
    <row r="3" ht="48" spans="1:18">
      <c r="A3" s="2722" t="s">
        <v>648</v>
      </c>
      <c r="B3" s="2723" t="s">
        <v>649</v>
      </c>
      <c r="C3" s="2724" t="s">
        <v>650</v>
      </c>
      <c r="D3" s="2725"/>
      <c r="E3" s="2726" t="s">
        <v>648</v>
      </c>
      <c r="F3" s="2727" t="s">
        <v>651</v>
      </c>
      <c r="G3" s="2728" t="s">
        <v>652</v>
      </c>
      <c r="H3" s="2186"/>
      <c r="I3" s="2186"/>
      <c r="J3" s="2186"/>
      <c r="K3" s="2186"/>
      <c r="L3" s="2186"/>
      <c r="M3" s="2186"/>
      <c r="N3" s="2186"/>
      <c r="O3" s="2186"/>
      <c r="P3" s="2186"/>
      <c r="Q3" s="2186"/>
      <c r="R3" s="2186"/>
    </row>
    <row r="4" ht="37.2" spans="1:18">
      <c r="A4" s="2726"/>
      <c r="B4" s="1840" t="s">
        <v>653</v>
      </c>
      <c r="C4" s="2729" t="s">
        <v>654</v>
      </c>
      <c r="D4" s="2725"/>
      <c r="E4" s="2730"/>
      <c r="F4" s="2055" t="s">
        <v>655</v>
      </c>
      <c r="G4" s="2731" t="s">
        <v>656</v>
      </c>
      <c r="H4" s="2186"/>
      <c r="I4" s="2186"/>
      <c r="J4" s="2186"/>
      <c r="K4" s="2186"/>
      <c r="L4" s="2186"/>
      <c r="M4" s="2186"/>
      <c r="N4" s="2186"/>
      <c r="O4" s="2186"/>
      <c r="P4" s="2186"/>
      <c r="Q4" s="2186"/>
      <c r="R4" s="2186"/>
    </row>
    <row r="5" ht="37.2" spans="1:18">
      <c r="A5" s="2726"/>
      <c r="B5" s="1840" t="s">
        <v>657</v>
      </c>
      <c r="C5" s="2729" t="s">
        <v>658</v>
      </c>
      <c r="D5" s="2725"/>
      <c r="E5" s="2730"/>
      <c r="F5" s="1840" t="s">
        <v>455</v>
      </c>
      <c r="G5" s="2731" t="s">
        <v>659</v>
      </c>
      <c r="H5" s="2186"/>
      <c r="I5" s="2186"/>
      <c r="J5" s="2186"/>
      <c r="K5" s="2186"/>
      <c r="L5" s="2186"/>
      <c r="M5" s="2186"/>
      <c r="N5" s="2186"/>
      <c r="O5" s="2186"/>
      <c r="P5" s="2186"/>
      <c r="Q5" s="2186"/>
      <c r="R5" s="2186"/>
    </row>
    <row r="6" ht="48" spans="1:18">
      <c r="A6" s="2726"/>
      <c r="B6" s="1840" t="s">
        <v>655</v>
      </c>
      <c r="C6" s="2731" t="s">
        <v>656</v>
      </c>
      <c r="D6" s="2725"/>
      <c r="E6" s="2730"/>
      <c r="F6" s="1840" t="s">
        <v>660</v>
      </c>
      <c r="G6" s="2731" t="s">
        <v>661</v>
      </c>
      <c r="H6" s="2186"/>
      <c r="I6" s="2186"/>
      <c r="J6" s="2186"/>
      <c r="K6" s="2186"/>
      <c r="L6" s="2186"/>
      <c r="M6" s="2186"/>
      <c r="N6" s="2186"/>
      <c r="O6" s="2186"/>
      <c r="P6" s="2186"/>
      <c r="Q6" s="2186"/>
      <c r="R6" s="2186"/>
    </row>
    <row r="7" ht="36.75" spans="1:18">
      <c r="A7" s="2726"/>
      <c r="B7" s="1840" t="s">
        <v>455</v>
      </c>
      <c r="C7" s="2731" t="s">
        <v>659</v>
      </c>
      <c r="D7" s="2732"/>
      <c r="E7" s="2733"/>
      <c r="F7" s="2734" t="s">
        <v>662</v>
      </c>
      <c r="G7" s="2735" t="s">
        <v>663</v>
      </c>
      <c r="H7" s="2186"/>
      <c r="I7" s="2186"/>
      <c r="J7" s="2186"/>
      <c r="K7" s="2186"/>
      <c r="L7" s="2186"/>
      <c r="M7" s="2186"/>
      <c r="N7" s="2186"/>
      <c r="O7" s="2186"/>
      <c r="P7" s="2186"/>
      <c r="Q7" s="2186"/>
      <c r="R7" s="2186"/>
    </row>
    <row r="8" ht="24" spans="1:18">
      <c r="A8" s="2726"/>
      <c r="B8" s="1840" t="s">
        <v>660</v>
      </c>
      <c r="C8" s="2731" t="s">
        <v>661</v>
      </c>
      <c r="D8" s="2732"/>
      <c r="E8" s="2732"/>
      <c r="F8" s="1963"/>
      <c r="G8" s="1963"/>
      <c r="H8" s="2186"/>
      <c r="I8" s="2186"/>
      <c r="J8" s="2186"/>
      <c r="K8" s="2186"/>
      <c r="L8" s="2186"/>
      <c r="M8" s="2186"/>
      <c r="N8" s="2186"/>
      <c r="O8" s="2186"/>
      <c r="P8" s="2186"/>
      <c r="Q8" s="2186"/>
      <c r="R8" s="2186"/>
    </row>
    <row r="9" ht="24" spans="1:18">
      <c r="A9" s="2726"/>
      <c r="B9" s="1840" t="s">
        <v>664</v>
      </c>
      <c r="C9" s="2729" t="s">
        <v>665</v>
      </c>
      <c r="D9" s="2725"/>
      <c r="E9" s="2732"/>
      <c r="F9" s="1963"/>
      <c r="G9" s="1963"/>
      <c r="H9" s="2186"/>
      <c r="I9" s="2186"/>
      <c r="J9" s="2186"/>
      <c r="K9" s="2186"/>
      <c r="L9" s="2186"/>
      <c r="M9" s="2186"/>
      <c r="N9" s="2186"/>
      <c r="O9" s="2186"/>
      <c r="P9" s="2186"/>
      <c r="Q9" s="2186"/>
      <c r="R9" s="2186"/>
    </row>
    <row r="10" s="2706" customFormat="1" ht="14.55" spans="1:29">
      <c r="A10" s="2736"/>
      <c r="B10" s="2737" t="s">
        <v>666</v>
      </c>
      <c r="C10" s="2738"/>
      <c r="D10" s="2725"/>
      <c r="E10" s="2725"/>
      <c r="F10" s="1963"/>
      <c r="G10" s="1963"/>
      <c r="H10" s="2739"/>
      <c r="I10" s="2769"/>
      <c r="J10" s="2770"/>
      <c r="K10" s="2739"/>
      <c r="L10" s="2769"/>
      <c r="M10" s="2770"/>
      <c r="N10" s="2739"/>
      <c r="O10" s="2769"/>
      <c r="P10" s="2770"/>
      <c r="Q10" s="2739"/>
      <c r="R10" s="2769"/>
      <c r="S10" s="2186"/>
      <c r="T10" s="2186"/>
      <c r="U10" s="2186"/>
      <c r="V10" s="2186"/>
      <c r="W10" s="2186"/>
      <c r="X10" s="2186"/>
      <c r="Y10" s="2186"/>
      <c r="Z10" s="2186"/>
      <c r="AA10" s="2186"/>
      <c r="AB10" s="2186"/>
      <c r="AC10" s="2186"/>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6"/>
      <c r="T11" s="2186"/>
      <c r="U11" s="2186"/>
      <c r="V11" s="2186"/>
      <c r="W11" s="2186"/>
      <c r="X11" s="2186"/>
      <c r="Y11" s="2186"/>
      <c r="Z11" s="2186"/>
      <c r="AA11" s="2186"/>
      <c r="AB11" s="2186"/>
      <c r="AC11" s="2186"/>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667</v>
      </c>
      <c r="B13" s="2742"/>
      <c r="C13" s="2742"/>
      <c r="D13" s="2740"/>
      <c r="E13" s="2742"/>
      <c r="F13" s="2742"/>
      <c r="G13" s="2742"/>
    </row>
    <row r="14" ht="14.55"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7.2"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7.2" spans="1:7">
      <c r="A17" s="2753"/>
      <c r="B17" s="2754" t="s">
        <v>657</v>
      </c>
      <c r="C17" s="2755" t="str">
        <f>C5</f>
        <v>估价对象位于XX商圈，周边办公楼项目较多，入驻率高，办公集聚程度较好</v>
      </c>
      <c r="D17" s="2732"/>
      <c r="E17" s="2756"/>
      <c r="F17" s="2757" t="s">
        <v>668</v>
      </c>
      <c r="G17" s="2759"/>
    </row>
    <row r="18" ht="48"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0"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0" t="s">
        <v>660</v>
      </c>
      <c r="G20" s="2758" t="str">
        <f>G6</f>
        <v>估价对象所在区域基础设施水平</v>
      </c>
    </row>
    <row r="21" ht="24" spans="1:7">
      <c r="A21" s="2753"/>
      <c r="B21" s="1840" t="s">
        <v>455</v>
      </c>
      <c r="C21" s="2758" t="str">
        <f>C7</f>
        <v>估价对象所在区域公共配套设施齐备情况</v>
      </c>
      <c r="D21" s="2725"/>
      <c r="E21" s="2756"/>
      <c r="F21" s="2757" t="s">
        <v>670</v>
      </c>
      <c r="G21" s="2760"/>
    </row>
    <row r="22" ht="13.5" customHeight="1" spans="1:7">
      <c r="A22" s="2753"/>
      <c r="B22" s="1840" t="s">
        <v>660</v>
      </c>
      <c r="C22" s="2758" t="str">
        <f>C8</f>
        <v>估价对象所在区域基础设施水平</v>
      </c>
      <c r="D22" s="2725"/>
      <c r="E22" s="2756"/>
      <c r="F22" s="2757" t="s">
        <v>666</v>
      </c>
      <c r="G22" s="2759"/>
    </row>
    <row r="23" s="2186" customFormat="1" ht="14.55" spans="1:18">
      <c r="A23" s="2753"/>
      <c r="B23" s="2757" t="s">
        <v>670</v>
      </c>
      <c r="C23" s="2760"/>
      <c r="D23" s="2686"/>
      <c r="E23" s="2761"/>
      <c r="F23" s="2762" t="s">
        <v>403</v>
      </c>
      <c r="G23" s="2763"/>
      <c r="H23" s="2711"/>
      <c r="I23" s="2712"/>
      <c r="J23" s="2711"/>
      <c r="K23" s="2711"/>
      <c r="L23" s="2712"/>
      <c r="M23" s="2711"/>
      <c r="N23" s="2711"/>
      <c r="O23" s="2712"/>
      <c r="P23" s="2711"/>
      <c r="Q23" s="2711"/>
      <c r="R23" s="2713"/>
    </row>
    <row r="24" s="2186" customFormat="1" ht="14.55" spans="1:18">
      <c r="A24" s="2764"/>
      <c r="B24" s="2762" t="s">
        <v>666</v>
      </c>
      <c r="C24" s="2765">
        <f>C10</f>
        <v>0</v>
      </c>
      <c r="D24" s="2686"/>
      <c r="E24" s="2766"/>
      <c r="F24" s="2766"/>
      <c r="G24" s="2767"/>
      <c r="H24" s="2711"/>
      <c r="I24" s="2712"/>
      <c r="J24" s="2711"/>
      <c r="K24" s="2711"/>
      <c r="L24" s="2712"/>
      <c r="M24" s="2711"/>
      <c r="N24" s="2711"/>
      <c r="O24" s="2712"/>
      <c r="P24" s="2711"/>
      <c r="Q24" s="2711"/>
      <c r="R24" s="2713"/>
    </row>
    <row r="25" s="2186" customFormat="1" spans="2:18">
      <c r="B25" s="2711"/>
      <c r="C25" s="2711"/>
      <c r="D25" s="2711"/>
      <c r="H25" s="2711"/>
      <c r="I25" s="2712"/>
      <c r="J25" s="2711"/>
      <c r="K25" s="2711"/>
      <c r="L25" s="2712"/>
      <c r="M25" s="2711"/>
      <c r="N25" s="2711"/>
      <c r="O25" s="2712"/>
      <c r="P25" s="2711"/>
      <c r="Q25" s="2711"/>
      <c r="R25" s="2713"/>
    </row>
    <row r="26" s="2186" customFormat="1" spans="2:18">
      <c r="B26" s="2711"/>
      <c r="C26" s="2711"/>
      <c r="D26" s="2711"/>
      <c r="H26" s="2711"/>
      <c r="I26" s="2712"/>
      <c r="J26" s="2711"/>
      <c r="K26" s="2711"/>
      <c r="L26" s="2712"/>
      <c r="M26" s="2711"/>
      <c r="N26" s="2711"/>
      <c r="O26" s="2712"/>
      <c r="P26" s="2711"/>
      <c r="Q26" s="2711"/>
      <c r="R26" s="2713"/>
    </row>
    <row r="27" s="2186" customFormat="1" spans="2:18">
      <c r="B27" s="2711"/>
      <c r="C27" s="2711"/>
      <c r="D27" s="2711"/>
      <c r="H27" s="2711"/>
      <c r="I27" s="2712"/>
      <c r="J27" s="2711"/>
      <c r="K27" s="2711"/>
      <c r="L27" s="2712"/>
      <c r="M27" s="2711"/>
      <c r="N27" s="2711"/>
      <c r="O27" s="2712"/>
      <c r="P27" s="2711"/>
      <c r="Q27" s="2711"/>
      <c r="R27" s="2713"/>
    </row>
    <row r="28" s="2186" customFormat="1" spans="2:18">
      <c r="B28" s="2711"/>
      <c r="C28" s="2711"/>
      <c r="D28" s="2711"/>
      <c r="H28" s="2711"/>
      <c r="I28" s="2712"/>
      <c r="J28" s="2711"/>
      <c r="K28" s="2711"/>
      <c r="L28" s="2712"/>
      <c r="M28" s="2711"/>
      <c r="N28" s="2711"/>
      <c r="O28" s="2712"/>
      <c r="P28" s="2711"/>
      <c r="Q28" s="2711"/>
      <c r="R28" s="2713"/>
    </row>
    <row r="29" s="2186" customFormat="1" spans="2:18">
      <c r="B29" s="2711"/>
      <c r="C29" s="2711"/>
      <c r="D29" s="2711"/>
      <c r="H29" s="2711"/>
      <c r="I29" s="2712"/>
      <c r="J29" s="2711"/>
      <c r="K29" s="2711"/>
      <c r="L29" s="2712"/>
      <c r="M29" s="2711"/>
      <c r="N29" s="2711"/>
      <c r="O29" s="2712"/>
      <c r="P29" s="2711"/>
      <c r="Q29" s="2711"/>
      <c r="R29" s="2713"/>
    </row>
    <row r="30" s="2186" customFormat="1" spans="2:18">
      <c r="B30" s="2711"/>
      <c r="C30" s="2711"/>
      <c r="D30" s="2711"/>
      <c r="H30" s="2711"/>
      <c r="I30" s="2712"/>
      <c r="J30" s="2711"/>
      <c r="K30" s="2711"/>
      <c r="L30" s="2712"/>
      <c r="M30" s="2711"/>
      <c r="N30" s="2711"/>
      <c r="O30" s="2712"/>
      <c r="P30" s="2711"/>
      <c r="Q30" s="2711"/>
      <c r="R30" s="2713"/>
    </row>
    <row r="31" s="2186" customFormat="1" spans="2:18">
      <c r="B31" s="2711"/>
      <c r="C31" s="2711"/>
      <c r="D31" s="2711"/>
      <c r="H31" s="2711"/>
      <c r="I31" s="2712"/>
      <c r="J31" s="2711"/>
      <c r="K31" s="2711"/>
      <c r="L31" s="2712"/>
      <c r="M31" s="2711"/>
      <c r="N31" s="2711"/>
      <c r="O31" s="2712"/>
      <c r="P31" s="2711"/>
      <c r="Q31" s="2711"/>
      <c r="R31" s="2713"/>
    </row>
    <row r="32" s="2186" customFormat="1" spans="2:18">
      <c r="B32" s="2711"/>
      <c r="C32" s="2711"/>
      <c r="D32" s="2711"/>
      <c r="H32" s="2711"/>
      <c r="I32" s="2712"/>
      <c r="J32" s="2711"/>
      <c r="K32" s="2711"/>
      <c r="L32" s="2712"/>
      <c r="M32" s="2711"/>
      <c r="N32" s="2711"/>
      <c r="O32" s="2712"/>
      <c r="P32" s="2711"/>
      <c r="Q32" s="2711"/>
      <c r="R32" s="2713"/>
    </row>
    <row r="33" s="2186" customFormat="1" spans="2:18">
      <c r="B33" s="2711"/>
      <c r="C33" s="2711"/>
      <c r="D33" s="2711"/>
      <c r="H33" s="2711"/>
      <c r="I33" s="2712"/>
      <c r="J33" s="2711"/>
      <c r="K33" s="2711"/>
      <c r="L33" s="2712"/>
      <c r="M33" s="2711"/>
      <c r="N33" s="2711"/>
      <c r="O33" s="2712"/>
      <c r="P33" s="2711"/>
      <c r="Q33" s="2711"/>
      <c r="R33" s="2713"/>
    </row>
    <row r="34" s="2186" customFormat="1" spans="2:18">
      <c r="B34" s="2711"/>
      <c r="C34" s="2711"/>
      <c r="D34" s="2711"/>
      <c r="H34" s="2711"/>
      <c r="I34" s="2712"/>
      <c r="J34" s="2711"/>
      <c r="K34" s="2711"/>
      <c r="L34" s="2712"/>
      <c r="M34" s="2711"/>
      <c r="N34" s="2711"/>
      <c r="O34" s="2712"/>
      <c r="P34" s="2711"/>
      <c r="Q34" s="2711"/>
      <c r="R34" s="2713"/>
    </row>
    <row r="35" s="2186" customFormat="1" spans="2:18">
      <c r="B35" s="2711"/>
      <c r="C35" s="2711"/>
      <c r="D35" s="2711"/>
      <c r="H35" s="2711"/>
      <c r="I35" s="2712"/>
      <c r="J35" s="2711"/>
      <c r="K35" s="2711"/>
      <c r="L35" s="2712"/>
      <c r="M35" s="2711"/>
      <c r="N35" s="2711"/>
      <c r="O35" s="2712"/>
      <c r="P35" s="2711"/>
      <c r="Q35" s="2711"/>
      <c r="R35" s="2713"/>
    </row>
    <row r="36" s="2186" customFormat="1" spans="2:18">
      <c r="B36" s="2711"/>
      <c r="C36" s="2711"/>
      <c r="D36" s="2711"/>
      <c r="H36" s="2711"/>
      <c r="I36" s="2712"/>
      <c r="J36" s="2711"/>
      <c r="K36" s="2711"/>
      <c r="L36" s="2712"/>
      <c r="M36" s="2711"/>
      <c r="N36" s="2711"/>
      <c r="O36" s="2712"/>
      <c r="P36" s="2711"/>
      <c r="Q36" s="2711"/>
      <c r="R36" s="2713"/>
    </row>
    <row r="37" s="2186" customFormat="1" spans="2:18">
      <c r="B37" s="2711"/>
      <c r="C37" s="2711"/>
      <c r="D37" s="2711"/>
      <c r="H37" s="2711"/>
      <c r="I37" s="2712"/>
      <c r="J37" s="2711"/>
      <c r="K37" s="2711"/>
      <c r="L37" s="2712"/>
      <c r="M37" s="2711"/>
      <c r="N37" s="2711"/>
      <c r="O37" s="2712"/>
      <c r="P37" s="2711"/>
      <c r="Q37" s="2711"/>
      <c r="R37" s="2713"/>
    </row>
    <row r="38" s="2186" customFormat="1" spans="2:18">
      <c r="B38" s="2711"/>
      <c r="C38" s="2711"/>
      <c r="D38" s="2711"/>
      <c r="E38" s="2711"/>
      <c r="F38" s="2711"/>
      <c r="G38" s="2712"/>
      <c r="H38" s="2711"/>
      <c r="I38" s="2712"/>
      <c r="J38" s="2711"/>
      <c r="K38" s="2711"/>
      <c r="L38" s="2712"/>
      <c r="M38" s="2711"/>
      <c r="N38" s="2711"/>
      <c r="O38" s="2712"/>
      <c r="P38" s="2711"/>
      <c r="Q38" s="2711"/>
      <c r="R38" s="2713"/>
    </row>
    <row r="39" s="2186" customFormat="1" spans="2:18">
      <c r="B39" s="2711"/>
      <c r="C39" s="2711"/>
      <c r="D39" s="2711"/>
      <c r="E39" s="2711"/>
      <c r="F39" s="2711"/>
      <c r="G39" s="2712"/>
      <c r="H39" s="2711"/>
      <c r="I39" s="2712"/>
      <c r="J39" s="2711"/>
      <c r="K39" s="2711"/>
      <c r="L39" s="2712"/>
      <c r="M39" s="2711"/>
      <c r="N39" s="2711"/>
      <c r="O39" s="2712"/>
      <c r="P39" s="2711"/>
      <c r="Q39" s="2711"/>
      <c r="R39" s="2713"/>
    </row>
    <row r="40" s="2186" customFormat="1" spans="2:18">
      <c r="B40" s="2711"/>
      <c r="C40" s="2711"/>
      <c r="D40" s="2711"/>
      <c r="E40" s="2711"/>
      <c r="F40" s="2711"/>
      <c r="G40" s="2712"/>
      <c r="H40" s="2711"/>
      <c r="I40" s="2712"/>
      <c r="J40" s="2711"/>
      <c r="K40" s="2711"/>
      <c r="L40" s="2712"/>
      <c r="M40" s="2711"/>
      <c r="N40" s="2711"/>
      <c r="O40" s="2712"/>
      <c r="P40" s="2711"/>
      <c r="Q40" s="2711"/>
      <c r="R40" s="2713"/>
    </row>
    <row r="41" s="2186" customFormat="1" spans="2:18">
      <c r="B41" s="2711"/>
      <c r="C41" s="2711"/>
      <c r="D41" s="2711"/>
      <c r="E41" s="2711"/>
      <c r="F41" s="2711"/>
      <c r="G41" s="2712"/>
      <c r="H41" s="2711"/>
      <c r="I41" s="2712"/>
      <c r="J41" s="2711"/>
      <c r="K41" s="2711"/>
      <c r="L41" s="2712"/>
      <c r="M41" s="2711"/>
      <c r="N41" s="2711"/>
      <c r="O41" s="2712"/>
      <c r="P41" s="2711"/>
      <c r="Q41" s="2711"/>
      <c r="R41" s="2713"/>
    </row>
    <row r="42" s="2186" customFormat="1" spans="2:18">
      <c r="B42" s="2711"/>
      <c r="C42" s="2711"/>
      <c r="D42" s="2711"/>
      <c r="E42" s="2711"/>
      <c r="F42" s="2711"/>
      <c r="G42" s="2712"/>
      <c r="H42" s="2711"/>
      <c r="I42" s="2712"/>
      <c r="J42" s="2711"/>
      <c r="K42" s="2711"/>
      <c r="L42" s="2712"/>
      <c r="M42" s="2711"/>
      <c r="N42" s="2711"/>
      <c r="O42" s="2712"/>
      <c r="P42" s="2711"/>
      <c r="Q42" s="2711"/>
      <c r="R42" s="2713"/>
    </row>
    <row r="43" s="2186" customFormat="1" spans="2:18">
      <c r="B43" s="2711"/>
      <c r="C43" s="2711"/>
      <c r="D43" s="2711"/>
      <c r="E43" s="2711"/>
      <c r="F43" s="2711"/>
      <c r="G43" s="2712"/>
      <c r="H43" s="2711"/>
      <c r="I43" s="2712"/>
      <c r="J43" s="2711"/>
      <c r="K43" s="2711"/>
      <c r="L43" s="2712"/>
      <c r="M43" s="2711"/>
      <c r="N43" s="2711"/>
      <c r="O43" s="2712"/>
      <c r="P43" s="2711"/>
      <c r="Q43" s="2711"/>
      <c r="R43" s="2713"/>
    </row>
    <row r="44" s="2186" customFormat="1" spans="2:18">
      <c r="B44" s="2711"/>
      <c r="C44" s="2711"/>
      <c r="D44" s="2711"/>
      <c r="E44" s="2711"/>
      <c r="F44" s="2711"/>
      <c r="G44" s="2712"/>
      <c r="H44" s="2711"/>
      <c r="I44" s="2712"/>
      <c r="J44" s="2711"/>
      <c r="K44" s="2711"/>
      <c r="L44" s="2712"/>
      <c r="M44" s="2711"/>
      <c r="N44" s="2711"/>
      <c r="O44" s="2712"/>
      <c r="P44" s="2711"/>
      <c r="Q44" s="2711"/>
      <c r="R44" s="2713"/>
    </row>
    <row r="45" s="2186" customFormat="1" spans="2:18">
      <c r="B45" s="2711"/>
      <c r="C45" s="2711"/>
      <c r="D45" s="2711"/>
      <c r="E45" s="2711"/>
      <c r="F45" s="2711"/>
      <c r="G45" s="2712"/>
      <c r="H45" s="2711"/>
      <c r="I45" s="2712"/>
      <c r="J45" s="2711"/>
      <c r="K45" s="2711"/>
      <c r="L45" s="2712"/>
      <c r="M45" s="2711"/>
      <c r="N45" s="2711"/>
      <c r="O45" s="2712"/>
      <c r="P45" s="2711"/>
      <c r="Q45" s="2711"/>
      <c r="R45" s="2713"/>
    </row>
    <row r="46" s="2186" customFormat="1" spans="2:18">
      <c r="B46" s="2711"/>
      <c r="C46" s="2711"/>
      <c r="D46" s="2711"/>
      <c r="E46" s="2711"/>
      <c r="F46" s="2711"/>
      <c r="G46" s="2712"/>
      <c r="H46" s="2711"/>
      <c r="I46" s="2712"/>
      <c r="J46" s="2711"/>
      <c r="K46" s="2711"/>
      <c r="L46" s="2712"/>
      <c r="M46" s="2711"/>
      <c r="N46" s="2711"/>
      <c r="O46" s="2712"/>
      <c r="P46" s="2711"/>
      <c r="Q46" s="2711"/>
      <c r="R46" s="2713"/>
    </row>
    <row r="47" s="2186" customFormat="1" spans="2:18">
      <c r="B47" s="2711"/>
      <c r="C47" s="2711"/>
      <c r="D47" s="2711"/>
      <c r="E47" s="2711"/>
      <c r="F47" s="2711"/>
      <c r="G47" s="2712"/>
      <c r="H47" s="2711"/>
      <c r="I47" s="2712"/>
      <c r="J47" s="2711"/>
      <c r="K47" s="2711"/>
      <c r="L47" s="2712"/>
      <c r="M47" s="2711"/>
      <c r="N47" s="2711"/>
      <c r="O47" s="2712"/>
      <c r="P47" s="2711"/>
      <c r="Q47" s="2711"/>
      <c r="R47" s="2713"/>
    </row>
    <row r="48" s="2186" customFormat="1" spans="2:18">
      <c r="B48" s="2711"/>
      <c r="C48" s="2711"/>
      <c r="D48" s="2711"/>
      <c r="E48" s="2711"/>
      <c r="F48" s="2711"/>
      <c r="G48" s="2712"/>
      <c r="H48" s="2711"/>
      <c r="I48" s="2712"/>
      <c r="J48" s="2711"/>
      <c r="K48" s="2711"/>
      <c r="L48" s="2712"/>
      <c r="M48" s="2711"/>
      <c r="N48" s="2711"/>
      <c r="O48" s="2712"/>
      <c r="P48" s="2711"/>
      <c r="Q48" s="2711"/>
      <c r="R48" s="2713"/>
    </row>
    <row r="49" s="2186" customFormat="1" spans="2:18">
      <c r="B49" s="2711"/>
      <c r="C49" s="2711"/>
      <c r="D49" s="2711"/>
      <c r="E49" s="2711"/>
      <c r="F49" s="2711"/>
      <c r="G49" s="2712"/>
      <c r="H49" s="2711"/>
      <c r="I49" s="2712"/>
      <c r="J49" s="2711"/>
      <c r="K49" s="2711"/>
      <c r="L49" s="2712"/>
      <c r="M49" s="2711"/>
      <c r="N49" s="2711"/>
      <c r="O49" s="2712"/>
      <c r="P49" s="2711"/>
      <c r="Q49" s="2711"/>
      <c r="R49" s="2713"/>
    </row>
    <row r="50" s="2186" customFormat="1" spans="2:18">
      <c r="B50" s="2711"/>
      <c r="C50" s="2711"/>
      <c r="D50" s="2711"/>
      <c r="E50" s="2711"/>
      <c r="F50" s="2711"/>
      <c r="G50" s="2712"/>
      <c r="H50" s="2711"/>
      <c r="I50" s="2712"/>
      <c r="J50" s="2711"/>
      <c r="K50" s="2711"/>
      <c r="L50" s="2712"/>
      <c r="M50" s="2711"/>
      <c r="N50" s="2711"/>
      <c r="O50" s="2712"/>
      <c r="P50" s="2711"/>
      <c r="Q50" s="2711"/>
      <c r="R50" s="2713"/>
    </row>
    <row r="51" s="2186" customFormat="1" spans="2:18">
      <c r="B51" s="2711"/>
      <c r="C51" s="2711"/>
      <c r="D51" s="2711"/>
      <c r="E51" s="2711"/>
      <c r="F51" s="2711"/>
      <c r="G51" s="2712"/>
      <c r="H51" s="2711"/>
      <c r="I51" s="2712"/>
      <c r="J51" s="2711"/>
      <c r="K51" s="2711"/>
      <c r="L51" s="2712"/>
      <c r="M51" s="2711"/>
      <c r="N51" s="2711"/>
      <c r="O51" s="2712"/>
      <c r="P51" s="2711"/>
      <c r="Q51" s="2711"/>
      <c r="R51" s="2713"/>
    </row>
    <row r="52" s="2186" customFormat="1" spans="2:18">
      <c r="B52" s="2711"/>
      <c r="C52" s="2711"/>
      <c r="D52" s="2711"/>
      <c r="E52" s="2711"/>
      <c r="F52" s="2711"/>
      <c r="G52" s="2712"/>
      <c r="H52" s="2711"/>
      <c r="I52" s="2712"/>
      <c r="J52" s="2711"/>
      <c r="K52" s="2711"/>
      <c r="L52" s="2712"/>
      <c r="M52" s="2711"/>
      <c r="N52" s="2711"/>
      <c r="O52" s="2712"/>
      <c r="P52" s="2711"/>
      <c r="Q52" s="2711"/>
      <c r="R52" s="2713"/>
    </row>
    <row r="53" s="2186" customFormat="1" spans="2:18">
      <c r="B53" s="2711"/>
      <c r="C53" s="2711"/>
      <c r="D53" s="2711"/>
      <c r="E53" s="2711"/>
      <c r="F53" s="2711"/>
      <c r="G53" s="2712"/>
      <c r="H53" s="2711"/>
      <c r="I53" s="2712"/>
      <c r="J53" s="2711"/>
      <c r="K53" s="2711"/>
      <c r="L53" s="2712"/>
      <c r="M53" s="2711"/>
      <c r="N53" s="2711"/>
      <c r="O53" s="2712"/>
      <c r="P53" s="2711"/>
      <c r="Q53" s="2711"/>
      <c r="R53" s="2713"/>
    </row>
    <row r="54" s="2186" customFormat="1" spans="2:18">
      <c r="B54" s="2711"/>
      <c r="C54" s="2711"/>
      <c r="D54" s="2711"/>
      <c r="E54" s="2711"/>
      <c r="F54" s="2711"/>
      <c r="G54" s="2712"/>
      <c r="H54" s="2711"/>
      <c r="I54" s="2712"/>
      <c r="J54" s="2711"/>
      <c r="K54" s="2711"/>
      <c r="L54" s="2712"/>
      <c r="M54" s="2711"/>
      <c r="N54" s="2711"/>
      <c r="O54" s="2712"/>
      <c r="P54" s="2711"/>
      <c r="Q54" s="2711"/>
      <c r="R54" s="2713"/>
    </row>
    <row r="55" s="2186" customFormat="1" spans="2:18">
      <c r="B55" s="2711"/>
      <c r="C55" s="2711"/>
      <c r="D55" s="2711"/>
      <c r="E55" s="2711"/>
      <c r="F55" s="2711"/>
      <c r="G55" s="2712"/>
      <c r="H55" s="2711"/>
      <c r="I55" s="2712"/>
      <c r="J55" s="2711"/>
      <c r="K55" s="2711"/>
      <c r="L55" s="2712"/>
      <c r="M55" s="2711"/>
      <c r="N55" s="2711"/>
      <c r="O55" s="2712"/>
      <c r="P55" s="2711"/>
      <c r="Q55" s="2711"/>
      <c r="R55" s="2713"/>
    </row>
    <row r="56" s="2186" customFormat="1" spans="2:18">
      <c r="B56" s="2711"/>
      <c r="C56" s="2711"/>
      <c r="D56" s="2711"/>
      <c r="E56" s="2711"/>
      <c r="F56" s="2711"/>
      <c r="G56" s="2712"/>
      <c r="H56" s="2711"/>
      <c r="I56" s="2712"/>
      <c r="J56" s="2711"/>
      <c r="K56" s="2711"/>
      <c r="L56" s="2712"/>
      <c r="M56" s="2711"/>
      <c r="N56" s="2711"/>
      <c r="O56" s="2712"/>
      <c r="P56" s="2711"/>
      <c r="Q56" s="2711"/>
      <c r="R56" s="2713"/>
    </row>
    <row r="57" s="2186" customFormat="1" spans="2:18">
      <c r="B57" s="2711"/>
      <c r="C57" s="2711"/>
      <c r="D57" s="2711"/>
      <c r="E57" s="2711"/>
      <c r="F57" s="2711"/>
      <c r="G57" s="2712"/>
      <c r="H57" s="2711"/>
      <c r="I57" s="2712"/>
      <c r="J57" s="2711"/>
      <c r="K57" s="2711"/>
      <c r="L57" s="2712"/>
      <c r="M57" s="2711"/>
      <c r="N57" s="2711"/>
      <c r="O57" s="2712"/>
      <c r="P57" s="2711"/>
      <c r="Q57" s="2711"/>
      <c r="R57" s="2713"/>
    </row>
    <row r="58" s="2186" customFormat="1" spans="2:18">
      <c r="B58" s="2711"/>
      <c r="C58" s="2711"/>
      <c r="D58" s="2711"/>
      <c r="E58" s="2711"/>
      <c r="F58" s="2711"/>
      <c r="G58" s="2712"/>
      <c r="H58" s="2711"/>
      <c r="I58" s="2712"/>
      <c r="J58" s="2711"/>
      <c r="K58" s="2711"/>
      <c r="L58" s="2712"/>
      <c r="M58" s="2711"/>
      <c r="N58" s="2711"/>
      <c r="O58" s="2712"/>
      <c r="P58" s="2711"/>
      <c r="Q58" s="2711"/>
      <c r="R58" s="2713"/>
    </row>
    <row r="59" s="2186" customFormat="1" spans="2:18">
      <c r="B59" s="2711"/>
      <c r="C59" s="2711"/>
      <c r="D59" s="2711"/>
      <c r="E59" s="2711"/>
      <c r="F59" s="2711"/>
      <c r="G59" s="2712"/>
      <c r="H59" s="2711"/>
      <c r="I59" s="2712"/>
      <c r="J59" s="2711"/>
      <c r="K59" s="2711"/>
      <c r="L59" s="2712"/>
      <c r="M59" s="2711"/>
      <c r="N59" s="2711"/>
      <c r="O59" s="2712"/>
      <c r="P59" s="2711"/>
      <c r="Q59" s="2711"/>
      <c r="R59" s="2713"/>
    </row>
    <row r="60" s="2186" customFormat="1" spans="2:18">
      <c r="B60" s="2711"/>
      <c r="C60" s="2711"/>
      <c r="D60" s="2711"/>
      <c r="E60" s="2711"/>
      <c r="F60" s="2711"/>
      <c r="G60" s="2712"/>
      <c r="H60" s="2711"/>
      <c r="I60" s="2712"/>
      <c r="J60" s="2711"/>
      <c r="K60" s="2711"/>
      <c r="L60" s="2712"/>
      <c r="M60" s="2711"/>
      <c r="N60" s="2711"/>
      <c r="O60" s="2712"/>
      <c r="P60" s="2711"/>
      <c r="Q60" s="2711"/>
      <c r="R60" s="2713"/>
    </row>
    <row r="61" s="2186" customFormat="1" spans="2:18">
      <c r="B61" s="2711"/>
      <c r="C61" s="2711"/>
      <c r="D61" s="2711"/>
      <c r="E61" s="2711"/>
      <c r="F61" s="2711"/>
      <c r="G61" s="2712"/>
      <c r="H61" s="2711"/>
      <c r="I61" s="2712"/>
      <c r="J61" s="2711"/>
      <c r="K61" s="2711"/>
      <c r="L61" s="2712"/>
      <c r="M61" s="2711"/>
      <c r="N61" s="2711"/>
      <c r="O61" s="2712"/>
      <c r="P61" s="2711"/>
      <c r="Q61" s="2711"/>
      <c r="R61" s="2713"/>
    </row>
    <row r="62" s="2186" customFormat="1" spans="2:18">
      <c r="B62" s="2711"/>
      <c r="C62" s="2711"/>
      <c r="D62" s="2711"/>
      <c r="E62" s="2711"/>
      <c r="F62" s="2711"/>
      <c r="G62" s="2712"/>
      <c r="H62" s="2711"/>
      <c r="I62" s="2712"/>
      <c r="J62" s="2711"/>
      <c r="K62" s="2711"/>
      <c r="L62" s="2712"/>
      <c r="M62" s="2711"/>
      <c r="N62" s="2711"/>
      <c r="O62" s="2712"/>
      <c r="P62" s="2711"/>
      <c r="Q62" s="2711"/>
      <c r="R62" s="2713"/>
    </row>
    <row r="63" s="2186" customFormat="1" spans="2:18">
      <c r="B63" s="2711"/>
      <c r="C63" s="2711"/>
      <c r="D63" s="2711"/>
      <c r="E63" s="2711"/>
      <c r="F63" s="2711"/>
      <c r="G63" s="2712"/>
      <c r="H63" s="2711"/>
      <c r="I63" s="2712"/>
      <c r="J63" s="2711"/>
      <c r="K63" s="2711"/>
      <c r="L63" s="2712"/>
      <c r="M63" s="2711"/>
      <c r="N63" s="2711"/>
      <c r="O63" s="2712"/>
      <c r="P63" s="2711"/>
      <c r="Q63" s="2711"/>
      <c r="R63" s="2713"/>
    </row>
    <row r="64" s="2186" customFormat="1" spans="2:18">
      <c r="B64" s="2711"/>
      <c r="C64" s="2711"/>
      <c r="D64" s="2711"/>
      <c r="E64" s="2711"/>
      <c r="F64" s="2711"/>
      <c r="G64" s="2712"/>
      <c r="H64" s="2711"/>
      <c r="I64" s="2712"/>
      <c r="J64" s="2711"/>
      <c r="K64" s="2711"/>
      <c r="L64" s="2712"/>
      <c r="M64" s="2711"/>
      <c r="N64" s="2711"/>
      <c r="O64" s="2712"/>
      <c r="P64" s="2711"/>
      <c r="Q64" s="2711"/>
      <c r="R64" s="2713"/>
    </row>
    <row r="65" s="2186" customFormat="1" spans="2:18">
      <c r="B65" s="2711"/>
      <c r="C65" s="2711"/>
      <c r="D65" s="2711"/>
      <c r="E65" s="2711"/>
      <c r="F65" s="2711"/>
      <c r="G65" s="2712"/>
      <c r="H65" s="2711"/>
      <c r="I65" s="2712"/>
      <c r="J65" s="2711"/>
      <c r="K65" s="2711"/>
      <c r="L65" s="2712"/>
      <c r="M65" s="2711"/>
      <c r="N65" s="2711"/>
      <c r="O65" s="2712"/>
      <c r="P65" s="2711"/>
      <c r="Q65" s="2711"/>
      <c r="R65" s="2713"/>
    </row>
    <row r="66" s="2186" customFormat="1" spans="2:18">
      <c r="B66" s="2711"/>
      <c r="C66" s="2711"/>
      <c r="D66" s="2711"/>
      <c r="E66" s="2711"/>
      <c r="F66" s="2711"/>
      <c r="G66" s="2712"/>
      <c r="H66" s="2711"/>
      <c r="I66" s="2712"/>
      <c r="J66" s="2711"/>
      <c r="K66" s="2711"/>
      <c r="L66" s="2712"/>
      <c r="M66" s="2711"/>
      <c r="N66" s="2711"/>
      <c r="O66" s="2712"/>
      <c r="P66" s="2711"/>
      <c r="Q66" s="2711"/>
      <c r="R66" s="2713"/>
    </row>
    <row r="67" s="2186" customFormat="1" spans="2:18">
      <c r="B67" s="2711"/>
      <c r="C67" s="2711"/>
      <c r="D67" s="2711"/>
      <c r="E67" s="2711"/>
      <c r="F67" s="2711"/>
      <c r="G67" s="2712"/>
      <c r="H67" s="2711"/>
      <c r="I67" s="2712"/>
      <c r="J67" s="2711"/>
      <c r="K67" s="2711"/>
      <c r="L67" s="2712"/>
      <c r="M67" s="2711"/>
      <c r="N67" s="2711"/>
      <c r="O67" s="2712"/>
      <c r="P67" s="2711"/>
      <c r="Q67" s="2711"/>
      <c r="R67" s="2713"/>
    </row>
    <row r="68" s="2186" customFormat="1" spans="2:18">
      <c r="B68" s="2711"/>
      <c r="C68" s="2711"/>
      <c r="D68" s="2711"/>
      <c r="E68" s="2711"/>
      <c r="F68" s="2711"/>
      <c r="G68" s="2712"/>
      <c r="H68" s="2711"/>
      <c r="I68" s="2712"/>
      <c r="J68" s="2711"/>
      <c r="K68" s="2711"/>
      <c r="L68" s="2712"/>
      <c r="M68" s="2711"/>
      <c r="N68" s="2711"/>
      <c r="O68" s="2712"/>
      <c r="P68" s="2711"/>
      <c r="Q68" s="2711"/>
      <c r="R68" s="2713"/>
    </row>
    <row r="69" s="2186" customFormat="1" spans="2:18">
      <c r="B69" s="2711"/>
      <c r="C69" s="2711"/>
      <c r="D69" s="2711"/>
      <c r="E69" s="2711"/>
      <c r="F69" s="2711"/>
      <c r="G69" s="2712"/>
      <c r="H69" s="2711"/>
      <c r="I69" s="2712"/>
      <c r="J69" s="2711"/>
      <c r="K69" s="2711"/>
      <c r="L69" s="2712"/>
      <c r="M69" s="2711"/>
      <c r="N69" s="2711"/>
      <c r="O69" s="2712"/>
      <c r="P69" s="2711"/>
      <c r="Q69" s="2711"/>
      <c r="R69" s="2713"/>
    </row>
    <row r="70" s="2186" customFormat="1" spans="2:18">
      <c r="B70" s="2711"/>
      <c r="C70" s="2711"/>
      <c r="D70" s="2711"/>
      <c r="E70" s="2711"/>
      <c r="F70" s="2711"/>
      <c r="G70" s="2712"/>
      <c r="H70" s="2711"/>
      <c r="I70" s="2712"/>
      <c r="J70" s="2711"/>
      <c r="K70" s="2711"/>
      <c r="L70" s="2712"/>
      <c r="M70" s="2711"/>
      <c r="N70" s="2711"/>
      <c r="O70" s="2712"/>
      <c r="P70" s="2711"/>
      <c r="Q70" s="2711"/>
      <c r="R70" s="2713"/>
    </row>
    <row r="71" s="2186" customFormat="1" spans="2:18">
      <c r="B71" s="2711"/>
      <c r="C71" s="2711"/>
      <c r="D71" s="2711"/>
      <c r="E71" s="2711"/>
      <c r="F71" s="2711"/>
      <c r="G71" s="2712"/>
      <c r="H71" s="2711"/>
      <c r="I71" s="2712"/>
      <c r="J71" s="2711"/>
      <c r="K71" s="2711"/>
      <c r="L71" s="2712"/>
      <c r="M71" s="2711"/>
      <c r="N71" s="2711"/>
      <c r="O71" s="2712"/>
      <c r="P71" s="2711"/>
      <c r="Q71" s="2711"/>
      <c r="R71" s="2713"/>
    </row>
    <row r="72" s="2186" customFormat="1" spans="2:18">
      <c r="B72" s="2711"/>
      <c r="C72" s="2711"/>
      <c r="D72" s="2711"/>
      <c r="E72" s="2711"/>
      <c r="F72" s="2711"/>
      <c r="G72" s="2712"/>
      <c r="H72" s="2711"/>
      <c r="I72" s="2712"/>
      <c r="J72" s="2711"/>
      <c r="K72" s="2711"/>
      <c r="L72" s="2712"/>
      <c r="M72" s="2711"/>
      <c r="N72" s="2711"/>
      <c r="O72" s="2712"/>
      <c r="P72" s="2711"/>
      <c r="Q72" s="2711"/>
      <c r="R72" s="2713"/>
    </row>
    <row r="73" s="2186" customFormat="1" spans="2:18">
      <c r="B73" s="2711"/>
      <c r="C73" s="2711"/>
      <c r="D73" s="2711"/>
      <c r="E73" s="2711"/>
      <c r="F73" s="2711"/>
      <c r="G73" s="2712"/>
      <c r="H73" s="2711"/>
      <c r="I73" s="2712"/>
      <c r="J73" s="2711"/>
      <c r="K73" s="2711"/>
      <c r="L73" s="2712"/>
      <c r="M73" s="2711"/>
      <c r="N73" s="2711"/>
      <c r="O73" s="2712"/>
      <c r="P73" s="2711"/>
      <c r="Q73" s="2711"/>
      <c r="R73" s="2713"/>
    </row>
    <row r="74" s="2186" customFormat="1" spans="2:18">
      <c r="B74" s="2711"/>
      <c r="C74" s="2711"/>
      <c r="D74" s="2711"/>
      <c r="E74" s="2711"/>
      <c r="F74" s="2711"/>
      <c r="G74" s="2712"/>
      <c r="H74" s="2711"/>
      <c r="I74" s="2712"/>
      <c r="J74" s="2711"/>
      <c r="K74" s="2711"/>
      <c r="L74" s="2712"/>
      <c r="M74" s="2711"/>
      <c r="N74" s="2711"/>
      <c r="O74" s="2712"/>
      <c r="P74" s="2711"/>
      <c r="Q74" s="2711"/>
      <c r="R74" s="2713"/>
    </row>
    <row r="75" s="2186" customFormat="1" spans="2:18">
      <c r="B75" s="2711"/>
      <c r="C75" s="2711"/>
      <c r="D75" s="2711"/>
      <c r="E75" s="2711"/>
      <c r="F75" s="2711"/>
      <c r="G75" s="2712"/>
      <c r="H75" s="2711"/>
      <c r="I75" s="2712"/>
      <c r="J75" s="2711"/>
      <c r="K75" s="2711"/>
      <c r="L75" s="2712"/>
      <c r="M75" s="2711"/>
      <c r="N75" s="2711"/>
      <c r="O75" s="2712"/>
      <c r="P75" s="2711"/>
      <c r="Q75" s="2711"/>
      <c r="R75" s="2713"/>
    </row>
    <row r="76" s="2186" customFormat="1" spans="2:18">
      <c r="B76" s="2711"/>
      <c r="C76" s="2711"/>
      <c r="D76" s="2711"/>
      <c r="E76" s="2711"/>
      <c r="F76" s="2711"/>
      <c r="G76" s="2712"/>
      <c r="H76" s="2711"/>
      <c r="I76" s="2712"/>
      <c r="J76" s="2711"/>
      <c r="K76" s="2711"/>
      <c r="L76" s="2712"/>
      <c r="M76" s="2711"/>
      <c r="N76" s="2711"/>
      <c r="O76" s="2712"/>
      <c r="P76" s="2711"/>
      <c r="Q76" s="2711"/>
      <c r="R76" s="2713"/>
    </row>
    <row r="77" s="2186" customFormat="1" spans="2:18">
      <c r="B77" s="2711"/>
      <c r="C77" s="2711"/>
      <c r="D77" s="2711"/>
      <c r="E77" s="2711"/>
      <c r="F77" s="2711"/>
      <c r="G77" s="2712"/>
      <c r="H77" s="2711"/>
      <c r="I77" s="2712"/>
      <c r="J77" s="2711"/>
      <c r="K77" s="2711"/>
      <c r="L77" s="2712"/>
      <c r="M77" s="2711"/>
      <c r="N77" s="2711"/>
      <c r="O77" s="2712"/>
      <c r="P77" s="2711"/>
      <c r="Q77" s="2711"/>
      <c r="R77" s="2713"/>
    </row>
    <row r="78" s="2186" customFormat="1" spans="2:18">
      <c r="B78" s="2711"/>
      <c r="C78" s="2711"/>
      <c r="D78" s="2711"/>
      <c r="E78" s="2711"/>
      <c r="F78" s="2711"/>
      <c r="G78" s="2712"/>
      <c r="H78" s="2711"/>
      <c r="I78" s="2712"/>
      <c r="J78" s="2711"/>
      <c r="K78" s="2711"/>
      <c r="L78" s="2712"/>
      <c r="M78" s="2711"/>
      <c r="N78" s="2711"/>
      <c r="O78" s="2712"/>
      <c r="P78" s="2711"/>
      <c r="Q78" s="2711"/>
      <c r="R78" s="2713"/>
    </row>
    <row r="79" s="2186" customFormat="1" spans="2:18">
      <c r="B79" s="2711"/>
      <c r="C79" s="2711"/>
      <c r="D79" s="2711"/>
      <c r="E79" s="2711"/>
      <c r="F79" s="2711"/>
      <c r="G79" s="2712"/>
      <c r="H79" s="2711"/>
      <c r="I79" s="2712"/>
      <c r="J79" s="2711"/>
      <c r="K79" s="2711"/>
      <c r="L79" s="2712"/>
      <c r="M79" s="2711"/>
      <c r="N79" s="2711"/>
      <c r="O79" s="2712"/>
      <c r="P79" s="2711"/>
      <c r="Q79" s="2711"/>
      <c r="R79" s="2713"/>
    </row>
    <row r="80" s="2186" customFormat="1" spans="2:18">
      <c r="B80" s="2711"/>
      <c r="C80" s="2711"/>
      <c r="D80" s="2711"/>
      <c r="E80" s="2711"/>
      <c r="F80" s="2711"/>
      <c r="G80" s="2712"/>
      <c r="H80" s="2711"/>
      <c r="I80" s="2712"/>
      <c r="J80" s="2711"/>
      <c r="K80" s="2711"/>
      <c r="L80" s="2712"/>
      <c r="M80" s="2711"/>
      <c r="N80" s="2711"/>
      <c r="O80" s="2712"/>
      <c r="P80" s="2711"/>
      <c r="Q80" s="2711"/>
      <c r="R80" s="2713"/>
    </row>
    <row r="81" s="2186" customFormat="1" spans="2:18">
      <c r="B81" s="2711"/>
      <c r="C81" s="2711"/>
      <c r="D81" s="2711"/>
      <c r="E81" s="2711"/>
      <c r="F81" s="2711"/>
      <c r="G81" s="2712"/>
      <c r="H81" s="2711"/>
      <c r="I81" s="2712"/>
      <c r="J81" s="2711"/>
      <c r="K81" s="2711"/>
      <c r="L81" s="2712"/>
      <c r="M81" s="2711"/>
      <c r="N81" s="2711"/>
      <c r="O81" s="2712"/>
      <c r="P81" s="2711"/>
      <c r="Q81" s="2711"/>
      <c r="R81" s="2713"/>
    </row>
    <row r="82" s="2186" customFormat="1" spans="2:18">
      <c r="B82" s="2711"/>
      <c r="C82" s="2711"/>
      <c r="D82" s="2711"/>
      <c r="E82" s="2711"/>
      <c r="F82" s="2711"/>
      <c r="G82" s="2712"/>
      <c r="H82" s="2711"/>
      <c r="I82" s="2712"/>
      <c r="J82" s="2711"/>
      <c r="K82" s="2711"/>
      <c r="L82" s="2712"/>
      <c r="M82" s="2711"/>
      <c r="N82" s="2711"/>
      <c r="O82" s="2712"/>
      <c r="P82" s="2711"/>
      <c r="Q82" s="2711"/>
      <c r="R82" s="2713"/>
    </row>
    <row r="83" s="2186" customFormat="1" spans="2:18">
      <c r="B83" s="2711"/>
      <c r="C83" s="2711"/>
      <c r="D83" s="2711"/>
      <c r="E83" s="2711"/>
      <c r="F83" s="2711"/>
      <c r="G83" s="2712"/>
      <c r="H83" s="2711"/>
      <c r="I83" s="2712"/>
      <c r="J83" s="2711"/>
      <c r="K83" s="2711"/>
      <c r="L83" s="2712"/>
      <c r="M83" s="2711"/>
      <c r="N83" s="2711"/>
      <c r="O83" s="2712"/>
      <c r="P83" s="2711"/>
      <c r="Q83" s="2711"/>
      <c r="R83" s="2713"/>
    </row>
    <row r="84" s="2186" customFormat="1" spans="2:18">
      <c r="B84" s="2711"/>
      <c r="C84" s="2711"/>
      <c r="D84" s="2711"/>
      <c r="E84" s="2711"/>
      <c r="F84" s="2711"/>
      <c r="G84" s="2712"/>
      <c r="H84" s="2711"/>
      <c r="I84" s="2712"/>
      <c r="J84" s="2711"/>
      <c r="K84" s="2711"/>
      <c r="L84" s="2712"/>
      <c r="M84" s="2711"/>
      <c r="N84" s="2711"/>
      <c r="O84" s="2712"/>
      <c r="P84" s="2711"/>
      <c r="Q84" s="2711"/>
      <c r="R84" s="2713"/>
    </row>
    <row r="85" s="2186" customFormat="1" spans="2:18">
      <c r="B85" s="2711"/>
      <c r="C85" s="2711"/>
      <c r="D85" s="2711"/>
      <c r="E85" s="2711"/>
      <c r="F85" s="2711"/>
      <c r="G85" s="2712"/>
      <c r="H85" s="2711"/>
      <c r="I85" s="2712"/>
      <c r="J85" s="2711"/>
      <c r="K85" s="2711"/>
      <c r="L85" s="2712"/>
      <c r="M85" s="2711"/>
      <c r="N85" s="2711"/>
      <c r="O85" s="2712"/>
      <c r="P85" s="2711"/>
      <c r="Q85" s="2711"/>
      <c r="R85" s="2713"/>
    </row>
    <row r="86" s="2186" customFormat="1" spans="2:18">
      <c r="B86" s="2711"/>
      <c r="C86" s="2711"/>
      <c r="D86" s="2711"/>
      <c r="E86" s="2711"/>
      <c r="F86" s="2711"/>
      <c r="G86" s="2712"/>
      <c r="H86" s="2711"/>
      <c r="I86" s="2712"/>
      <c r="J86" s="2711"/>
      <c r="K86" s="2711"/>
      <c r="L86" s="2712"/>
      <c r="M86" s="2711"/>
      <c r="N86" s="2711"/>
      <c r="O86" s="2712"/>
      <c r="P86" s="2711"/>
      <c r="Q86" s="2711"/>
      <c r="R86" s="2713"/>
    </row>
    <row r="87" s="2186" customFormat="1" spans="2:18">
      <c r="B87" s="2711"/>
      <c r="C87" s="2711"/>
      <c r="D87" s="2711"/>
      <c r="E87" s="2711"/>
      <c r="F87" s="2711"/>
      <c r="G87" s="2712"/>
      <c r="H87" s="2711"/>
      <c r="I87" s="2712"/>
      <c r="J87" s="2711"/>
      <c r="K87" s="2711"/>
      <c r="L87" s="2712"/>
      <c r="M87" s="2711"/>
      <c r="N87" s="2711"/>
      <c r="O87" s="2712"/>
      <c r="P87" s="2711"/>
      <c r="Q87" s="2711"/>
      <c r="R87" s="2713"/>
    </row>
    <row r="88" s="2186" customFormat="1" spans="2:18">
      <c r="B88" s="2711"/>
      <c r="C88" s="2711"/>
      <c r="D88" s="2711"/>
      <c r="E88" s="2711"/>
      <c r="F88" s="2711"/>
      <c r="G88" s="2712"/>
      <c r="H88" s="2711"/>
      <c r="I88" s="2712"/>
      <c r="J88" s="2711"/>
      <c r="K88" s="2711"/>
      <c r="L88" s="2712"/>
      <c r="M88" s="2711"/>
      <c r="N88" s="2711"/>
      <c r="O88" s="2712"/>
      <c r="P88" s="2711"/>
      <c r="Q88" s="2711"/>
      <c r="R88" s="2713"/>
    </row>
    <row r="89" s="2186" customFormat="1" spans="2:18">
      <c r="B89" s="2711"/>
      <c r="C89" s="2711"/>
      <c r="D89" s="2711"/>
      <c r="E89" s="2711"/>
      <c r="F89" s="2711"/>
      <c r="G89" s="2712"/>
      <c r="H89" s="2711"/>
      <c r="I89" s="2712"/>
      <c r="J89" s="2711"/>
      <c r="K89" s="2711"/>
      <c r="L89" s="2712"/>
      <c r="M89" s="2711"/>
      <c r="N89" s="2711"/>
      <c r="O89" s="2712"/>
      <c r="P89" s="2711"/>
      <c r="Q89" s="2711"/>
      <c r="R89" s="2713"/>
    </row>
    <row r="90" s="2186" customFormat="1" spans="2:18">
      <c r="B90" s="2711"/>
      <c r="C90" s="2711"/>
      <c r="D90" s="2711"/>
      <c r="E90" s="2711"/>
      <c r="F90" s="2711"/>
      <c r="G90" s="2712"/>
      <c r="H90" s="2711"/>
      <c r="I90" s="2712"/>
      <c r="J90" s="2711"/>
      <c r="K90" s="2711"/>
      <c r="L90" s="2712"/>
      <c r="M90" s="2711"/>
      <c r="N90" s="2711"/>
      <c r="O90" s="2712"/>
      <c r="P90" s="2711"/>
      <c r="Q90" s="2711"/>
      <c r="R90" s="2713"/>
    </row>
    <row r="91" s="2186" customFormat="1" spans="2:18">
      <c r="B91" s="2711"/>
      <c r="C91" s="2711"/>
      <c r="D91" s="2711"/>
      <c r="E91" s="2711"/>
      <c r="F91" s="2711"/>
      <c r="G91" s="2712"/>
      <c r="H91" s="2711"/>
      <c r="I91" s="2712"/>
      <c r="J91" s="2711"/>
      <c r="K91" s="2711"/>
      <c r="L91" s="2712"/>
      <c r="M91" s="2711"/>
      <c r="N91" s="2711"/>
      <c r="O91" s="2712"/>
      <c r="P91" s="2711"/>
      <c r="Q91" s="2711"/>
      <c r="R91" s="2713"/>
    </row>
    <row r="92" s="2186" customFormat="1" spans="2:18">
      <c r="B92" s="2711"/>
      <c r="C92" s="2711"/>
      <c r="D92" s="2711"/>
      <c r="E92" s="2711"/>
      <c r="F92" s="2711"/>
      <c r="G92" s="2712"/>
      <c r="H92" s="2711"/>
      <c r="I92" s="2712"/>
      <c r="J92" s="2711"/>
      <c r="K92" s="2711"/>
      <c r="L92" s="2712"/>
      <c r="M92" s="2711"/>
      <c r="N92" s="2711"/>
      <c r="O92" s="2712"/>
      <c r="P92" s="2711"/>
      <c r="Q92" s="2711"/>
      <c r="R92" s="2713"/>
    </row>
    <row r="93" s="2186" customFormat="1" spans="2:18">
      <c r="B93" s="2711"/>
      <c r="C93" s="2711"/>
      <c r="D93" s="2711"/>
      <c r="E93" s="2711"/>
      <c r="F93" s="2711"/>
      <c r="G93" s="2712"/>
      <c r="H93" s="2711"/>
      <c r="I93" s="2712"/>
      <c r="J93" s="2711"/>
      <c r="K93" s="2711"/>
      <c r="L93" s="2712"/>
      <c r="M93" s="2711"/>
      <c r="N93" s="2711"/>
      <c r="O93" s="2712"/>
      <c r="P93" s="2711"/>
      <c r="Q93" s="2711"/>
      <c r="R93" s="2713"/>
    </row>
    <row r="94" s="2186" customFormat="1" spans="2:18">
      <c r="B94" s="2711"/>
      <c r="C94" s="2711"/>
      <c r="D94" s="2711"/>
      <c r="E94" s="2711"/>
      <c r="F94" s="2711"/>
      <c r="G94" s="2712"/>
      <c r="H94" s="2711"/>
      <c r="I94" s="2712"/>
      <c r="J94" s="2711"/>
      <c r="K94" s="2711"/>
      <c r="L94" s="2712"/>
      <c r="M94" s="2711"/>
      <c r="N94" s="2711"/>
      <c r="O94" s="2712"/>
      <c r="P94" s="2711"/>
      <c r="Q94" s="2711"/>
      <c r="R94" s="2713"/>
    </row>
    <row r="95" s="2186" customFormat="1" spans="2:18">
      <c r="B95" s="2711"/>
      <c r="C95" s="2711"/>
      <c r="D95" s="2711"/>
      <c r="E95" s="2711"/>
      <c r="F95" s="2711"/>
      <c r="G95" s="2712"/>
      <c r="H95" s="2711"/>
      <c r="I95" s="2712"/>
      <c r="J95" s="2711"/>
      <c r="K95" s="2711"/>
      <c r="L95" s="2712"/>
      <c r="M95" s="2711"/>
      <c r="N95" s="2711"/>
      <c r="O95" s="2712"/>
      <c r="P95" s="2711"/>
      <c r="Q95" s="2711"/>
      <c r="R95" s="2713"/>
    </row>
    <row r="96" s="2186" customFormat="1" spans="2:18">
      <c r="B96" s="2711"/>
      <c r="C96" s="2711"/>
      <c r="D96" s="2711"/>
      <c r="E96" s="2711"/>
      <c r="F96" s="2711"/>
      <c r="G96" s="2712"/>
      <c r="H96" s="2711"/>
      <c r="I96" s="2712"/>
      <c r="J96" s="2711"/>
      <c r="K96" s="2711"/>
      <c r="L96" s="2712"/>
      <c r="M96" s="2711"/>
      <c r="N96" s="2711"/>
      <c r="O96" s="2712"/>
      <c r="P96" s="2711"/>
      <c r="Q96" s="2711"/>
      <c r="R96" s="2713"/>
    </row>
    <row r="97" s="2186" customFormat="1" spans="2:18">
      <c r="B97" s="2711"/>
      <c r="C97" s="2711"/>
      <c r="D97" s="2711"/>
      <c r="E97" s="2711"/>
      <c r="F97" s="2711"/>
      <c r="G97" s="2712"/>
      <c r="H97" s="2711"/>
      <c r="I97" s="2712"/>
      <c r="J97" s="2711"/>
      <c r="K97" s="2711"/>
      <c r="L97" s="2712"/>
      <c r="M97" s="2711"/>
      <c r="N97" s="2711"/>
      <c r="O97" s="2712"/>
      <c r="P97" s="2711"/>
      <c r="Q97" s="2711"/>
      <c r="R97" s="2713"/>
    </row>
    <row r="98" s="2186" customFormat="1" spans="2:18">
      <c r="B98" s="2711"/>
      <c r="C98" s="2711"/>
      <c r="D98" s="2711"/>
      <c r="E98" s="2711"/>
      <c r="F98" s="2711"/>
      <c r="G98" s="2712"/>
      <c r="H98" s="2711"/>
      <c r="I98" s="2712"/>
      <c r="J98" s="2711"/>
      <c r="K98" s="2711"/>
      <c r="L98" s="2712"/>
      <c r="M98" s="2711"/>
      <c r="N98" s="2711"/>
      <c r="O98" s="2712"/>
      <c r="P98" s="2711"/>
      <c r="Q98" s="2711"/>
      <c r="R98" s="2713"/>
    </row>
    <row r="99" s="2186" customFormat="1" spans="2:18">
      <c r="B99" s="2711"/>
      <c r="C99" s="2711"/>
      <c r="D99" s="2711"/>
      <c r="E99" s="2711"/>
      <c r="F99" s="2711"/>
      <c r="G99" s="2712"/>
      <c r="H99" s="2711"/>
      <c r="I99" s="2712"/>
      <c r="J99" s="2711"/>
      <c r="K99" s="2711"/>
      <c r="L99" s="2712"/>
      <c r="M99" s="2711"/>
      <c r="N99" s="2711"/>
      <c r="O99" s="2712"/>
      <c r="P99" s="2711"/>
      <c r="Q99" s="2711"/>
      <c r="R99" s="2713"/>
    </row>
    <row r="100" s="2186" customFormat="1" spans="2:18">
      <c r="B100" s="2711"/>
      <c r="C100" s="2711"/>
      <c r="D100" s="2711"/>
      <c r="E100" s="2711"/>
      <c r="F100" s="2711"/>
      <c r="G100" s="2712"/>
      <c r="H100" s="2711"/>
      <c r="I100" s="2712"/>
      <c r="J100" s="2711"/>
      <c r="K100" s="2711"/>
      <c r="L100" s="2712"/>
      <c r="M100" s="2711"/>
      <c r="N100" s="2711"/>
      <c r="O100" s="2712"/>
      <c r="P100" s="2711"/>
      <c r="Q100" s="2711"/>
      <c r="R100" s="2713"/>
    </row>
    <row r="101" s="2186" customFormat="1" spans="2:18">
      <c r="B101" s="2711"/>
      <c r="C101" s="2711"/>
      <c r="D101" s="2711"/>
      <c r="E101" s="2711"/>
      <c r="F101" s="2711"/>
      <c r="G101" s="2712"/>
      <c r="H101" s="2711"/>
      <c r="I101" s="2712"/>
      <c r="J101" s="2711"/>
      <c r="K101" s="2711"/>
      <c r="L101" s="2712"/>
      <c r="M101" s="2711"/>
      <c r="N101" s="2711"/>
      <c r="O101" s="2712"/>
      <c r="P101" s="2711"/>
      <c r="Q101" s="2711"/>
      <c r="R101" s="2713"/>
    </row>
    <row r="102" s="2186" customFormat="1" spans="2:18">
      <c r="B102" s="2711"/>
      <c r="C102" s="2711"/>
      <c r="D102" s="2711"/>
      <c r="E102" s="2711"/>
      <c r="F102" s="2711"/>
      <c r="G102" s="2712"/>
      <c r="H102" s="2711"/>
      <c r="I102" s="2712"/>
      <c r="J102" s="2711"/>
      <c r="K102" s="2711"/>
      <c r="L102" s="2712"/>
      <c r="M102" s="2711"/>
      <c r="N102" s="2711"/>
      <c r="O102" s="2712"/>
      <c r="P102" s="2711"/>
      <c r="Q102" s="2711"/>
      <c r="R102" s="2713"/>
    </row>
    <row r="103" s="2186" customFormat="1" spans="2:18">
      <c r="B103" s="2711"/>
      <c r="C103" s="2711"/>
      <c r="D103" s="2711"/>
      <c r="E103" s="2711"/>
      <c r="F103" s="2711"/>
      <c r="G103" s="2712"/>
      <c r="H103" s="2711"/>
      <c r="I103" s="2712"/>
      <c r="J103" s="2711"/>
      <c r="K103" s="2711"/>
      <c r="L103" s="2712"/>
      <c r="M103" s="2711"/>
      <c r="N103" s="2711"/>
      <c r="O103" s="2712"/>
      <c r="P103" s="2711"/>
      <c r="Q103" s="2711"/>
      <c r="R103" s="2713"/>
    </row>
    <row r="104" s="2186" customFormat="1" spans="2:18">
      <c r="B104" s="2711"/>
      <c r="C104" s="2711"/>
      <c r="D104" s="2711"/>
      <c r="E104" s="2711"/>
      <c r="F104" s="2711"/>
      <c r="G104" s="2712"/>
      <c r="H104" s="2711"/>
      <c r="I104" s="2712"/>
      <c r="J104" s="2711"/>
      <c r="K104" s="2711"/>
      <c r="L104" s="2712"/>
      <c r="M104" s="2711"/>
      <c r="N104" s="2711"/>
      <c r="O104" s="2712"/>
      <c r="P104" s="2711"/>
      <c r="Q104" s="2711"/>
      <c r="R104" s="2713"/>
    </row>
    <row r="105" s="2186" customFormat="1" spans="2:18">
      <c r="B105" s="2711"/>
      <c r="C105" s="2711"/>
      <c r="D105" s="2711"/>
      <c r="E105" s="2711"/>
      <c r="F105" s="2711"/>
      <c r="G105" s="2712"/>
      <c r="H105" s="2711"/>
      <c r="I105" s="2712"/>
      <c r="J105" s="2711"/>
      <c r="K105" s="2711"/>
      <c r="L105" s="2712"/>
      <c r="M105" s="2711"/>
      <c r="N105" s="2711"/>
      <c r="O105" s="2712"/>
      <c r="P105" s="2711"/>
      <c r="Q105" s="2711"/>
      <c r="R105" s="2713"/>
    </row>
    <row r="106" s="2186" customFormat="1" spans="2:18">
      <c r="B106" s="2711"/>
      <c r="C106" s="2711"/>
      <c r="D106" s="2711"/>
      <c r="E106" s="2711"/>
      <c r="F106" s="2711"/>
      <c r="G106" s="2712"/>
      <c r="H106" s="2711"/>
      <c r="I106" s="2712"/>
      <c r="J106" s="2711"/>
      <c r="K106" s="2711"/>
      <c r="L106" s="2712"/>
      <c r="M106" s="2711"/>
      <c r="N106" s="2711"/>
      <c r="O106" s="2712"/>
      <c r="P106" s="2711"/>
      <c r="Q106" s="2711"/>
      <c r="R106" s="2713"/>
    </row>
    <row r="107" s="2186" customFormat="1" spans="2:18">
      <c r="B107" s="2711"/>
      <c r="C107" s="2711"/>
      <c r="D107" s="2711"/>
      <c r="E107" s="2711"/>
      <c r="F107" s="2711"/>
      <c r="G107" s="2712"/>
      <c r="H107" s="2711"/>
      <c r="I107" s="2712"/>
      <c r="J107" s="2711"/>
      <c r="K107" s="2711"/>
      <c r="L107" s="2712"/>
      <c r="M107" s="2711"/>
      <c r="N107" s="2711"/>
      <c r="O107" s="2712"/>
      <c r="P107" s="2711"/>
      <c r="Q107" s="2711"/>
      <c r="R107" s="2713"/>
    </row>
    <row r="108" s="2186" customFormat="1" spans="2:18">
      <c r="B108" s="2711"/>
      <c r="C108" s="2711"/>
      <c r="D108" s="2711"/>
      <c r="E108" s="2711"/>
      <c r="F108" s="2711"/>
      <c r="G108" s="2712"/>
      <c r="H108" s="2711"/>
      <c r="I108" s="2712"/>
      <c r="J108" s="2711"/>
      <c r="K108" s="2711"/>
      <c r="L108" s="2712"/>
      <c r="M108" s="2711"/>
      <c r="N108" s="2711"/>
      <c r="O108" s="2712"/>
      <c r="P108" s="2711"/>
      <c r="Q108" s="2711"/>
      <c r="R108" s="2713"/>
    </row>
    <row r="109" s="2186" customFormat="1" spans="2:18">
      <c r="B109" s="2711"/>
      <c r="C109" s="2711"/>
      <c r="D109" s="2711"/>
      <c r="E109" s="2711"/>
      <c r="F109" s="2711"/>
      <c r="G109" s="2712"/>
      <c r="H109" s="2711"/>
      <c r="I109" s="2712"/>
      <c r="J109" s="2711"/>
      <c r="K109" s="2711"/>
      <c r="L109" s="2712"/>
      <c r="M109" s="2711"/>
      <c r="N109" s="2711"/>
      <c r="O109" s="2712"/>
      <c r="P109" s="2711"/>
      <c r="Q109" s="2711"/>
      <c r="R109" s="2713"/>
    </row>
    <row r="110" s="2186" customFormat="1" spans="2:18">
      <c r="B110" s="2711"/>
      <c r="C110" s="2711"/>
      <c r="D110" s="2711"/>
      <c r="E110" s="2711"/>
      <c r="F110" s="2711"/>
      <c r="G110" s="2712"/>
      <c r="H110" s="2711"/>
      <c r="I110" s="2712"/>
      <c r="J110" s="2711"/>
      <c r="K110" s="2711"/>
      <c r="L110" s="2712"/>
      <c r="M110" s="2711"/>
      <c r="N110" s="2711"/>
      <c r="O110" s="2712"/>
      <c r="P110" s="2711"/>
      <c r="Q110" s="2711"/>
      <c r="R110" s="2713"/>
    </row>
    <row r="111" s="2186" customFormat="1" spans="2:18">
      <c r="B111" s="2711"/>
      <c r="C111" s="2711"/>
      <c r="D111" s="2711"/>
      <c r="E111" s="2711"/>
      <c r="F111" s="2711"/>
      <c r="G111" s="2712"/>
      <c r="H111" s="2711"/>
      <c r="I111" s="2712"/>
      <c r="J111" s="2711"/>
      <c r="K111" s="2711"/>
      <c r="L111" s="2712"/>
      <c r="M111" s="2711"/>
      <c r="N111" s="2711"/>
      <c r="O111" s="2712"/>
      <c r="P111" s="2711"/>
      <c r="Q111" s="2711"/>
      <c r="R111" s="2713"/>
    </row>
    <row r="112" s="2186" customFormat="1" spans="2:18">
      <c r="B112" s="2711"/>
      <c r="C112" s="2711"/>
      <c r="D112" s="2711"/>
      <c r="E112" s="2711"/>
      <c r="F112" s="2711"/>
      <c r="G112" s="2712"/>
      <c r="H112" s="2711"/>
      <c r="I112" s="2712"/>
      <c r="J112" s="2711"/>
      <c r="K112" s="2711"/>
      <c r="L112" s="2712"/>
      <c r="M112" s="2711"/>
      <c r="N112" s="2711"/>
      <c r="O112" s="2712"/>
      <c r="P112" s="2711"/>
      <c r="Q112" s="2711"/>
      <c r="R112" s="2713"/>
    </row>
    <row r="113" s="2186" customFormat="1" spans="2:18">
      <c r="B113" s="2711"/>
      <c r="C113" s="2711"/>
      <c r="D113" s="2711"/>
      <c r="E113" s="2711"/>
      <c r="F113" s="2711"/>
      <c r="G113" s="2712"/>
      <c r="H113" s="2711"/>
      <c r="I113" s="2712"/>
      <c r="J113" s="2711"/>
      <c r="K113" s="2711"/>
      <c r="L113" s="2712"/>
      <c r="M113" s="2711"/>
      <c r="N113" s="2711"/>
      <c r="O113" s="2712"/>
      <c r="P113" s="2711"/>
      <c r="Q113" s="2711"/>
      <c r="R113" s="2713"/>
    </row>
    <row r="114" s="2186" customFormat="1" spans="2:18">
      <c r="B114" s="2711"/>
      <c r="C114" s="2711"/>
      <c r="D114" s="2711"/>
      <c r="E114" s="2711"/>
      <c r="F114" s="2711"/>
      <c r="G114" s="2712"/>
      <c r="H114" s="2711"/>
      <c r="I114" s="2712"/>
      <c r="J114" s="2711"/>
      <c r="K114" s="2711"/>
      <c r="L114" s="2712"/>
      <c r="M114" s="2711"/>
      <c r="N114" s="2711"/>
      <c r="O114" s="2712"/>
      <c r="P114" s="2711"/>
      <c r="Q114" s="2711"/>
      <c r="R114" s="2713"/>
    </row>
    <row r="115" s="2186" customFormat="1" spans="2:18">
      <c r="B115" s="2711"/>
      <c r="C115" s="2711"/>
      <c r="D115" s="2711"/>
      <c r="E115" s="2711"/>
      <c r="F115" s="2711"/>
      <c r="G115" s="2712"/>
      <c r="H115" s="2711"/>
      <c r="I115" s="2712"/>
      <c r="J115" s="2711"/>
      <c r="K115" s="2711"/>
      <c r="L115" s="2712"/>
      <c r="M115" s="2711"/>
      <c r="N115" s="2711"/>
      <c r="O115" s="2712"/>
      <c r="P115" s="2711"/>
      <c r="Q115" s="2711"/>
      <c r="R115" s="2713"/>
    </row>
    <row r="116" s="2186" customFormat="1" spans="2:18">
      <c r="B116" s="2711"/>
      <c r="C116" s="2711"/>
      <c r="D116" s="2711"/>
      <c r="E116" s="2711"/>
      <c r="F116" s="2711"/>
      <c r="G116" s="2712"/>
      <c r="H116" s="2711"/>
      <c r="I116" s="2712"/>
      <c r="J116" s="2711"/>
      <c r="K116" s="2711"/>
      <c r="L116" s="2712"/>
      <c r="M116" s="2711"/>
      <c r="N116" s="2711"/>
      <c r="O116" s="2712"/>
      <c r="P116" s="2711"/>
      <c r="Q116" s="2711"/>
      <c r="R116" s="2713"/>
    </row>
    <row r="117" s="2186" customFormat="1" spans="2:18">
      <c r="B117" s="2711"/>
      <c r="C117" s="2711"/>
      <c r="D117" s="2711"/>
      <c r="E117" s="2711"/>
      <c r="F117" s="2711"/>
      <c r="G117" s="2712"/>
      <c r="H117" s="2711"/>
      <c r="I117" s="2712"/>
      <c r="J117" s="2711"/>
      <c r="K117" s="2711"/>
      <c r="L117" s="2712"/>
      <c r="M117" s="2711"/>
      <c r="N117" s="2711"/>
      <c r="O117" s="2712"/>
      <c r="P117" s="2711"/>
      <c r="Q117" s="2711"/>
      <c r="R117" s="2713"/>
    </row>
    <row r="118" s="2186" customFormat="1" spans="2:18">
      <c r="B118" s="2711"/>
      <c r="C118" s="2711"/>
      <c r="D118" s="2711"/>
      <c r="E118" s="2711"/>
      <c r="F118" s="2711"/>
      <c r="G118" s="2712"/>
      <c r="H118" s="2711"/>
      <c r="I118" s="2712"/>
      <c r="J118" s="2711"/>
      <c r="K118" s="2711"/>
      <c r="L118" s="2712"/>
      <c r="M118" s="2711"/>
      <c r="N118" s="2711"/>
      <c r="O118" s="2712"/>
      <c r="P118" s="2711"/>
      <c r="Q118" s="2711"/>
      <c r="R118" s="2713"/>
    </row>
    <row r="119" s="2186" customFormat="1" spans="2:18">
      <c r="B119" s="2711"/>
      <c r="C119" s="2711"/>
      <c r="D119" s="2711"/>
      <c r="E119" s="2711"/>
      <c r="F119" s="2711"/>
      <c r="G119" s="2712"/>
      <c r="H119" s="2711"/>
      <c r="I119" s="2712"/>
      <c r="J119" s="2711"/>
      <c r="K119" s="2711"/>
      <c r="L119" s="2712"/>
      <c r="M119" s="2711"/>
      <c r="N119" s="2711"/>
      <c r="O119" s="2712"/>
      <c r="P119" s="2711"/>
      <c r="Q119" s="2711"/>
      <c r="R119" s="2713"/>
    </row>
    <row r="120" s="2186" customFormat="1" spans="2:18">
      <c r="B120" s="2711"/>
      <c r="C120" s="2711"/>
      <c r="D120" s="2711"/>
      <c r="E120" s="2711"/>
      <c r="F120" s="2711"/>
      <c r="G120" s="2712"/>
      <c r="H120" s="2711"/>
      <c r="I120" s="2712"/>
      <c r="J120" s="2711"/>
      <c r="K120" s="2711"/>
      <c r="L120" s="2712"/>
      <c r="M120" s="2711"/>
      <c r="N120" s="2711"/>
      <c r="O120" s="2712"/>
      <c r="P120" s="2711"/>
      <c r="Q120" s="2711"/>
      <c r="R120" s="2713"/>
    </row>
    <row r="121" s="2186" customFormat="1" spans="2:18">
      <c r="B121" s="2711"/>
      <c r="C121" s="2711"/>
      <c r="D121" s="2711"/>
      <c r="E121" s="2711"/>
      <c r="F121" s="2711"/>
      <c r="G121" s="2712"/>
      <c r="H121" s="2711"/>
      <c r="I121" s="2712"/>
      <c r="J121" s="2711"/>
      <c r="K121" s="2711"/>
      <c r="L121" s="2712"/>
      <c r="M121" s="2711"/>
      <c r="N121" s="2711"/>
      <c r="O121" s="2712"/>
      <c r="P121" s="2711"/>
      <c r="Q121" s="2711"/>
      <c r="R121" s="2713"/>
    </row>
    <row r="122" s="2186" customFormat="1" spans="2:18">
      <c r="B122" s="2711"/>
      <c r="C122" s="2711"/>
      <c r="D122" s="2711"/>
      <c r="E122" s="2711"/>
      <c r="F122" s="2711"/>
      <c r="G122" s="2712"/>
      <c r="H122" s="2711"/>
      <c r="I122" s="2712"/>
      <c r="J122" s="2711"/>
      <c r="K122" s="2711"/>
      <c r="L122" s="2712"/>
      <c r="M122" s="2711"/>
      <c r="N122" s="2711"/>
      <c r="O122" s="2712"/>
      <c r="P122" s="2711"/>
      <c r="Q122" s="2711"/>
      <c r="R122" s="2713"/>
    </row>
    <row r="123" s="2186" customFormat="1" spans="2:18">
      <c r="B123" s="2711"/>
      <c r="C123" s="2711"/>
      <c r="D123" s="2711"/>
      <c r="E123" s="2711"/>
      <c r="F123" s="2711"/>
      <c r="G123" s="2712"/>
      <c r="H123" s="2711"/>
      <c r="I123" s="2712"/>
      <c r="J123" s="2711"/>
      <c r="K123" s="2711"/>
      <c r="L123" s="2712"/>
      <c r="M123" s="2711"/>
      <c r="N123" s="2711"/>
      <c r="O123" s="2712"/>
      <c r="P123" s="2711"/>
      <c r="Q123" s="2711"/>
      <c r="R123" s="2713"/>
    </row>
    <row r="124" s="2186" customFormat="1" spans="2:18">
      <c r="B124" s="2711"/>
      <c r="C124" s="2711"/>
      <c r="D124" s="2711"/>
      <c r="E124" s="2711"/>
      <c r="F124" s="2711"/>
      <c r="G124" s="2712"/>
      <c r="H124" s="2711"/>
      <c r="I124" s="2712"/>
      <c r="J124" s="2711"/>
      <c r="K124" s="2711"/>
      <c r="L124" s="2712"/>
      <c r="M124" s="2711"/>
      <c r="N124" s="2711"/>
      <c r="O124" s="2712"/>
      <c r="P124" s="2711"/>
      <c r="Q124" s="2711"/>
      <c r="R124" s="2713"/>
    </row>
    <row r="125" s="2186" customFormat="1" spans="2:18">
      <c r="B125" s="2711"/>
      <c r="C125" s="2711"/>
      <c r="D125" s="2711"/>
      <c r="E125" s="2711"/>
      <c r="F125" s="2711"/>
      <c r="G125" s="2712"/>
      <c r="H125" s="2711"/>
      <c r="I125" s="2712"/>
      <c r="J125" s="2711"/>
      <c r="K125" s="2711"/>
      <c r="L125" s="2712"/>
      <c r="M125" s="2711"/>
      <c r="N125" s="2711"/>
      <c r="O125" s="2712"/>
      <c r="P125" s="2711"/>
      <c r="Q125" s="2711"/>
      <c r="R125" s="2713"/>
    </row>
    <row r="126" s="2186" customFormat="1" spans="2:18">
      <c r="B126" s="2711"/>
      <c r="C126" s="2711"/>
      <c r="D126" s="2711"/>
      <c r="E126" s="2711"/>
      <c r="F126" s="2711"/>
      <c r="G126" s="2712"/>
      <c r="H126" s="2711"/>
      <c r="I126" s="2712"/>
      <c r="J126" s="2711"/>
      <c r="K126" s="2711"/>
      <c r="L126" s="2712"/>
      <c r="M126" s="2711"/>
      <c r="N126" s="2711"/>
      <c r="O126" s="2712"/>
      <c r="P126" s="2711"/>
      <c r="Q126" s="2711"/>
      <c r="R126" s="2713"/>
    </row>
    <row r="127" s="2186" customFormat="1" spans="2:18">
      <c r="B127" s="2711"/>
      <c r="C127" s="2711"/>
      <c r="D127" s="2711"/>
      <c r="E127" s="2711"/>
      <c r="F127" s="2711"/>
      <c r="G127" s="2712"/>
      <c r="H127" s="2711"/>
      <c r="I127" s="2712"/>
      <c r="J127" s="2711"/>
      <c r="K127" s="2711"/>
      <c r="L127" s="2712"/>
      <c r="M127" s="2711"/>
      <c r="N127" s="2711"/>
      <c r="O127" s="2712"/>
      <c r="P127" s="2711"/>
      <c r="Q127" s="2711"/>
      <c r="R127" s="2713"/>
    </row>
    <row r="128" s="2186" customFormat="1" spans="2:18">
      <c r="B128" s="2711"/>
      <c r="C128" s="2711"/>
      <c r="D128" s="2711"/>
      <c r="E128" s="2711"/>
      <c r="F128" s="2711"/>
      <c r="G128" s="2712"/>
      <c r="H128" s="2711"/>
      <c r="I128" s="2712"/>
      <c r="J128" s="2711"/>
      <c r="K128" s="2711"/>
      <c r="L128" s="2712"/>
      <c r="M128" s="2711"/>
      <c r="N128" s="2711"/>
      <c r="O128" s="2712"/>
      <c r="P128" s="2711"/>
      <c r="Q128" s="2711"/>
      <c r="R128" s="2713"/>
    </row>
    <row r="129" s="2186" customFormat="1" spans="2:18">
      <c r="B129" s="2711"/>
      <c r="C129" s="2711"/>
      <c r="D129" s="2711"/>
      <c r="E129" s="2711"/>
      <c r="F129" s="2711"/>
      <c r="G129" s="2712"/>
      <c r="H129" s="2711"/>
      <c r="I129" s="2712"/>
      <c r="J129" s="2711"/>
      <c r="K129" s="2711"/>
      <c r="L129" s="2712"/>
      <c r="M129" s="2711"/>
      <c r="N129" s="2711"/>
      <c r="O129" s="2712"/>
      <c r="P129" s="2711"/>
      <c r="Q129" s="2711"/>
      <c r="R129" s="2713"/>
    </row>
    <row r="130" s="2186" customFormat="1" spans="2:18">
      <c r="B130" s="2711"/>
      <c r="C130" s="2711"/>
      <c r="D130" s="2711"/>
      <c r="E130" s="2711"/>
      <c r="F130" s="2711"/>
      <c r="G130" s="2712"/>
      <c r="H130" s="2711"/>
      <c r="I130" s="2712"/>
      <c r="J130" s="2711"/>
      <c r="K130" s="2711"/>
      <c r="L130" s="2712"/>
      <c r="M130" s="2711"/>
      <c r="N130" s="2711"/>
      <c r="O130" s="2712"/>
      <c r="P130" s="2711"/>
      <c r="Q130" s="2711"/>
      <c r="R130" s="2713"/>
    </row>
    <row r="131" s="2186" customFormat="1" spans="2:18">
      <c r="B131" s="2711"/>
      <c r="C131" s="2711"/>
      <c r="D131" s="2711"/>
      <c r="E131" s="2711"/>
      <c r="F131" s="2711"/>
      <c r="G131" s="2712"/>
      <c r="H131" s="2711"/>
      <c r="I131" s="2712"/>
      <c r="J131" s="2711"/>
      <c r="K131" s="2711"/>
      <c r="L131" s="2712"/>
      <c r="M131" s="2711"/>
      <c r="N131" s="2711"/>
      <c r="O131" s="2712"/>
      <c r="P131" s="2711"/>
      <c r="Q131" s="2711"/>
      <c r="R131" s="2713"/>
    </row>
    <row r="132" s="2186" customFormat="1" spans="2:18">
      <c r="B132" s="2711"/>
      <c r="C132" s="2711"/>
      <c r="D132" s="2711"/>
      <c r="E132" s="2711"/>
      <c r="F132" s="2711"/>
      <c r="G132" s="2712"/>
      <c r="H132" s="2711"/>
      <c r="I132" s="2712"/>
      <c r="J132" s="2711"/>
      <c r="K132" s="2711"/>
      <c r="L132" s="2712"/>
      <c r="M132" s="2711"/>
      <c r="N132" s="2711"/>
      <c r="O132" s="2712"/>
      <c r="P132" s="2711"/>
      <c r="Q132" s="2711"/>
      <c r="R132" s="2713"/>
    </row>
    <row r="133" s="2186" customFormat="1" spans="2:18">
      <c r="B133" s="2711"/>
      <c r="C133" s="2711"/>
      <c r="D133" s="2711"/>
      <c r="E133" s="2711"/>
      <c r="F133" s="2711"/>
      <c r="G133" s="2712"/>
      <c r="H133" s="2711"/>
      <c r="I133" s="2712"/>
      <c r="J133" s="2711"/>
      <c r="K133" s="2711"/>
      <c r="L133" s="2712"/>
      <c r="M133" s="2711"/>
      <c r="N133" s="2711"/>
      <c r="O133" s="2712"/>
      <c r="P133" s="2711"/>
      <c r="Q133" s="2711"/>
      <c r="R133" s="2713"/>
    </row>
    <row r="134" s="2186" customFormat="1" spans="2:18">
      <c r="B134" s="2711"/>
      <c r="C134" s="2711"/>
      <c r="D134" s="2711"/>
      <c r="E134" s="2711"/>
      <c r="F134" s="2711"/>
      <c r="G134" s="2712"/>
      <c r="H134" s="2711"/>
      <c r="I134" s="2712"/>
      <c r="J134" s="2711"/>
      <c r="K134" s="2711"/>
      <c r="L134" s="2712"/>
      <c r="M134" s="2711"/>
      <c r="N134" s="2711"/>
      <c r="O134" s="2712"/>
      <c r="P134" s="2711"/>
      <c r="Q134" s="2711"/>
      <c r="R134" s="2713"/>
    </row>
    <row r="135" s="2186" customFormat="1" spans="2:18">
      <c r="B135" s="2711"/>
      <c r="C135" s="2711"/>
      <c r="D135" s="2711"/>
      <c r="E135" s="2711"/>
      <c r="F135" s="2711"/>
      <c r="G135" s="2712"/>
      <c r="H135" s="2711"/>
      <c r="I135" s="2712"/>
      <c r="J135" s="2711"/>
      <c r="K135" s="2711"/>
      <c r="L135" s="2712"/>
      <c r="M135" s="2711"/>
      <c r="N135" s="2711"/>
      <c r="O135" s="2712"/>
      <c r="P135" s="2711"/>
      <c r="Q135" s="2711"/>
      <c r="R135" s="2713"/>
    </row>
    <row r="136" s="2186" customFormat="1" spans="2:18">
      <c r="B136" s="2711"/>
      <c r="C136" s="2711"/>
      <c r="D136" s="2711"/>
      <c r="E136" s="2711"/>
      <c r="F136" s="2711"/>
      <c r="G136" s="2712"/>
      <c r="H136" s="2711"/>
      <c r="I136" s="2712"/>
      <c r="J136" s="2711"/>
      <c r="K136" s="2711"/>
      <c r="L136" s="2712"/>
      <c r="M136" s="2711"/>
      <c r="N136" s="2711"/>
      <c r="O136" s="2712"/>
      <c r="P136" s="2711"/>
      <c r="Q136" s="2711"/>
      <c r="R136" s="2713"/>
    </row>
    <row r="137" s="2186" customFormat="1" spans="2:18">
      <c r="B137" s="2711"/>
      <c r="C137" s="2711"/>
      <c r="D137" s="2711"/>
      <c r="E137" s="2711"/>
      <c r="F137" s="2711"/>
      <c r="G137" s="2712"/>
      <c r="H137" s="2711"/>
      <c r="I137" s="2712"/>
      <c r="J137" s="2711"/>
      <c r="K137" s="2711"/>
      <c r="L137" s="2712"/>
      <c r="M137" s="2711"/>
      <c r="N137" s="2711"/>
      <c r="O137" s="2712"/>
      <c r="P137" s="2711"/>
      <c r="Q137" s="2711"/>
      <c r="R137" s="2713"/>
    </row>
    <row r="138" s="2186" customFormat="1" spans="2:18">
      <c r="B138" s="2711"/>
      <c r="C138" s="2711"/>
      <c r="D138" s="2711"/>
      <c r="E138" s="2711"/>
      <c r="F138" s="2711"/>
      <c r="G138" s="2712"/>
      <c r="H138" s="2711"/>
      <c r="I138" s="2712"/>
      <c r="J138" s="2711"/>
      <c r="K138" s="2711"/>
      <c r="L138" s="2712"/>
      <c r="M138" s="2711"/>
      <c r="N138" s="2711"/>
      <c r="O138" s="2712"/>
      <c r="P138" s="2711"/>
      <c r="Q138" s="2711"/>
      <c r="R138" s="2713"/>
    </row>
    <row r="139" s="2186" customFormat="1" spans="2:18">
      <c r="B139" s="2711"/>
      <c r="C139" s="2711"/>
      <c r="D139" s="2711"/>
      <c r="E139" s="2711"/>
      <c r="F139" s="2711"/>
      <c r="G139" s="2712"/>
      <c r="H139" s="2711"/>
      <c r="I139" s="2712"/>
      <c r="J139" s="2711"/>
      <c r="K139" s="2711"/>
      <c r="L139" s="2712"/>
      <c r="M139" s="2711"/>
      <c r="N139" s="2711"/>
      <c r="O139" s="2712"/>
      <c r="P139" s="2711"/>
      <c r="Q139" s="2711"/>
      <c r="R139" s="2713"/>
    </row>
    <row r="140" s="2186" customFormat="1" spans="2:18">
      <c r="B140" s="2711"/>
      <c r="C140" s="2711"/>
      <c r="D140" s="2711"/>
      <c r="E140" s="2711"/>
      <c r="F140" s="2711"/>
      <c r="G140" s="2712"/>
      <c r="H140" s="2711"/>
      <c r="I140" s="2712"/>
      <c r="J140" s="2711"/>
      <c r="K140" s="2711"/>
      <c r="L140" s="2712"/>
      <c r="M140" s="2711"/>
      <c r="N140" s="2711"/>
      <c r="O140" s="2712"/>
      <c r="P140" s="2711"/>
      <c r="Q140" s="2711"/>
      <c r="R140" s="2713"/>
    </row>
    <row r="141" s="2186" customFormat="1" spans="2:18">
      <c r="B141" s="2711"/>
      <c r="C141" s="2711"/>
      <c r="D141" s="2711"/>
      <c r="E141" s="2711"/>
      <c r="F141" s="2711"/>
      <c r="G141" s="2712"/>
      <c r="H141" s="2711"/>
      <c r="I141" s="2712"/>
      <c r="J141" s="2711"/>
      <c r="K141" s="2711"/>
      <c r="L141" s="2712"/>
      <c r="M141" s="2711"/>
      <c r="N141" s="2711"/>
      <c r="O141" s="2712"/>
      <c r="P141" s="2711"/>
      <c r="Q141" s="2711"/>
      <c r="R141" s="2713"/>
    </row>
    <row r="142" s="2186" customFormat="1" spans="2:18">
      <c r="B142" s="2711"/>
      <c r="C142" s="2711"/>
      <c r="D142" s="2711"/>
      <c r="E142" s="2711"/>
      <c r="F142" s="2711"/>
      <c r="G142" s="2712"/>
      <c r="H142" s="2711"/>
      <c r="I142" s="2712"/>
      <c r="J142" s="2711"/>
      <c r="K142" s="2711"/>
      <c r="L142" s="2712"/>
      <c r="M142" s="2711"/>
      <c r="N142" s="2711"/>
      <c r="O142" s="2712"/>
      <c r="P142" s="2711"/>
      <c r="Q142" s="2711"/>
      <c r="R142" s="2713"/>
    </row>
    <row r="143" s="2186" customFormat="1" spans="2:18">
      <c r="B143" s="2711"/>
      <c r="C143" s="2711"/>
      <c r="D143" s="2711"/>
      <c r="E143" s="2711"/>
      <c r="F143" s="2711"/>
      <c r="G143" s="2712"/>
      <c r="H143" s="2711"/>
      <c r="I143" s="2712"/>
      <c r="J143" s="2711"/>
      <c r="K143" s="2711"/>
      <c r="L143" s="2712"/>
      <c r="M143" s="2711"/>
      <c r="N143" s="2711"/>
      <c r="O143" s="2712"/>
      <c r="P143" s="2711"/>
      <c r="Q143" s="2711"/>
      <c r="R143" s="2713"/>
    </row>
    <row r="144" s="2186" customFormat="1" spans="2:18">
      <c r="B144" s="2711"/>
      <c r="C144" s="2711"/>
      <c r="D144" s="2711"/>
      <c r="E144" s="2711"/>
      <c r="F144" s="2711"/>
      <c r="G144" s="2712"/>
      <c r="H144" s="2711"/>
      <c r="I144" s="2712"/>
      <c r="J144" s="2711"/>
      <c r="K144" s="2711"/>
      <c r="L144" s="2712"/>
      <c r="M144" s="2711"/>
      <c r="N144" s="2711"/>
      <c r="O144" s="2712"/>
      <c r="P144" s="2711"/>
      <c r="Q144" s="2711"/>
      <c r="R144" s="2713"/>
    </row>
    <row r="145" s="2186" customFormat="1" spans="2:18">
      <c r="B145" s="2711"/>
      <c r="C145" s="2711"/>
      <c r="D145" s="2711"/>
      <c r="E145" s="2711"/>
      <c r="F145" s="2711"/>
      <c r="G145" s="2712"/>
      <c r="H145" s="2711"/>
      <c r="I145" s="2712"/>
      <c r="J145" s="2711"/>
      <c r="K145" s="2711"/>
      <c r="L145" s="2712"/>
      <c r="M145" s="2711"/>
      <c r="N145" s="2711"/>
      <c r="O145" s="2712"/>
      <c r="P145" s="2711"/>
      <c r="Q145" s="2711"/>
      <c r="R145" s="2713"/>
    </row>
    <row r="146" s="2186" customFormat="1" spans="2:18">
      <c r="B146" s="2711"/>
      <c r="C146" s="2711"/>
      <c r="D146" s="2711"/>
      <c r="E146" s="2711"/>
      <c r="F146" s="2711"/>
      <c r="G146" s="2712"/>
      <c r="H146" s="2711"/>
      <c r="I146" s="2712"/>
      <c r="J146" s="2711"/>
      <c r="K146" s="2711"/>
      <c r="L146" s="2712"/>
      <c r="M146" s="2711"/>
      <c r="N146" s="2711"/>
      <c r="O146" s="2712"/>
      <c r="P146" s="2711"/>
      <c r="Q146" s="2711"/>
      <c r="R146" s="2713"/>
    </row>
    <row r="147" s="2186" customFormat="1" spans="2:18">
      <c r="B147" s="2711"/>
      <c r="C147" s="2711"/>
      <c r="D147" s="2711"/>
      <c r="E147" s="2711"/>
      <c r="F147" s="2711"/>
      <c r="G147" s="2712"/>
      <c r="H147" s="2711"/>
      <c r="I147" s="2712"/>
      <c r="J147" s="2711"/>
      <c r="K147" s="2711"/>
      <c r="L147" s="2712"/>
      <c r="M147" s="2711"/>
      <c r="N147" s="2711"/>
      <c r="O147" s="2712"/>
      <c r="P147" s="2711"/>
      <c r="Q147" s="2711"/>
      <c r="R147" s="2713"/>
    </row>
    <row r="148" s="2186" customFormat="1" spans="2:18">
      <c r="B148" s="2711"/>
      <c r="C148" s="2711"/>
      <c r="D148" s="2711"/>
      <c r="E148" s="2711"/>
      <c r="F148" s="2711"/>
      <c r="G148" s="2712"/>
      <c r="H148" s="2711"/>
      <c r="I148" s="2712"/>
      <c r="J148" s="2711"/>
      <c r="K148" s="2711"/>
      <c r="L148" s="2712"/>
      <c r="M148" s="2711"/>
      <c r="N148" s="2711"/>
      <c r="O148" s="2712"/>
      <c r="P148" s="2711"/>
      <c r="Q148" s="2711"/>
      <c r="R148" s="2713"/>
    </row>
    <row r="149" s="2186" customFormat="1" spans="2:18">
      <c r="B149" s="2711"/>
      <c r="C149" s="2711"/>
      <c r="D149" s="2711"/>
      <c r="E149" s="2711"/>
      <c r="F149" s="2711"/>
      <c r="G149" s="2712"/>
      <c r="H149" s="2711"/>
      <c r="I149" s="2712"/>
      <c r="J149" s="2711"/>
      <c r="K149" s="2711"/>
      <c r="L149" s="2712"/>
      <c r="M149" s="2711"/>
      <c r="N149" s="2711"/>
      <c r="O149" s="2712"/>
      <c r="P149" s="2711"/>
      <c r="Q149" s="2711"/>
      <c r="R149" s="2713"/>
    </row>
    <row r="150" s="2186" customFormat="1" spans="2:18">
      <c r="B150" s="2711"/>
      <c r="C150" s="2711"/>
      <c r="D150" s="2711"/>
      <c r="E150" s="2711"/>
      <c r="F150" s="2711"/>
      <c r="G150" s="2712"/>
      <c r="H150" s="2711"/>
      <c r="I150" s="2712"/>
      <c r="J150" s="2711"/>
      <c r="K150" s="2711"/>
      <c r="L150" s="2712"/>
      <c r="M150" s="2711"/>
      <c r="N150" s="2711"/>
      <c r="O150" s="2712"/>
      <c r="P150" s="2711"/>
      <c r="Q150" s="2711"/>
      <c r="R150" s="2713"/>
    </row>
    <row r="151" s="2186" customFormat="1" spans="2:18">
      <c r="B151" s="2711"/>
      <c r="C151" s="2711"/>
      <c r="D151" s="2711"/>
      <c r="E151" s="2711"/>
      <c r="F151" s="2711"/>
      <c r="G151" s="2712"/>
      <c r="H151" s="2711"/>
      <c r="I151" s="2712"/>
      <c r="J151" s="2711"/>
      <c r="K151" s="2711"/>
      <c r="L151" s="2712"/>
      <c r="M151" s="2711"/>
      <c r="N151" s="2711"/>
      <c r="O151" s="2712"/>
      <c r="P151" s="2711"/>
      <c r="Q151" s="2711"/>
      <c r="R151" s="2713"/>
    </row>
    <row r="152" s="2186" customFormat="1" spans="2:18">
      <c r="B152" s="2711"/>
      <c r="C152" s="2711"/>
      <c r="D152" s="2711"/>
      <c r="E152" s="2711"/>
      <c r="F152" s="2711"/>
      <c r="G152" s="2712"/>
      <c r="H152" s="2711"/>
      <c r="I152" s="2712"/>
      <c r="J152" s="2711"/>
      <c r="K152" s="2711"/>
      <c r="L152" s="2712"/>
      <c r="M152" s="2711"/>
      <c r="N152" s="2711"/>
      <c r="O152" s="2712"/>
      <c r="P152" s="2711"/>
      <c r="Q152" s="2711"/>
      <c r="R152" s="2713"/>
    </row>
    <row r="153" s="2186" customFormat="1" spans="2:18">
      <c r="B153" s="2711"/>
      <c r="C153" s="2711"/>
      <c r="D153" s="2711"/>
      <c r="E153" s="2711"/>
      <c r="F153" s="2711"/>
      <c r="G153" s="2712"/>
      <c r="H153" s="2711"/>
      <c r="I153" s="2712"/>
      <c r="J153" s="2711"/>
      <c r="K153" s="2711"/>
      <c r="L153" s="2712"/>
      <c r="M153" s="2711"/>
      <c r="N153" s="2711"/>
      <c r="O153" s="2712"/>
      <c r="P153" s="2711"/>
      <c r="Q153" s="2711"/>
      <c r="R153" s="2713"/>
    </row>
    <row r="154" s="2186" customFormat="1" spans="2:18">
      <c r="B154" s="2711"/>
      <c r="C154" s="2711"/>
      <c r="D154" s="2711"/>
      <c r="E154" s="2711"/>
      <c r="F154" s="2711"/>
      <c r="G154" s="2712"/>
      <c r="H154" s="2711"/>
      <c r="I154" s="2712"/>
      <c r="J154" s="2711"/>
      <c r="K154" s="2711"/>
      <c r="L154" s="2712"/>
      <c r="M154" s="2711"/>
      <c r="N154" s="2711"/>
      <c r="O154" s="2712"/>
      <c r="P154" s="2711"/>
      <c r="Q154" s="2711"/>
      <c r="R154" s="2713"/>
    </row>
    <row r="155" s="2186" customFormat="1" spans="2:18">
      <c r="B155" s="2711"/>
      <c r="C155" s="2711"/>
      <c r="D155" s="2711"/>
      <c r="E155" s="2711"/>
      <c r="F155" s="2711"/>
      <c r="G155" s="2712"/>
      <c r="H155" s="2711"/>
      <c r="I155" s="2712"/>
      <c r="J155" s="2711"/>
      <c r="K155" s="2711"/>
      <c r="L155" s="2712"/>
      <c r="M155" s="2711"/>
      <c r="N155" s="2711"/>
      <c r="O155" s="2712"/>
      <c r="P155" s="2711"/>
      <c r="Q155" s="2711"/>
      <c r="R155" s="2713"/>
    </row>
    <row r="156" s="2186" customFormat="1" spans="2:18">
      <c r="B156" s="2711"/>
      <c r="C156" s="2711"/>
      <c r="D156" s="2711"/>
      <c r="E156" s="2711"/>
      <c r="F156" s="2711"/>
      <c r="G156" s="2712"/>
      <c r="H156" s="2711"/>
      <c r="I156" s="2712"/>
      <c r="J156" s="2711"/>
      <c r="K156" s="2711"/>
      <c r="L156" s="2712"/>
      <c r="M156" s="2711"/>
      <c r="N156" s="2711"/>
      <c r="O156" s="2712"/>
      <c r="P156" s="2711"/>
      <c r="Q156" s="2711"/>
      <c r="R156" s="2713"/>
    </row>
    <row r="157" s="2186" customFormat="1" spans="2:18">
      <c r="B157" s="2711"/>
      <c r="C157" s="2711"/>
      <c r="D157" s="2711"/>
      <c r="E157" s="2711"/>
      <c r="F157" s="2711"/>
      <c r="G157" s="2712"/>
      <c r="H157" s="2711"/>
      <c r="I157" s="2712"/>
      <c r="J157" s="2711"/>
      <c r="K157" s="2711"/>
      <c r="L157" s="2712"/>
      <c r="M157" s="2711"/>
      <c r="N157" s="2711"/>
      <c r="O157" s="2712"/>
      <c r="P157" s="2711"/>
      <c r="Q157" s="2711"/>
      <c r="R157" s="2713"/>
    </row>
    <row r="158" s="2186" customFormat="1" spans="2:18">
      <c r="B158" s="2711"/>
      <c r="C158" s="2711"/>
      <c r="D158" s="2711"/>
      <c r="E158" s="2711"/>
      <c r="F158" s="2711"/>
      <c r="G158" s="2712"/>
      <c r="H158" s="2711"/>
      <c r="I158" s="2712"/>
      <c r="J158" s="2711"/>
      <c r="K158" s="2711"/>
      <c r="L158" s="2712"/>
      <c r="M158" s="2711"/>
      <c r="N158" s="2711"/>
      <c r="O158" s="2712"/>
      <c r="P158" s="2711"/>
      <c r="Q158" s="2711"/>
      <c r="R158" s="2713"/>
    </row>
    <row r="159" s="2186" customFormat="1" spans="2:18">
      <c r="B159" s="2711"/>
      <c r="C159" s="2711"/>
      <c r="D159" s="2711"/>
      <c r="E159" s="2711"/>
      <c r="F159" s="2711"/>
      <c r="G159" s="2712"/>
      <c r="H159" s="2711"/>
      <c r="I159" s="2712"/>
      <c r="J159" s="2711"/>
      <c r="K159" s="2711"/>
      <c r="L159" s="2712"/>
      <c r="M159" s="2711"/>
      <c r="N159" s="2711"/>
      <c r="O159" s="2712"/>
      <c r="P159" s="2711"/>
      <c r="Q159" s="2711"/>
      <c r="R159" s="2713"/>
    </row>
    <row r="160" s="2186" customFormat="1" spans="2:18">
      <c r="B160" s="2711"/>
      <c r="C160" s="2711"/>
      <c r="D160" s="2711"/>
      <c r="E160" s="2711"/>
      <c r="F160" s="2711"/>
      <c r="G160" s="2712"/>
      <c r="H160" s="2711"/>
      <c r="I160" s="2712"/>
      <c r="J160" s="2711"/>
      <c r="K160" s="2711"/>
      <c r="L160" s="2712"/>
      <c r="M160" s="2711"/>
      <c r="N160" s="2711"/>
      <c r="O160" s="2712"/>
      <c r="P160" s="2711"/>
      <c r="Q160" s="2711"/>
      <c r="R160" s="2713"/>
    </row>
    <row r="161" s="2186" customFormat="1" spans="2:18">
      <c r="B161" s="2711"/>
      <c r="C161" s="2711"/>
      <c r="D161" s="2711"/>
      <c r="E161" s="2711"/>
      <c r="F161" s="2711"/>
      <c r="G161" s="2712"/>
      <c r="H161" s="2711"/>
      <c r="I161" s="2712"/>
      <c r="J161" s="2711"/>
      <c r="K161" s="2711"/>
      <c r="L161" s="2712"/>
      <c r="M161" s="2711"/>
      <c r="N161" s="2711"/>
      <c r="O161" s="2712"/>
      <c r="P161" s="2711"/>
      <c r="Q161" s="2711"/>
      <c r="R161" s="2713"/>
    </row>
    <row r="162" s="2186" customFormat="1" spans="2:18">
      <c r="B162" s="2711"/>
      <c r="C162" s="2711"/>
      <c r="D162" s="2711"/>
      <c r="E162" s="2711"/>
      <c r="F162" s="2711"/>
      <c r="G162" s="2712"/>
      <c r="H162" s="2711"/>
      <c r="I162" s="2712"/>
      <c r="J162" s="2711"/>
      <c r="K162" s="2711"/>
      <c r="L162" s="2712"/>
      <c r="M162" s="2711"/>
      <c r="N162" s="2711"/>
      <c r="O162" s="2712"/>
      <c r="P162" s="2711"/>
      <c r="Q162" s="2711"/>
      <c r="R162" s="2713"/>
    </row>
    <row r="163" s="2186" customFormat="1" spans="2:18">
      <c r="B163" s="2711"/>
      <c r="C163" s="2711"/>
      <c r="D163" s="2711"/>
      <c r="E163" s="2711"/>
      <c r="F163" s="2711"/>
      <c r="G163" s="2712"/>
      <c r="H163" s="2711"/>
      <c r="I163" s="2712"/>
      <c r="J163" s="2711"/>
      <c r="K163" s="2711"/>
      <c r="L163" s="2712"/>
      <c r="M163" s="2711"/>
      <c r="N163" s="2711"/>
      <c r="O163" s="2712"/>
      <c r="P163" s="2711"/>
      <c r="Q163" s="2711"/>
      <c r="R163" s="2713"/>
    </row>
    <row r="164" s="2186" customFormat="1" spans="2:18">
      <c r="B164" s="2711"/>
      <c r="C164" s="2711"/>
      <c r="D164" s="2711"/>
      <c r="E164" s="2711"/>
      <c r="F164" s="2711"/>
      <c r="G164" s="2712"/>
      <c r="H164" s="2711"/>
      <c r="I164" s="2712"/>
      <c r="J164" s="2711"/>
      <c r="K164" s="2711"/>
      <c r="L164" s="2712"/>
      <c r="M164" s="2711"/>
      <c r="N164" s="2711"/>
      <c r="O164" s="2712"/>
      <c r="P164" s="2711"/>
      <c r="Q164" s="2711"/>
      <c r="R164" s="2713"/>
    </row>
    <row r="165" s="2186" customFormat="1" spans="2:18">
      <c r="B165" s="2711"/>
      <c r="C165" s="2711"/>
      <c r="D165" s="2711"/>
      <c r="E165" s="2711"/>
      <c r="F165" s="2711"/>
      <c r="G165" s="2712"/>
      <c r="H165" s="2711"/>
      <c r="I165" s="2712"/>
      <c r="J165" s="2711"/>
      <c r="K165" s="2711"/>
      <c r="L165" s="2712"/>
      <c r="M165" s="2711"/>
      <c r="N165" s="2711"/>
      <c r="O165" s="2712"/>
      <c r="P165" s="2711"/>
      <c r="Q165" s="2711"/>
      <c r="R165" s="2713"/>
    </row>
    <row r="166" s="2186" customFormat="1" spans="2:18">
      <c r="B166" s="2711"/>
      <c r="C166" s="2711"/>
      <c r="D166" s="2711"/>
      <c r="E166" s="2711"/>
      <c r="F166" s="2711"/>
      <c r="G166" s="2712"/>
      <c r="H166" s="2711"/>
      <c r="I166" s="2712"/>
      <c r="J166" s="2711"/>
      <c r="K166" s="2711"/>
      <c r="L166" s="2712"/>
      <c r="M166" s="2711"/>
      <c r="N166" s="2711"/>
      <c r="O166" s="2712"/>
      <c r="P166" s="2711"/>
      <c r="Q166" s="2711"/>
      <c r="R166" s="2713"/>
    </row>
    <row r="167" s="2186" customFormat="1" spans="2:18">
      <c r="B167" s="2711"/>
      <c r="C167" s="2711"/>
      <c r="D167" s="2711"/>
      <c r="E167" s="2711"/>
      <c r="F167" s="2711"/>
      <c r="G167" s="2712"/>
      <c r="H167" s="2711"/>
      <c r="I167" s="2712"/>
      <c r="J167" s="2711"/>
      <c r="K167" s="2711"/>
      <c r="L167" s="2712"/>
      <c r="M167" s="2711"/>
      <c r="N167" s="2711"/>
      <c r="O167" s="2712"/>
      <c r="P167" s="2711"/>
      <c r="Q167" s="2711"/>
      <c r="R167" s="2713"/>
    </row>
    <row r="168" s="2186" customFormat="1" spans="2:18">
      <c r="B168" s="2711"/>
      <c r="C168" s="2711"/>
      <c r="D168" s="2711"/>
      <c r="E168" s="2711"/>
      <c r="F168" s="2711"/>
      <c r="G168" s="2712"/>
      <c r="H168" s="2711"/>
      <c r="I168" s="2712"/>
      <c r="J168" s="2711"/>
      <c r="K168" s="2711"/>
      <c r="L168" s="2712"/>
      <c r="M168" s="2711"/>
      <c r="N168" s="2711"/>
      <c r="O168" s="2712"/>
      <c r="P168" s="2711"/>
      <c r="Q168" s="2711"/>
      <c r="R168" s="2713"/>
    </row>
    <row r="169" s="2186" customFormat="1" spans="2:18">
      <c r="B169" s="2711"/>
      <c r="C169" s="2711"/>
      <c r="D169" s="2711"/>
      <c r="E169" s="2711"/>
      <c r="F169" s="2711"/>
      <c r="G169" s="2712"/>
      <c r="H169" s="2711"/>
      <c r="I169" s="2712"/>
      <c r="J169" s="2711"/>
      <c r="K169" s="2711"/>
      <c r="L169" s="2712"/>
      <c r="M169" s="2711"/>
      <c r="N169" s="2711"/>
      <c r="O169" s="2712"/>
      <c r="P169" s="2711"/>
      <c r="Q169" s="2711"/>
      <c r="R169" s="2713"/>
    </row>
    <row r="170" s="2186" customFormat="1" spans="2:18">
      <c r="B170" s="2711"/>
      <c r="C170" s="2711"/>
      <c r="D170" s="2711"/>
      <c r="E170" s="2711"/>
      <c r="F170" s="2711"/>
      <c r="G170" s="2712"/>
      <c r="H170" s="2711"/>
      <c r="I170" s="2712"/>
      <c r="J170" s="2711"/>
      <c r="K170" s="2711"/>
      <c r="L170" s="2712"/>
      <c r="M170" s="2711"/>
      <c r="N170" s="2711"/>
      <c r="O170" s="2712"/>
      <c r="P170" s="2711"/>
      <c r="Q170" s="2711"/>
      <c r="R170" s="2713"/>
    </row>
    <row r="171" s="2186" customFormat="1" spans="2:18">
      <c r="B171" s="2711"/>
      <c r="C171" s="2711"/>
      <c r="D171" s="2711"/>
      <c r="E171" s="2711"/>
      <c r="F171" s="2711"/>
      <c r="G171" s="2712"/>
      <c r="H171" s="2711"/>
      <c r="I171" s="2712"/>
      <c r="J171" s="2711"/>
      <c r="K171" s="2711"/>
      <c r="L171" s="2712"/>
      <c r="M171" s="2711"/>
      <c r="N171" s="2711"/>
      <c r="O171" s="2712"/>
      <c r="P171" s="2711"/>
      <c r="Q171" s="2711"/>
      <c r="R171" s="2713"/>
    </row>
    <row r="172" s="2186" customFormat="1" spans="2:18">
      <c r="B172" s="2711"/>
      <c r="C172" s="2711"/>
      <c r="D172" s="2711"/>
      <c r="E172" s="2711"/>
      <c r="F172" s="2711"/>
      <c r="G172" s="2712"/>
      <c r="H172" s="2711"/>
      <c r="I172" s="2712"/>
      <c r="J172" s="2711"/>
      <c r="K172" s="2711"/>
      <c r="L172" s="2712"/>
      <c r="M172" s="2711"/>
      <c r="N172" s="2711"/>
      <c r="O172" s="2712"/>
      <c r="P172" s="2711"/>
      <c r="Q172" s="2711"/>
      <c r="R172" s="2713"/>
    </row>
    <row r="173" s="2186" customFormat="1" spans="2:18">
      <c r="B173" s="2711"/>
      <c r="C173" s="2711"/>
      <c r="D173" s="2711"/>
      <c r="E173" s="2711"/>
      <c r="F173" s="2711"/>
      <c r="G173" s="2712"/>
      <c r="H173" s="2711"/>
      <c r="I173" s="2712"/>
      <c r="J173" s="2711"/>
      <c r="K173" s="2711"/>
      <c r="L173" s="2712"/>
      <c r="M173" s="2711"/>
      <c r="N173" s="2711"/>
      <c r="O173" s="2712"/>
      <c r="P173" s="2711"/>
      <c r="Q173" s="2711"/>
      <c r="R173" s="2713"/>
    </row>
    <row r="174" s="2186" customFormat="1" spans="2:18">
      <c r="B174" s="2711"/>
      <c r="C174" s="2711"/>
      <c r="D174" s="2711"/>
      <c r="E174" s="2711"/>
      <c r="F174" s="2711"/>
      <c r="G174" s="2712"/>
      <c r="H174" s="2711"/>
      <c r="I174" s="2712"/>
      <c r="J174" s="2711"/>
      <c r="K174" s="2711"/>
      <c r="L174" s="2712"/>
      <c r="M174" s="2711"/>
      <c r="N174" s="2711"/>
      <c r="O174" s="2712"/>
      <c r="P174" s="2711"/>
      <c r="Q174" s="2711"/>
      <c r="R174" s="2713"/>
    </row>
    <row r="175" s="2186" customFormat="1" spans="2:18">
      <c r="B175" s="2711"/>
      <c r="C175" s="2711"/>
      <c r="D175" s="2711"/>
      <c r="E175" s="2711"/>
      <c r="F175" s="2711"/>
      <c r="G175" s="2712"/>
      <c r="H175" s="2711"/>
      <c r="I175" s="2712"/>
      <c r="J175" s="2711"/>
      <c r="K175" s="2711"/>
      <c r="L175" s="2712"/>
      <c r="M175" s="2711"/>
      <c r="N175" s="2711"/>
      <c r="O175" s="2712"/>
      <c r="P175" s="2711"/>
      <c r="Q175" s="2711"/>
      <c r="R175" s="2713"/>
    </row>
    <row r="176" s="2186" customFormat="1" spans="2:18">
      <c r="B176" s="2711"/>
      <c r="C176" s="2711"/>
      <c r="D176" s="2711"/>
      <c r="E176" s="2711"/>
      <c r="F176" s="2711"/>
      <c r="G176" s="2712"/>
      <c r="H176" s="2711"/>
      <c r="I176" s="2712"/>
      <c r="J176" s="2711"/>
      <c r="K176" s="2711"/>
      <c r="L176" s="2712"/>
      <c r="M176" s="2711"/>
      <c r="N176" s="2711"/>
      <c r="O176" s="2712"/>
      <c r="P176" s="2711"/>
      <c r="Q176" s="2711"/>
      <c r="R176" s="2713"/>
    </row>
    <row r="177" s="2186" customFormat="1" spans="2:18">
      <c r="B177" s="2711"/>
      <c r="C177" s="2711"/>
      <c r="D177" s="2711"/>
      <c r="E177" s="2711"/>
      <c r="F177" s="2711"/>
      <c r="G177" s="2712"/>
      <c r="H177" s="2711"/>
      <c r="I177" s="2712"/>
      <c r="J177" s="2711"/>
      <c r="K177" s="2711"/>
      <c r="L177" s="2712"/>
      <c r="M177" s="2711"/>
      <c r="N177" s="2711"/>
      <c r="O177" s="2712"/>
      <c r="P177" s="2711"/>
      <c r="Q177" s="2711"/>
      <c r="R177" s="2713"/>
    </row>
    <row r="178" s="2186" customFormat="1" spans="2:18">
      <c r="B178" s="2711"/>
      <c r="C178" s="2711"/>
      <c r="D178" s="2711"/>
      <c r="E178" s="2711"/>
      <c r="F178" s="2711"/>
      <c r="G178" s="2712"/>
      <c r="H178" s="2711"/>
      <c r="I178" s="2712"/>
      <c r="J178" s="2711"/>
      <c r="K178" s="2711"/>
      <c r="L178" s="2712"/>
      <c r="M178" s="2711"/>
      <c r="N178" s="2711"/>
      <c r="O178" s="2712"/>
      <c r="P178" s="2711"/>
      <c r="Q178" s="2711"/>
      <c r="R178" s="2713"/>
    </row>
    <row r="179" s="2186" customFormat="1" spans="2:18">
      <c r="B179" s="2711"/>
      <c r="C179" s="2711"/>
      <c r="D179" s="2711"/>
      <c r="E179" s="2711"/>
      <c r="F179" s="2711"/>
      <c r="G179" s="2712"/>
      <c r="H179" s="2711"/>
      <c r="I179" s="2712"/>
      <c r="J179" s="2711"/>
      <c r="K179" s="2711"/>
      <c r="L179" s="2712"/>
      <c r="M179" s="2711"/>
      <c r="N179" s="2711"/>
      <c r="O179" s="2712"/>
      <c r="P179" s="2711"/>
      <c r="Q179" s="2711"/>
      <c r="R179" s="2713"/>
    </row>
    <row r="180" s="2186" customFormat="1" spans="2:18">
      <c r="B180" s="2711"/>
      <c r="C180" s="2711"/>
      <c r="D180" s="2711"/>
      <c r="E180" s="2711"/>
      <c r="F180" s="2711"/>
      <c r="G180" s="2712"/>
      <c r="H180" s="2711"/>
      <c r="I180" s="2712"/>
      <c r="J180" s="2711"/>
      <c r="K180" s="2711"/>
      <c r="L180" s="2712"/>
      <c r="M180" s="2711"/>
      <c r="N180" s="2711"/>
      <c r="O180" s="2712"/>
      <c r="P180" s="2711"/>
      <c r="Q180" s="2711"/>
      <c r="R180" s="2713"/>
    </row>
    <row r="181" s="2186" customFormat="1" spans="2:18">
      <c r="B181" s="2711"/>
      <c r="C181" s="2711"/>
      <c r="D181" s="2711"/>
      <c r="E181" s="2711"/>
      <c r="F181" s="2711"/>
      <c r="G181" s="2712"/>
      <c r="H181" s="2711"/>
      <c r="I181" s="2712"/>
      <c r="J181" s="2711"/>
      <c r="K181" s="2711"/>
      <c r="L181" s="2712"/>
      <c r="M181" s="2711"/>
      <c r="N181" s="2711"/>
      <c r="O181" s="2712"/>
      <c r="P181" s="2711"/>
      <c r="Q181" s="2711"/>
      <c r="R181" s="2713"/>
    </row>
    <row r="182" s="2186" customFormat="1" spans="2:18">
      <c r="B182" s="2711"/>
      <c r="C182" s="2711"/>
      <c r="D182" s="2711"/>
      <c r="E182" s="2711"/>
      <c r="F182" s="2711"/>
      <c r="G182" s="2712"/>
      <c r="H182" s="2711"/>
      <c r="I182" s="2712"/>
      <c r="J182" s="2711"/>
      <c r="K182" s="2711"/>
      <c r="L182" s="2712"/>
      <c r="M182" s="2711"/>
      <c r="N182" s="2711"/>
      <c r="O182" s="2712"/>
      <c r="P182" s="2711"/>
      <c r="Q182" s="2711"/>
      <c r="R182" s="2713"/>
    </row>
    <row r="183" s="2186" customFormat="1" spans="2:18">
      <c r="B183" s="2711"/>
      <c r="C183" s="2711"/>
      <c r="D183" s="2711"/>
      <c r="E183" s="2711"/>
      <c r="F183" s="2711"/>
      <c r="G183" s="2712"/>
      <c r="H183" s="2711"/>
      <c r="I183" s="2712"/>
      <c r="J183" s="2711"/>
      <c r="K183" s="2711"/>
      <c r="L183" s="2712"/>
      <c r="M183" s="2711"/>
      <c r="N183" s="2711"/>
      <c r="O183" s="2712"/>
      <c r="P183" s="2711"/>
      <c r="Q183" s="2711"/>
      <c r="R183" s="2713"/>
    </row>
    <row r="184" s="2186" customFormat="1" spans="2:18">
      <c r="B184" s="2711"/>
      <c r="C184" s="2711"/>
      <c r="D184" s="2711"/>
      <c r="E184" s="2711"/>
      <c r="F184" s="2711"/>
      <c r="G184" s="2712"/>
      <c r="H184" s="2711"/>
      <c r="I184" s="2712"/>
      <c r="J184" s="2711"/>
      <c r="K184" s="2711"/>
      <c r="L184" s="2712"/>
      <c r="M184" s="2711"/>
      <c r="N184" s="2711"/>
      <c r="O184" s="2712"/>
      <c r="P184" s="2711"/>
      <c r="Q184" s="2711"/>
      <c r="R184" s="2713"/>
    </row>
    <row r="185" s="2186"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6"/>
      <c r="B186" s="2711"/>
      <c r="C186" s="2711"/>
      <c r="E186" s="2711"/>
      <c r="F186" s="2711"/>
      <c r="G186" s="2712"/>
    </row>
    <row r="187" spans="1:7">
      <c r="A187" s="2186"/>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0" sqref="C39:C40"/>
    </sheetView>
  </sheetViews>
  <sheetFormatPr defaultColWidth="9" defaultRowHeight="14.4"/>
  <cols>
    <col min="1" max="1" width="25" style="2691" customWidth="1"/>
    <col min="2" max="9" width="15.7777777777778" style="2691" customWidth="1"/>
    <col min="10" max="16384" width="9" style="2691"/>
  </cols>
  <sheetData>
    <row r="1" ht="16.2" spans="1:11">
      <c r="A1" s="2692" t="s">
        <v>671</v>
      </c>
      <c r="B1" s="2692">
        <f>SUM(B14:B23)</f>
        <v>2300</v>
      </c>
      <c r="C1" s="2693"/>
      <c r="D1" s="2693"/>
      <c r="E1" s="2693"/>
      <c r="F1" s="2693"/>
      <c r="G1" s="2694"/>
      <c r="H1" s="2695"/>
      <c r="I1" s="2695"/>
      <c r="J1" s="2695"/>
      <c r="K1" s="2695"/>
    </row>
    <row r="2" ht="16.2" spans="1:11">
      <c r="A2" s="2692" t="s">
        <v>672</v>
      </c>
      <c r="B2" s="2692">
        <f>SUM(C14:C23)</f>
        <v>0</v>
      </c>
      <c r="C2" s="2693"/>
      <c r="D2" s="2693"/>
      <c r="E2" s="2693"/>
      <c r="F2" s="2693"/>
      <c r="G2" s="2694"/>
      <c r="H2" s="2695"/>
      <c r="I2" s="2695"/>
      <c r="J2" s="2695"/>
      <c r="K2" s="2695"/>
    </row>
    <row r="3" ht="15.6" spans="1:11">
      <c r="A3" s="2692" t="s">
        <v>673</v>
      </c>
      <c r="B3" s="2696">
        <f>项目基本情况!D3</f>
        <v>44858</v>
      </c>
      <c r="C3" s="2693"/>
      <c r="D3" s="2693"/>
      <c r="E3" s="2693"/>
      <c r="F3" s="2693"/>
      <c r="G3" s="2694"/>
      <c r="H3" s="2695"/>
      <c r="I3" s="2695"/>
      <c r="J3" s="2695"/>
      <c r="K3" s="2695"/>
    </row>
    <row r="4" ht="31.2" spans="1:11">
      <c r="A4" s="2692" t="s">
        <v>674</v>
      </c>
      <c r="B4" s="2692" t="s">
        <v>675</v>
      </c>
      <c r="C4" s="2692" t="s">
        <v>676</v>
      </c>
      <c r="D4" s="2692" t="s">
        <v>677</v>
      </c>
      <c r="E4" s="2693"/>
      <c r="F4" s="2694"/>
      <c r="G4" s="2694"/>
      <c r="H4" s="2695"/>
      <c r="I4" s="2695"/>
      <c r="J4" s="2695"/>
      <c r="K4" s="2695"/>
    </row>
    <row r="5" ht="15.6" spans="1:11">
      <c r="A5" s="2692" t="s">
        <v>678</v>
      </c>
      <c r="B5" s="2692">
        <f>SUM(D14:D23)</f>
        <v>4.98</v>
      </c>
      <c r="C5" s="2692">
        <f>ROUND(B5*10000/$B$1,0)</f>
        <v>22</v>
      </c>
      <c r="D5" s="2692" t="e">
        <f>ROUND(B5*10000/$B$2,0)</f>
        <v>#DIV/0!</v>
      </c>
      <c r="E5" s="2693"/>
      <c r="F5" s="2694"/>
      <c r="G5" s="2694"/>
      <c r="H5" s="2695"/>
      <c r="I5" s="2695"/>
      <c r="J5" s="2695"/>
      <c r="K5" s="2695"/>
    </row>
    <row r="6" ht="15.6" spans="1:11">
      <c r="A6" s="2692" t="s">
        <v>679</v>
      </c>
      <c r="B6" s="2692">
        <f>SUM(G14:G23)</f>
        <v>4.98</v>
      </c>
      <c r="C6" s="2692">
        <f>ROUND(B6*10000/$B$1,0)</f>
        <v>22</v>
      </c>
      <c r="D6" s="2692" t="e">
        <f>ROUND(B6*10000/$B$2,0)</f>
        <v>#DIV/0!</v>
      </c>
      <c r="E6" s="2693"/>
      <c r="F6" s="2694"/>
      <c r="G6" s="2694"/>
      <c r="H6" s="2695"/>
      <c r="I6" s="2695"/>
      <c r="J6" s="2695"/>
      <c r="K6" s="2695"/>
    </row>
    <row r="7" ht="15.6" spans="1:11">
      <c r="A7" s="2692" t="s">
        <v>680</v>
      </c>
      <c r="B7" s="2692">
        <f ca="1">SUM(H14:H23)</f>
        <v>0</v>
      </c>
      <c r="C7" s="2692">
        <f ca="1">ROUND(B7*10000/$B$1,0)</f>
        <v>0</v>
      </c>
      <c r="D7" s="2692" t="e">
        <f ca="1">ROUND(B7*10000/$B$2,0)</f>
        <v>#DIV/0!</v>
      </c>
      <c r="E7" s="2693"/>
      <c r="F7" s="2694"/>
      <c r="G7" s="2694"/>
      <c r="H7" s="2695"/>
      <c r="I7" s="2695"/>
      <c r="J7" s="2695"/>
      <c r="K7" s="2695"/>
    </row>
    <row r="8" ht="15.6" spans="1:11">
      <c r="A8" s="2692" t="s">
        <v>328</v>
      </c>
      <c r="B8" s="2692">
        <f ca="1">SUM(I14:I23)</f>
        <v>0</v>
      </c>
      <c r="C8" s="2692">
        <f ca="1">ROUND(B8*10000/$B$1,0)</f>
        <v>0</v>
      </c>
      <c r="D8" s="2692" t="e">
        <f ca="1">ROUND(B8*10000/$B$2,0)</f>
        <v>#DIV/0!</v>
      </c>
      <c r="E8" s="2693"/>
      <c r="F8" s="2694"/>
      <c r="G8" s="2694"/>
      <c r="H8" s="2695"/>
      <c r="I8" s="2695"/>
      <c r="J8" s="2695"/>
      <c r="K8" s="2695"/>
    </row>
    <row r="9" ht="15.6" spans="1:11">
      <c r="A9" s="2692" t="s">
        <v>681</v>
      </c>
      <c r="B9" s="2697"/>
      <c r="C9" s="2693"/>
      <c r="D9" s="2693"/>
      <c r="E9" s="2693"/>
      <c r="F9" s="2694"/>
      <c r="G9" s="2694"/>
      <c r="H9" s="2695"/>
      <c r="I9" s="2695"/>
      <c r="J9" s="2695"/>
      <c r="K9" s="2695"/>
    </row>
    <row r="10" ht="15.6" spans="1:11">
      <c r="A10" s="2692" t="s">
        <v>682</v>
      </c>
      <c r="B10" s="2697">
        <f>D14</f>
        <v>4.98</v>
      </c>
      <c r="C10" s="2693"/>
      <c r="D10" s="2693"/>
      <c r="E10" s="2693"/>
      <c r="F10" s="2694"/>
      <c r="G10" s="2694"/>
      <c r="H10" s="2695"/>
      <c r="I10" s="2695"/>
      <c r="J10" s="2695"/>
      <c r="K10" s="2695"/>
    </row>
    <row r="11" ht="15.6" spans="1:11">
      <c r="A11" s="2692" t="s">
        <v>683</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8" t="s">
        <v>684</v>
      </c>
      <c r="B13" s="2699" t="s">
        <v>671</v>
      </c>
      <c r="C13" s="2699" t="s">
        <v>672</v>
      </c>
      <c r="D13" s="2699" t="s">
        <v>685</v>
      </c>
      <c r="E13" s="2692" t="s">
        <v>676</v>
      </c>
      <c r="F13" s="2692" t="s">
        <v>677</v>
      </c>
      <c r="G13" s="2699" t="s">
        <v>686</v>
      </c>
      <c r="H13" s="2699" t="s">
        <v>687</v>
      </c>
      <c r="I13" s="2699" t="s">
        <v>688</v>
      </c>
      <c r="J13" s="2694"/>
      <c r="K13" s="2695"/>
    </row>
    <row r="14" ht="15.6" spans="1:11">
      <c r="A14" s="2700" t="s">
        <v>689</v>
      </c>
      <c r="B14" s="2701">
        <v>2300</v>
      </c>
      <c r="C14" s="2701">
        <f>结果表!C118</f>
        <v>0</v>
      </c>
      <c r="D14" s="2701">
        <f>'比较法-办公'!C50</f>
        <v>4.98</v>
      </c>
      <c r="E14" s="2701" t="e">
        <f>ROUND(典型户型修正!R22*365/E26,0)</f>
        <v>#DIV/0!</v>
      </c>
      <c r="F14" s="2701" t="e">
        <f>ROUND(D14*10000/C14,0)</f>
        <v>#DIV/0!</v>
      </c>
      <c r="G14" s="2701">
        <f>D14</f>
        <v>4.98</v>
      </c>
      <c r="H14" s="2701" t="str">
        <f ca="1">结果表!D124</f>
        <v>——</v>
      </c>
      <c r="I14" s="2701" t="str">
        <f ca="1">结果表!D126</f>
        <v>——</v>
      </c>
      <c r="J14" s="2694"/>
      <c r="K14" s="2695"/>
    </row>
    <row r="15" ht="15.6"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691</v>
      </c>
      <c r="B16" s="2702"/>
      <c r="C16" s="2702"/>
      <c r="D16" s="2702"/>
      <c r="E16" s="2701" t="e">
        <f t="shared" si="0"/>
        <v>#DIV/0!</v>
      </c>
      <c r="F16" s="2701" t="e">
        <f t="shared" si="1"/>
        <v>#DIV/0!</v>
      </c>
      <c r="G16" s="2703"/>
      <c r="H16" s="2703"/>
      <c r="I16" s="2702"/>
      <c r="J16" s="2695"/>
      <c r="K16" s="2695"/>
    </row>
    <row r="17" ht="15.6" spans="1:11">
      <c r="A17" s="2700" t="s">
        <v>692</v>
      </c>
      <c r="B17" s="2702"/>
      <c r="C17" s="2702"/>
      <c r="D17" s="2702"/>
      <c r="E17" s="2701" t="e">
        <f t="shared" si="0"/>
        <v>#DIV/0!</v>
      </c>
      <c r="F17" s="2701" t="e">
        <f t="shared" si="1"/>
        <v>#DIV/0!</v>
      </c>
      <c r="G17" s="2703"/>
      <c r="H17" s="2703"/>
      <c r="I17" s="2702"/>
      <c r="J17" s="2695"/>
      <c r="K17" s="2695"/>
    </row>
    <row r="18" ht="15.6" spans="1:11">
      <c r="A18" s="2700" t="s">
        <v>693</v>
      </c>
      <c r="B18" s="2702"/>
      <c r="C18" s="2702"/>
      <c r="D18" s="2702"/>
      <c r="E18" s="2701" t="e">
        <f t="shared" si="0"/>
        <v>#DIV/0!</v>
      </c>
      <c r="F18" s="2701" t="e">
        <f t="shared" si="1"/>
        <v>#DIV/0!</v>
      </c>
      <c r="G18" s="2702"/>
      <c r="H18" s="2702"/>
      <c r="I18" s="2702"/>
      <c r="J18" s="2695"/>
      <c r="K18" s="2695"/>
    </row>
    <row r="19" ht="15.6" spans="1:11">
      <c r="A19" s="2700" t="s">
        <v>694</v>
      </c>
      <c r="B19" s="2702"/>
      <c r="C19" s="2702"/>
      <c r="D19" s="2702"/>
      <c r="E19" s="2701" t="e">
        <f t="shared" si="0"/>
        <v>#DIV/0!</v>
      </c>
      <c r="F19" s="2701" t="e">
        <f t="shared" si="1"/>
        <v>#DIV/0!</v>
      </c>
      <c r="G19" s="2702"/>
      <c r="H19" s="2702"/>
      <c r="I19" s="2702"/>
      <c r="J19" s="2695"/>
      <c r="K19" s="2695"/>
    </row>
    <row r="20" ht="15.6" spans="1:11">
      <c r="A20" s="2700" t="s">
        <v>695</v>
      </c>
      <c r="B20" s="2702"/>
      <c r="C20" s="2702"/>
      <c r="D20" s="2702"/>
      <c r="E20" s="2701" t="e">
        <f t="shared" si="0"/>
        <v>#DIV/0!</v>
      </c>
      <c r="F20" s="2701" t="e">
        <f t="shared" si="1"/>
        <v>#DIV/0!</v>
      </c>
      <c r="G20" s="2702"/>
      <c r="H20" s="2702"/>
      <c r="I20" s="2702"/>
      <c r="J20" s="2695"/>
      <c r="K20" s="2695"/>
    </row>
    <row r="21" ht="15.6" spans="1:11">
      <c r="A21" s="2700" t="s">
        <v>696</v>
      </c>
      <c r="B21" s="2702"/>
      <c r="C21" s="2702"/>
      <c r="D21" s="2702"/>
      <c r="E21" s="2701" t="e">
        <f t="shared" si="0"/>
        <v>#DIV/0!</v>
      </c>
      <c r="F21" s="2701" t="e">
        <f t="shared" si="1"/>
        <v>#DIV/0!</v>
      </c>
      <c r="G21" s="2702"/>
      <c r="H21" s="2702"/>
      <c r="I21" s="2702"/>
      <c r="J21" s="2695"/>
      <c r="K21" s="2695"/>
    </row>
    <row r="22" ht="15.6" spans="1:11">
      <c r="A22" s="2700" t="s">
        <v>697</v>
      </c>
      <c r="B22" s="2702"/>
      <c r="C22" s="2702"/>
      <c r="D22" s="2702"/>
      <c r="E22" s="2701" t="e">
        <f t="shared" si="0"/>
        <v>#DIV/0!</v>
      </c>
      <c r="F22" s="2701" t="e">
        <f t="shared" si="1"/>
        <v>#DIV/0!</v>
      </c>
      <c r="G22" s="2702"/>
      <c r="H22" s="2702"/>
      <c r="I22" s="2702"/>
      <c r="J22" s="2695"/>
      <c r="K22" s="2695"/>
    </row>
    <row r="23" ht="15.6"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704"/>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065" customWidth="1"/>
    <col min="12" max="12" width="12.6666666666667" style="2065"/>
    <col min="13" max="13" width="14.1111111111111" style="2065" customWidth="1"/>
    <col min="14" max="26" width="12.6666666666667" style="2065"/>
    <col min="27" max="35" width="12.6666666666667" style="2335"/>
    <col min="36" max="16384" width="12.6666666666667"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701</v>
      </c>
      <c r="B3" s="1850"/>
      <c r="C3" s="1850"/>
      <c r="D3" s="1850"/>
      <c r="E3" s="1850"/>
      <c r="F3" s="1850"/>
      <c r="G3" s="1850"/>
      <c r="H3" s="1850"/>
      <c r="I3" s="1850"/>
    </row>
    <row r="4" ht="14.4" spans="1:12">
      <c r="A4" s="2346" t="s">
        <v>702</v>
      </c>
      <c r="B4" s="2347" t="s">
        <v>703</v>
      </c>
      <c r="C4" s="2348" t="s">
        <v>704</v>
      </c>
      <c r="D4" s="2348" t="s">
        <v>704</v>
      </c>
      <c r="E4" s="2349" t="s">
        <v>705</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比较法</v>
      </c>
      <c r="L4" s="2066" t="str">
        <f>IF(ISNUMBER(FIND("比较法",结果表!D4)),"比较法",IF(ISNUMBER(FIND("成本法",结果表!D4)),"成本法",IF(ISNUMBER(FIND("假设开发法",结果表!D4)),"假设开发法",IF(ISNUMBER(FIND("收益法",结果表!D4)),"收益法","基准地价系数修正法"))))</f>
        <v>比较法</v>
      </c>
    </row>
    <row r="5" ht="14.4" spans="1:9">
      <c r="A5" s="2351" t="s">
        <v>706</v>
      </c>
      <c r="B5" s="1073">
        <v>25</v>
      </c>
      <c r="C5" s="2352"/>
      <c r="D5" s="2353"/>
      <c r="E5" s="1838" t="s">
        <v>707</v>
      </c>
      <c r="F5" s="2354"/>
      <c r="G5" s="2354"/>
      <c r="H5" s="2354"/>
      <c r="I5" s="2055"/>
    </row>
    <row r="6" ht="14.4" spans="1:9">
      <c r="A6" s="2351"/>
      <c r="B6" s="1073"/>
      <c r="C6" s="2355"/>
      <c r="D6" s="2353"/>
      <c r="E6" s="1838" t="s">
        <v>708</v>
      </c>
      <c r="F6" s="2354"/>
      <c r="G6" s="2354"/>
      <c r="H6" s="2354"/>
      <c r="I6" s="2055"/>
    </row>
    <row r="7" ht="14.4" spans="1:9">
      <c r="A7" s="2351"/>
      <c r="B7" s="1073"/>
      <c r="C7" s="2356"/>
      <c r="D7" s="2353"/>
      <c r="E7" s="1838" t="s">
        <v>709</v>
      </c>
      <c r="F7" s="2354"/>
      <c r="G7" s="2354"/>
      <c r="H7" s="2354"/>
      <c r="I7" s="2055"/>
    </row>
    <row r="8" ht="14.4" spans="1:9">
      <c r="A8" s="2351" t="s">
        <v>710</v>
      </c>
      <c r="B8" s="1073">
        <v>15</v>
      </c>
      <c r="C8" s="2352"/>
      <c r="D8" s="2353"/>
      <c r="E8" s="1838" t="s">
        <v>711</v>
      </c>
      <c r="F8" s="2354"/>
      <c r="G8" s="2354"/>
      <c r="H8" s="2354"/>
      <c r="I8" s="2055"/>
    </row>
    <row r="9" ht="14.4" spans="1:9">
      <c r="A9" s="2351"/>
      <c r="B9" s="1073"/>
      <c r="C9" s="2356"/>
      <c r="D9" s="2353"/>
      <c r="E9" s="1838" t="s">
        <v>712</v>
      </c>
      <c r="F9" s="2354"/>
      <c r="G9" s="2354"/>
      <c r="H9" s="2354"/>
      <c r="I9" s="2055"/>
    </row>
    <row r="10" ht="14.4" spans="1:9">
      <c r="A10" s="2351" t="s">
        <v>713</v>
      </c>
      <c r="B10" s="1073">
        <v>15</v>
      </c>
      <c r="C10" s="2352"/>
      <c r="D10" s="2353"/>
      <c r="E10" s="1838" t="s">
        <v>714</v>
      </c>
      <c r="F10" s="2354"/>
      <c r="G10" s="2354"/>
      <c r="H10" s="2354"/>
      <c r="I10" s="2055"/>
    </row>
    <row r="11" ht="14.4" spans="1:9">
      <c r="A11" s="2351"/>
      <c r="B11" s="1073"/>
      <c r="C11" s="2356"/>
      <c r="D11" s="2353"/>
      <c r="E11" s="1838" t="s">
        <v>715</v>
      </c>
      <c r="F11" s="2354"/>
      <c r="G11" s="2354"/>
      <c r="H11" s="2354"/>
      <c r="I11" s="2055"/>
    </row>
    <row r="12" ht="14.4" spans="1:9">
      <c r="A12" s="2351" t="s">
        <v>716</v>
      </c>
      <c r="B12" s="1073">
        <v>15</v>
      </c>
      <c r="C12" s="2352"/>
      <c r="D12" s="2353"/>
      <c r="E12" s="1838" t="s">
        <v>717</v>
      </c>
      <c r="F12" s="2354"/>
      <c r="G12" s="2354"/>
      <c r="H12" s="2354"/>
      <c r="I12" s="2055"/>
    </row>
    <row r="13" ht="14.4" spans="1:9">
      <c r="A13" s="2351"/>
      <c r="B13" s="1073"/>
      <c r="C13" s="2356"/>
      <c r="D13" s="2353"/>
      <c r="E13" s="1838" t="s">
        <v>718</v>
      </c>
      <c r="F13" s="2354"/>
      <c r="G13" s="2354"/>
      <c r="H13" s="2354"/>
      <c r="I13" s="2055"/>
    </row>
    <row r="14" ht="14.4" spans="1:9">
      <c r="A14" s="2351" t="s">
        <v>719</v>
      </c>
      <c r="B14" s="1073">
        <v>30</v>
      </c>
      <c r="C14" s="2352"/>
      <c r="D14" s="2353"/>
      <c r="E14" s="1838" t="s">
        <v>720</v>
      </c>
      <c r="F14" s="2354"/>
      <c r="G14" s="2354"/>
      <c r="H14" s="2354"/>
      <c r="I14" s="2055"/>
    </row>
    <row r="15" ht="14.4" spans="1:9">
      <c r="A15" s="2351"/>
      <c r="B15" s="1073"/>
      <c r="C15" s="2355"/>
      <c r="D15" s="2353"/>
      <c r="E15" s="1838" t="s">
        <v>721</v>
      </c>
      <c r="F15" s="2354"/>
      <c r="G15" s="2354"/>
      <c r="H15" s="2354"/>
      <c r="I15" s="2055"/>
    </row>
    <row r="16" ht="14.4" spans="1:9">
      <c r="A16" s="2351"/>
      <c r="B16" s="1073"/>
      <c r="C16" s="2356"/>
      <c r="D16" s="2353"/>
      <c r="E16" s="1838" t="s">
        <v>722</v>
      </c>
      <c r="F16" s="2354"/>
      <c r="G16" s="2354"/>
      <c r="H16" s="2354"/>
      <c r="I16" s="2055"/>
    </row>
    <row r="17" ht="14.4" spans="1:13">
      <c r="A17" s="2357" t="s">
        <v>723</v>
      </c>
      <c r="B17" s="2358"/>
      <c r="C17" s="2359">
        <f>SUM(C5:C16)</f>
        <v>0</v>
      </c>
      <c r="D17" s="2359">
        <f>SUM(D5:D16)</f>
        <v>0</v>
      </c>
      <c r="E17" s="2107"/>
      <c r="F17" s="2107"/>
      <c r="G17" s="2107"/>
      <c r="H17" s="2107"/>
      <c r="I17" s="2107"/>
      <c r="K17" s="1794"/>
      <c r="L17" s="1794" t="s">
        <v>724</v>
      </c>
      <c r="M17" s="1794" t="s">
        <v>725</v>
      </c>
    </row>
    <row r="18" ht="31.95" customHeight="1" spans="1:13">
      <c r="A18" s="2360" t="s">
        <v>726</v>
      </c>
      <c r="B18" s="2361"/>
      <c r="C18" s="2362" t="e">
        <f>ROUND(C17/SUM(C17:D17),2)</f>
        <v>#DIV/0!</v>
      </c>
      <c r="D18" s="2362" t="e">
        <f>1-C18</f>
        <v>#DIV/0!</v>
      </c>
      <c r="E18" s="2363" t="s">
        <v>727</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4" spans="1:13">
      <c r="A19" s="2365" t="s">
        <v>728</v>
      </c>
      <c r="B19" s="2366" t="s">
        <v>729</v>
      </c>
      <c r="C19" s="2367">
        <f ca="1">SUMIF(INDIRECT("'"&amp;C4&amp;"'"&amp;"!A:A"),结果表!B19,INDIRECT("'"&amp;C4&amp;"'"&amp;"!B:B"))</f>
        <v>1</v>
      </c>
      <c r="D19" s="1230">
        <f ca="1">SUMIF(INDIRECT("'"&amp;D4&amp;"'"&amp;"!A:A"),结果表!B19,INDIRECT("'"&amp;D4&amp;"'"&amp;"!B:B"))</f>
        <v>1</v>
      </c>
      <c r="E19" s="2365" t="s">
        <v>730</v>
      </c>
      <c r="F19" s="2366" t="s">
        <v>729</v>
      </c>
      <c r="G19" s="2368" t="e">
        <f ca="1">ROUND(C19*$C$18+D19*$D$18,0)</f>
        <v>#DIV/0!</v>
      </c>
      <c r="H19" s="2369" t="s">
        <v>731</v>
      </c>
      <c r="I19" s="2107"/>
      <c r="K19" s="1794" t="s">
        <v>367</v>
      </c>
      <c r="L19" s="1794">
        <f>IF(C1="",'数据-汇总表'!D3,SUMIF(项目类型,C1,'数据-汇总表'!D17:D26)+SUMIF(项目类型,C1,'数据-汇总表'!H17:H27))</f>
        <v>0</v>
      </c>
      <c r="M19" s="1794">
        <f>IF(C1="",'数据-汇总表'!D3,SUMIF(项目类型,C1,'数据-汇总表'!D17:D26))</f>
        <v>0</v>
      </c>
    </row>
    <row r="20" ht="14.4" spans="1:9">
      <c r="A20" s="2370"/>
      <c r="B20" s="2371" t="s">
        <v>732</v>
      </c>
      <c r="C20" s="1510">
        <f ca="1">SUMIF(INDIRECT("'"&amp;C4&amp;"'"&amp;"!A:A"),结果表!B20,INDIRECT("'"&amp;C4&amp;"'"&amp;"!B:B"))</f>
        <v>4.98</v>
      </c>
      <c r="D20" s="1513">
        <f ca="1">SUMIF(INDIRECT("'"&amp;D4&amp;"'"&amp;"!A:A"),结果表!B20,INDIRECT("'"&amp;D4&amp;"'"&amp;"!B:B"))</f>
        <v>4.98</v>
      </c>
      <c r="E20" s="2370"/>
      <c r="F20" s="2371" t="s">
        <v>732</v>
      </c>
      <c r="G20" s="2372" t="e">
        <f ca="1">ROUND(C20*$C$18+D20*$D$18,0)</f>
        <v>#DIV/0!</v>
      </c>
      <c r="H20" s="1956" t="s">
        <v>733</v>
      </c>
      <c r="I20" s="2107"/>
    </row>
    <row r="21" ht="15" customHeight="1" spans="1:9">
      <c r="A21" s="2262"/>
      <c r="B21" s="2373" t="s">
        <v>734</v>
      </c>
      <c r="C21" s="2374" t="e">
        <f ca="1">ROUND(C19*10000/L19,0)</f>
        <v>#DIV/0!</v>
      </c>
      <c r="D21" s="2375" t="e">
        <f ca="1">ROUND(D19*10000/L19,0)</f>
        <v>#DIV/0!</v>
      </c>
      <c r="E21" s="2262"/>
      <c r="F21" s="2373" t="s">
        <v>734</v>
      </c>
      <c r="G21" s="2376" t="e">
        <f ca="1">ROUND(G19*10000/L19,0)</f>
        <v>#DIV/0!</v>
      </c>
      <c r="H21" s="2377" t="s">
        <v>733</v>
      </c>
      <c r="I21" s="2107"/>
    </row>
    <row r="22" ht="15.15" spans="1:9">
      <c r="A22" s="2378" t="s">
        <v>735</v>
      </c>
      <c r="B22" s="2379"/>
      <c r="C22" s="2380"/>
      <c r="D22" s="2381">
        <f ca="1">IF(C19&lt;D19,D19/C19-1,C19/D19-1)</f>
        <v>0</v>
      </c>
      <c r="E22" s="2107"/>
      <c r="F22" s="2107"/>
      <c r="G22" s="2107"/>
      <c r="H22" s="2107"/>
      <c r="I22" s="2107"/>
    </row>
    <row r="23" ht="15.15" spans="1:9">
      <c r="A23" s="2338"/>
      <c r="B23" s="2338"/>
      <c r="C23" s="2338"/>
      <c r="D23" s="2338"/>
      <c r="E23" s="2107"/>
      <c r="F23" s="2107"/>
      <c r="G23" s="2107"/>
      <c r="H23" s="2107"/>
      <c r="I23" s="2107"/>
    </row>
    <row r="24" ht="14.4" spans="1:9">
      <c r="A24" s="2382" t="s">
        <v>736</v>
      </c>
      <c r="B24" s="2366" t="s">
        <v>729</v>
      </c>
      <c r="C24" s="2368">
        <f>IF(B30=0,0,D30)</f>
        <v>0</v>
      </c>
      <c r="D24" s="2383"/>
      <c r="E24" s="2107"/>
      <c r="F24" s="2107"/>
      <c r="G24" s="2107"/>
      <c r="H24" s="2107"/>
      <c r="I24" s="2107"/>
    </row>
    <row r="25" ht="14.4" spans="1:9">
      <c r="A25" s="2384"/>
      <c r="B25" s="2371" t="s">
        <v>732</v>
      </c>
      <c r="C25" s="2385">
        <f>IF(B30=0,0,C30)</f>
        <v>0</v>
      </c>
      <c r="D25" s="2386"/>
      <c r="E25" s="2107"/>
      <c r="F25" s="2107"/>
      <c r="G25" s="2107"/>
      <c r="H25" s="2107"/>
      <c r="I25" s="2107"/>
    </row>
    <row r="26" ht="13.5" customHeight="1" spans="1:9">
      <c r="A26" s="2387" t="s">
        <v>737</v>
      </c>
      <c r="B26" s="2388" t="s">
        <v>738</v>
      </c>
      <c r="C26" s="2388" t="s">
        <v>739</v>
      </c>
      <c r="D26" s="2389" t="s">
        <v>740</v>
      </c>
      <c r="E26" s="2107"/>
      <c r="F26" s="2107"/>
      <c r="G26" s="2107"/>
      <c r="H26" s="2107"/>
      <c r="I26" s="2107"/>
    </row>
    <row r="27" ht="14.4" spans="1:9">
      <c r="A27" s="2387"/>
      <c r="B27" s="2388">
        <v>0</v>
      </c>
      <c r="C27" s="2388">
        <v>0</v>
      </c>
      <c r="D27" s="2389">
        <f>ROUND(C27*B27/10000,0)</f>
        <v>0</v>
      </c>
      <c r="E27" s="2107"/>
      <c r="F27" s="2107"/>
      <c r="G27" s="2107"/>
      <c r="H27" s="2107"/>
      <c r="I27" s="2107"/>
    </row>
    <row r="28" ht="14.4" spans="1:9">
      <c r="A28" s="2387"/>
      <c r="B28" s="2388"/>
      <c r="C28" s="2388"/>
      <c r="D28" s="2389"/>
      <c r="E28" s="2107"/>
      <c r="F28" s="2107"/>
      <c r="G28" s="2107"/>
      <c r="H28" s="2107"/>
      <c r="I28" s="2107"/>
    </row>
    <row r="29" ht="14.4" spans="1:9">
      <c r="A29" s="2387"/>
      <c r="B29" s="2388"/>
      <c r="C29" s="2388"/>
      <c r="D29" s="2389"/>
      <c r="E29" s="2107"/>
      <c r="F29" s="2107"/>
      <c r="G29" s="2107"/>
      <c r="H29" s="2107"/>
      <c r="I29" s="2107"/>
    </row>
    <row r="30" ht="15.15" spans="1:9">
      <c r="A30" s="2388" t="s">
        <v>741</v>
      </c>
      <c r="B30" s="2388"/>
      <c r="C30" s="2388"/>
      <c r="D30" s="2388"/>
      <c r="E30" s="2390" t="s">
        <v>742</v>
      </c>
      <c r="F30" s="2107"/>
      <c r="G30" s="2107"/>
      <c r="H30" s="2107"/>
      <c r="I30" s="2107"/>
    </row>
    <row r="31" s="2332" customFormat="1" ht="26.4" customHeight="1" spans="1:36">
      <c r="A31" s="2391"/>
      <c r="B31" s="2392"/>
      <c r="C31" s="2392"/>
      <c r="D31" s="2392"/>
      <c r="E31" s="2392"/>
      <c r="F31" s="2392"/>
      <c r="G31" s="2392"/>
      <c r="H31" s="2392"/>
      <c r="I31" s="2505" t="s">
        <v>743</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744</v>
      </c>
      <c r="B32" s="2394"/>
      <c r="C32" s="2395" t="e">
        <f ca="1">IF(D32="总价",G19-C24,G20-C25)</f>
        <v>#DIV/0!</v>
      </c>
      <c r="D32" s="2396"/>
      <c r="E32" s="2107"/>
      <c r="F32" s="2107"/>
      <c r="G32" s="2107"/>
      <c r="H32" s="2107"/>
      <c r="I32" s="2107"/>
    </row>
    <row r="33" ht="14.4" spans="1:9">
      <c r="A33" s="2202" t="s">
        <v>745</v>
      </c>
      <c r="B33" s="2397"/>
      <c r="C33" s="2398"/>
      <c r="D33" s="2399"/>
      <c r="E33" s="2400" t="s">
        <v>746</v>
      </c>
      <c r="F33" s="2401" t="str">
        <f>IF(D32="楼面单价","取值（单价）","取值（总价）")</f>
        <v>取值（总价）</v>
      </c>
      <c r="G33" s="2107"/>
      <c r="H33" s="2107"/>
      <c r="I33" s="2107"/>
    </row>
    <row r="34" ht="14.4" spans="1:9">
      <c r="A34" s="2402"/>
      <c r="B34" s="2403" t="s">
        <v>747</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748</v>
      </c>
      <c r="F34" s="2407"/>
      <c r="G34" s="2107"/>
      <c r="H34" s="2107"/>
      <c r="I34" s="2107"/>
    </row>
    <row r="35" ht="15.15" spans="1:9">
      <c r="A35" s="2408"/>
      <c r="B35" s="2409" t="s">
        <v>749</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750</v>
      </c>
      <c r="F35" s="2413"/>
      <c r="G35" s="2107"/>
      <c r="H35" s="2107"/>
      <c r="I35" s="2107"/>
    </row>
    <row r="36" ht="15.15" spans="1:9">
      <c r="A36" s="2414" t="s">
        <v>751</v>
      </c>
      <c r="B36" s="2415" t="s">
        <v>752</v>
      </c>
      <c r="C36" s="2416"/>
      <c r="D36" s="2417"/>
      <c r="E36" s="2418"/>
      <c r="F36" s="2419"/>
      <c r="G36" s="2107"/>
      <c r="H36" s="2107"/>
      <c r="I36" s="2107"/>
    </row>
    <row r="37" ht="15.15" spans="1:9">
      <c r="A37" s="2420"/>
      <c r="B37" s="2421" t="s">
        <v>753</v>
      </c>
      <c r="C37" s="2422"/>
      <c r="D37" s="2423"/>
      <c r="E37" s="2423"/>
      <c r="F37" s="2419"/>
      <c r="G37" s="2107"/>
      <c r="H37" s="2107"/>
      <c r="I37" s="2107"/>
    </row>
    <row r="38" ht="15.15" spans="1:9">
      <c r="A38" s="2424"/>
      <c r="B38" s="2425" t="s">
        <v>754</v>
      </c>
      <c r="C38" s="2426"/>
      <c r="D38" s="2427" t="s">
        <v>755</v>
      </c>
      <c r="E38" s="2423"/>
      <c r="F38" s="2419"/>
      <c r="G38" s="2107"/>
      <c r="H38" s="2107"/>
      <c r="I38" s="2107"/>
    </row>
    <row r="39" ht="14.4" spans="1:9">
      <c r="A39" s="2370" t="s">
        <v>756</v>
      </c>
      <c r="B39" s="2428" t="s">
        <v>738</v>
      </c>
      <c r="C39" s="2429" t="s">
        <v>739</v>
      </c>
      <c r="D39" s="2429" t="s">
        <v>757</v>
      </c>
      <c r="E39" s="2430" t="s">
        <v>740</v>
      </c>
      <c r="F39" s="2419"/>
      <c r="G39" s="2107"/>
      <c r="H39" s="2107"/>
      <c r="I39" s="2107"/>
    </row>
    <row r="40" ht="14.4" spans="1:9">
      <c r="A40" s="2431" t="s">
        <v>758</v>
      </c>
      <c r="B40" s="2432"/>
      <c r="C40" s="2124"/>
      <c r="D40" s="2124"/>
      <c r="E40" s="2433"/>
      <c r="F40" s="2419"/>
      <c r="G40" s="2107"/>
      <c r="H40" s="2107"/>
      <c r="I40" s="2107"/>
    </row>
    <row r="41" ht="14.4" spans="1:9">
      <c r="A41" s="2431" t="s">
        <v>759</v>
      </c>
      <c r="B41" s="2432"/>
      <c r="C41" s="2124"/>
      <c r="D41" s="2124"/>
      <c r="E41" s="2433"/>
      <c r="F41" s="2419"/>
      <c r="G41" s="2107"/>
      <c r="H41" s="2107"/>
      <c r="I41" s="2107"/>
    </row>
    <row r="42" ht="15.15" spans="1:9">
      <c r="A42" s="2434"/>
      <c r="B42" s="2435"/>
      <c r="C42" s="2436"/>
      <c r="D42" s="2436"/>
      <c r="E42" s="2413"/>
      <c r="F42" s="2419"/>
      <c r="G42" s="2107"/>
      <c r="H42" s="2107"/>
      <c r="I42" s="2107"/>
    </row>
    <row r="43" ht="14.4" spans="1:9">
      <c r="A43" s="2437"/>
      <c r="B43" s="2437"/>
      <c r="C43" s="2437"/>
      <c r="D43" s="2437"/>
      <c r="E43" s="2437"/>
      <c r="F43" s="2438"/>
      <c r="G43" s="2438"/>
      <c r="H43" s="2438"/>
      <c r="I43" s="2508"/>
    </row>
    <row r="44" ht="17.4" spans="1:15">
      <c r="A44" s="2439" t="s">
        <v>760</v>
      </c>
      <c r="B44" s="2440"/>
      <c r="C44" s="2440"/>
      <c r="D44" s="2441"/>
      <c r="E44" s="2441"/>
      <c r="F44" s="2442"/>
      <c r="G44" s="2442"/>
      <c r="H44" s="2442"/>
      <c r="I44" s="2442"/>
      <c r="J44" s="2509" t="s">
        <v>761</v>
      </c>
      <c r="K44" s="2510"/>
      <c r="L44" s="2510"/>
      <c r="M44" s="2510"/>
      <c r="N44" s="2510"/>
      <c r="O44" s="2510"/>
    </row>
    <row r="45" ht="14.25" customHeight="1" spans="1:15">
      <c r="A45" s="2443" t="s">
        <v>762</v>
      </c>
      <c r="B45" s="2444"/>
      <c r="C45" s="2445"/>
      <c r="D45" s="1793" t="e">
        <f ca="1">ROUND(H101*F45,0)</f>
        <v>#REF!</v>
      </c>
      <c r="E45" s="2446" t="s">
        <v>763</v>
      </c>
      <c r="F45" s="2447">
        <v>1</v>
      </c>
      <c r="G45" s="2448" t="s">
        <v>764</v>
      </c>
      <c r="H45" s="2107"/>
      <c r="I45" s="2107"/>
      <c r="J45" s="2511" t="s">
        <v>765</v>
      </c>
      <c r="K45" s="2511"/>
      <c r="L45" s="2511"/>
      <c r="M45" s="2511"/>
      <c r="N45" s="2511"/>
      <c r="O45" s="2511"/>
    </row>
    <row r="46" ht="14.25" customHeight="1" spans="1:15">
      <c r="A46" s="2449" t="s">
        <v>766</v>
      </c>
      <c r="B46" s="2450"/>
      <c r="C46" s="2450"/>
      <c r="D46" s="2450"/>
      <c r="E46" s="2450"/>
      <c r="F46" s="2450"/>
      <c r="G46" s="2451"/>
      <c r="H46" s="2452"/>
      <c r="I46" s="2108"/>
      <c r="J46" s="2512">
        <v>1</v>
      </c>
      <c r="K46" s="2513" t="s">
        <v>767</v>
      </c>
      <c r="L46" s="2513"/>
      <c r="M46" s="2514"/>
      <c r="N46" s="2514"/>
      <c r="O46" s="2514"/>
    </row>
    <row r="47" ht="12" customHeight="1" spans="1:15">
      <c r="A47" s="2453" t="s">
        <v>768</v>
      </c>
      <c r="B47" s="2454"/>
      <c r="C47" s="2455"/>
      <c r="D47" s="1849" t="s">
        <v>769</v>
      </c>
      <c r="E47" s="1794" t="s">
        <v>770</v>
      </c>
      <c r="F47" s="2456" t="s">
        <v>771</v>
      </c>
      <c r="G47" s="2457" t="s">
        <v>772</v>
      </c>
      <c r="H47" s="2458"/>
      <c r="I47" s="2108"/>
      <c r="J47" s="2512">
        <v>2</v>
      </c>
      <c r="K47" s="2513" t="s">
        <v>773</v>
      </c>
      <c r="L47" s="2513"/>
      <c r="M47" s="2515">
        <f>'数据-取费表'!B2</f>
        <v>44858</v>
      </c>
      <c r="N47" s="2515"/>
      <c r="O47" s="2515"/>
    </row>
    <row r="48" ht="25.2" spans="1:15">
      <c r="A48" s="2459" t="s">
        <v>774</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775</v>
      </c>
      <c r="H48" s="2462"/>
      <c r="I48" s="2452"/>
      <c r="J48" s="2512">
        <v>3</v>
      </c>
      <c r="K48" s="2513" t="s">
        <v>776</v>
      </c>
      <c r="L48" s="2513"/>
      <c r="M48" s="2516" t="e">
        <f ca="1">H101</f>
        <v>#REF!</v>
      </c>
      <c r="N48" s="2516"/>
      <c r="O48" s="2516"/>
    </row>
    <row r="49" ht="25.5" customHeight="1" spans="1:15">
      <c r="A49" s="2459" t="s">
        <v>777</v>
      </c>
      <c r="B49" s="1829" t="s">
        <v>778</v>
      </c>
      <c r="C49" s="1829"/>
      <c r="D49" s="2463">
        <v>0</v>
      </c>
      <c r="E49" s="1859" t="s">
        <v>779</v>
      </c>
      <c r="F49" s="2464" t="s">
        <v>124</v>
      </c>
      <c r="G49" s="2465"/>
      <c r="H49" s="2466" t="s">
        <v>780</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781</v>
      </c>
      <c r="C50" s="1829"/>
      <c r="D50" s="2468"/>
      <c r="E50" s="1874"/>
      <c r="F50" s="2464"/>
      <c r="G50" s="2469"/>
      <c r="H50" s="2470" t="s">
        <v>782</v>
      </c>
      <c r="I50" s="2517"/>
      <c r="J50" s="2511" t="s">
        <v>783</v>
      </c>
      <c r="K50" s="2511"/>
      <c r="L50" s="2511"/>
      <c r="M50" s="2511"/>
      <c r="N50" s="2511"/>
      <c r="O50" s="2511"/>
    </row>
    <row r="51" ht="20.4" customHeight="1" spans="1:15">
      <c r="A51" s="2471"/>
      <c r="B51" s="1829" t="s">
        <v>784</v>
      </c>
      <c r="C51" s="1829"/>
      <c r="D51" s="1849"/>
      <c r="E51" s="1863"/>
      <c r="F51" s="2464"/>
      <c r="G51" s="2472"/>
      <c r="H51" s="2470" t="s">
        <v>785</v>
      </c>
      <c r="I51" s="2517"/>
      <c r="J51" s="2513" t="s">
        <v>786</v>
      </c>
      <c r="K51" s="2513" t="s">
        <v>787</v>
      </c>
      <c r="L51" s="2513"/>
      <c r="M51" s="2513" t="s">
        <v>788</v>
      </c>
      <c r="N51" s="2513" t="s">
        <v>789</v>
      </c>
      <c r="O51" s="2513" t="s">
        <v>790</v>
      </c>
    </row>
    <row r="52" ht="24" customHeight="1" spans="1:15">
      <c r="A52" s="2473" t="s">
        <v>791</v>
      </c>
      <c r="B52" s="1829" t="s">
        <v>792</v>
      </c>
      <c r="C52" s="1829"/>
      <c r="D52" s="1849" t="e">
        <f ca="1">ROUND(D45*'数据-取费表'!B41/(1+'数据-取费表'!C42),0)</f>
        <v>#REF!</v>
      </c>
      <c r="E52" s="1853" t="s">
        <v>793</v>
      </c>
      <c r="F52" s="2474">
        <f>'数据-取费表'!B41</f>
        <v>0.056</v>
      </c>
      <c r="G52" s="2475"/>
      <c r="H52" s="1969"/>
      <c r="I52" s="2518"/>
      <c r="J52" s="2512">
        <v>1</v>
      </c>
      <c r="K52" s="2512" t="s">
        <v>794</v>
      </c>
      <c r="L52" s="2512"/>
      <c r="M52" s="2519" t="b">
        <f ca="1">D48</f>
        <v>0</v>
      </c>
      <c r="N52" s="2512" t="str">
        <f>E48</f>
        <v>销售额×税（费）率</v>
      </c>
      <c r="O52" s="2520">
        <f>F48</f>
        <v>0.056</v>
      </c>
    </row>
    <row r="53" ht="12" customHeight="1" spans="1:15">
      <c r="A53" s="2473" t="s">
        <v>795</v>
      </c>
      <c r="B53" s="1828" t="s">
        <v>796</v>
      </c>
      <c r="C53" s="2476"/>
      <c r="D53" s="1849" t="e">
        <f ca="1">ROUND(D45*'数据-取费表'!B41/(1+'数据-取费表'!C42),0)</f>
        <v>#REF!</v>
      </c>
      <c r="E53" s="1853" t="s">
        <v>793</v>
      </c>
      <c r="F53" s="2474">
        <f>'数据-取费表'!B41</f>
        <v>0.056</v>
      </c>
      <c r="G53" s="2475"/>
      <c r="H53" s="1969"/>
      <c r="I53" s="2518"/>
      <c r="J53" s="2512">
        <v>2</v>
      </c>
      <c r="K53" s="2512" t="s">
        <v>797</v>
      </c>
      <c r="L53" s="2512"/>
      <c r="M53" s="2519" t="e">
        <f ca="1" t="shared" ref="M53:O54" si="0">D55</f>
        <v>#REF!</v>
      </c>
      <c r="N53" s="2512" t="str">
        <f t="shared" si="0"/>
        <v>销售额×税（费）率</v>
      </c>
      <c r="O53" s="2520" t="str">
        <f t="shared" si="0"/>
        <v>免征</v>
      </c>
    </row>
    <row r="54" ht="12" customHeight="1" spans="1:15">
      <c r="A54" s="2473" t="s">
        <v>798</v>
      </c>
      <c r="B54" s="1828" t="s">
        <v>799</v>
      </c>
      <c r="C54" s="2476"/>
      <c r="D54" s="1849" t="e">
        <f ca="1">C68</f>
        <v>#REF!</v>
      </c>
      <c r="E54" s="1863" t="s">
        <v>800</v>
      </c>
      <c r="F54" s="2474">
        <f>'数据-取费表'!B41</f>
        <v>0.056</v>
      </c>
      <c r="G54" s="2475"/>
      <c r="H54" s="2477"/>
      <c r="I54" s="2518"/>
      <c r="J54" s="2512">
        <v>3</v>
      </c>
      <c r="K54" s="2512" t="s">
        <v>801</v>
      </c>
      <c r="L54" s="2512"/>
      <c r="M54" s="2519" t="e">
        <f ca="1" t="shared" si="0"/>
        <v>#REF!</v>
      </c>
      <c r="N54" s="2512" t="str">
        <f t="shared" si="0"/>
        <v>增值额×税（费）率</v>
      </c>
      <c r="O54" s="2521" t="str">
        <f t="shared" si="0"/>
        <v>免征</v>
      </c>
    </row>
    <row r="55" ht="24" customHeight="1" spans="1:15">
      <c r="A55" s="2473" t="s">
        <v>802</v>
      </c>
      <c r="B55" s="1853"/>
      <c r="C55" s="1853"/>
      <c r="D55" s="1954" t="e">
        <f ca="1">IF(H55="个人住宅",0,ROUND(D45*I55,0))</f>
        <v>#REF!</v>
      </c>
      <c r="E55" s="1853" t="s">
        <v>803</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5.2" spans="1:15">
      <c r="A56" s="2473" t="s">
        <v>804</v>
      </c>
      <c r="B56" s="1853"/>
      <c r="C56" s="1853"/>
      <c r="D56" s="1954" t="e">
        <f ca="1">IF(H56="个人住宅",D57,D58)</f>
        <v>#REF!</v>
      </c>
      <c r="E56" s="1853" t="s">
        <v>805</v>
      </c>
      <c r="F56" s="2474" t="str">
        <f>IF(H56="正常",F58,"免征")</f>
        <v>免征</v>
      </c>
      <c r="G56" s="2478" t="s">
        <v>806</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4.4" spans="1:16">
      <c r="A57" s="2473" t="s">
        <v>777</v>
      </c>
      <c r="B57" s="1828" t="s">
        <v>807</v>
      </c>
      <c r="C57" s="2476"/>
      <c r="D57" s="2463">
        <v>0</v>
      </c>
      <c r="E57" s="1859" t="s">
        <v>779</v>
      </c>
      <c r="F57" s="1794"/>
      <c r="G57" s="2475"/>
      <c r="H57" s="2480"/>
      <c r="I57" s="2490"/>
      <c r="J57" s="2512">
        <f>IF(AND(J55="",J56=""),4,IF(项目基本情况!K6="上海银行",结果表!J56+1,结果表!J55+1))</f>
        <v>5</v>
      </c>
      <c r="K57" s="2512" t="s">
        <v>808</v>
      </c>
      <c r="L57" s="2525" t="s">
        <v>809</v>
      </c>
      <c r="M57" s="2526"/>
      <c r="N57" s="2527">
        <f ca="1">SUMIF(M52:M56,"&lt;9e307")</f>
        <v>0</v>
      </c>
      <c r="O57" s="2528"/>
      <c r="P57" s="2529" t="e">
        <f ca="1">N57/M49</f>
        <v>#VALUE!</v>
      </c>
    </row>
    <row r="58" ht="25.2" spans="1:15">
      <c r="A58" s="2473" t="s">
        <v>791</v>
      </c>
      <c r="B58" s="1828" t="s">
        <v>810</v>
      </c>
      <c r="C58" s="1829"/>
      <c r="D58" s="1954" t="e">
        <f ca="1">IF(H58="转让取得",C81,C97)</f>
        <v>#REF!</v>
      </c>
      <c r="E58" s="1853" t="s">
        <v>805</v>
      </c>
      <c r="F58" s="1794" t="s">
        <v>124</v>
      </c>
      <c r="G58" s="2475"/>
      <c r="H58" s="2479"/>
      <c r="I58" s="2490"/>
      <c r="J58" s="2512"/>
      <c r="K58" s="2512"/>
      <c r="L58" s="2525" t="s">
        <v>811</v>
      </c>
      <c r="M58" s="2530"/>
      <c r="N58" s="2531" t="str">
        <f ca="1">NUMBERSTRING(INT(N57*10000),2)&amp;"元整"</f>
        <v>零元整</v>
      </c>
      <c r="O58" s="2532"/>
    </row>
    <row r="59" ht="24.75" spans="1:15">
      <c r="A59" s="2481" t="s">
        <v>812</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806</v>
      </c>
      <c r="H59" s="2487"/>
      <c r="I59" s="2533" t="s">
        <v>813</v>
      </c>
      <c r="J59" s="542">
        <f>J57+1</f>
        <v>6</v>
      </c>
      <c r="K59" s="2512" t="s">
        <v>814</v>
      </c>
      <c r="L59" s="2512" t="s">
        <v>809</v>
      </c>
      <c r="M59" s="2534"/>
      <c r="N59" s="2535" t="e">
        <f ca="1">M49-N57</f>
        <v>#VALUE!</v>
      </c>
      <c r="O59" s="2536"/>
    </row>
    <row r="60" ht="12" customHeight="1" spans="1:15">
      <c r="A60" s="2488"/>
      <c r="B60" s="2338"/>
      <c r="C60" s="2338"/>
      <c r="D60" s="2338"/>
      <c r="E60" s="2489"/>
      <c r="F60" s="2490"/>
      <c r="G60" s="2490"/>
      <c r="H60" s="2491"/>
      <c r="I60" s="2107"/>
      <c r="J60" s="547"/>
      <c r="K60" s="2512"/>
      <c r="L60" s="2525" t="s">
        <v>811</v>
      </c>
      <c r="M60" s="2530"/>
      <c r="N60" s="2531" t="e">
        <f ca="1">NUMBERSTRING(INT(N59*10000),2)&amp;"元整"</f>
        <v>#VALUE!</v>
      </c>
      <c r="O60" s="2532"/>
    </row>
    <row r="61" ht="15.15" spans="1:15">
      <c r="A61" s="2492" t="s">
        <v>815</v>
      </c>
      <c r="B61" s="2492"/>
      <c r="C61" s="2492"/>
      <c r="D61" s="2492"/>
      <c r="E61" s="2492"/>
      <c r="F61" s="2490"/>
      <c r="G61" s="2490"/>
      <c r="H61" s="2491"/>
      <c r="I61" s="2107"/>
      <c r="J61" s="2512">
        <f>J59+1</f>
        <v>7</v>
      </c>
      <c r="K61" s="2512" t="s">
        <v>816</v>
      </c>
      <c r="L61" s="2512"/>
      <c r="M61" s="2537"/>
      <c r="N61" s="2538" t="e">
        <f ca="1">ROUND(N59*10000/'数据-汇总表'!E3,0)</f>
        <v>#VALUE!</v>
      </c>
      <c r="O61" s="2539"/>
    </row>
    <row r="62" ht="14.4" spans="1:9">
      <c r="A62" s="2493" t="s">
        <v>817</v>
      </c>
      <c r="B62" s="519"/>
      <c r="C62" s="519"/>
      <c r="D62" s="519" t="s">
        <v>818</v>
      </c>
      <c r="E62" s="2494" t="s">
        <v>772</v>
      </c>
      <c r="F62" s="2490"/>
      <c r="G62" s="2490"/>
      <c r="H62" s="2491"/>
      <c r="I62" s="2107"/>
    </row>
    <row r="63" ht="14.4" spans="1:35">
      <c r="A63" s="2495" t="s">
        <v>819</v>
      </c>
      <c r="B63" s="2496" t="s">
        <v>820</v>
      </c>
      <c r="C63" s="2497" t="e">
        <f ca="1">ROUND((C64+C65)/(1+'数据-取费表'!C42),0)</f>
        <v>#REF!</v>
      </c>
      <c r="D63" s="2496"/>
      <c r="E63" s="2498"/>
      <c r="F63" s="2490"/>
      <c r="G63" s="2490"/>
      <c r="H63" s="2491"/>
      <c r="I63" s="2107"/>
      <c r="J63" s="2540" t="s">
        <v>821</v>
      </c>
      <c r="K63" s="2540" t="s">
        <v>822</v>
      </c>
      <c r="L63" s="2540" t="e">
        <f ca="1">IF(M49&gt;10000,M49*0.5%,IF(AND(M49&gt;1000,M49&lt;=10000),M49*1%,IF(AND(M49&gt;100,M49&lt;=1000),M49*3%,IF(AND(M49&gt;10,M49&lt;=100),M49*5%,M49*8%))))</f>
        <v>#VALUE!</v>
      </c>
      <c r="M63" s="1794" t="e">
        <f ca="1">ROUND(L63,1)</f>
        <v>#VALUE!</v>
      </c>
      <c r="N63" s="2541"/>
      <c r="Z63" s="2335"/>
      <c r="AI63" s="2336"/>
    </row>
    <row r="64" ht="14.25" customHeight="1" spans="1:35">
      <c r="A64" s="2499" t="s">
        <v>823</v>
      </c>
      <c r="B64" s="502" t="s">
        <v>824</v>
      </c>
      <c r="C64" s="2500" t="e">
        <f ca="1">D45</f>
        <v>#REF!</v>
      </c>
      <c r="D64" s="502" t="s">
        <v>124</v>
      </c>
      <c r="E64" s="2501"/>
      <c r="F64" s="2490"/>
      <c r="G64" s="2490"/>
      <c r="H64" s="2491"/>
      <c r="I64" s="2107"/>
      <c r="J64" s="2540"/>
      <c r="K64" s="2540" t="s">
        <v>825</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826</v>
      </c>
      <c r="Z64" s="2335"/>
      <c r="AI64" s="2336"/>
    </row>
    <row r="65" ht="14.25" customHeight="1" spans="1:35">
      <c r="A65" s="2499" t="s">
        <v>827</v>
      </c>
      <c r="B65" s="502" t="s">
        <v>828</v>
      </c>
      <c r="C65" s="2543"/>
      <c r="D65" s="502"/>
      <c r="E65" s="2501"/>
      <c r="F65" s="2490"/>
      <c r="G65" s="2490"/>
      <c r="H65" s="2491"/>
      <c r="I65" s="2107"/>
      <c r="J65" s="2540"/>
      <c r="K65" s="2540" t="s">
        <v>829</v>
      </c>
      <c r="L65" s="2540" t="e">
        <f ca="1">IF(M49&gt;1000,M49*0.1%,IF(AND(M49&gt;500,M49&lt;=1000),M49*0.5%,IF(AND(M49&gt;50,M49&lt;=500),M49*1%,IF(AND(M49&gt;1,M49&lt;=50),M49*1.5%))))</f>
        <v>#VALUE!</v>
      </c>
      <c r="M65" s="1794" t="e">
        <f ca="1" t="shared" si="1"/>
        <v>#VALUE!</v>
      </c>
      <c r="N65" s="1969" t="s">
        <v>826</v>
      </c>
      <c r="Z65" s="2335"/>
      <c r="AI65" s="2336"/>
    </row>
    <row r="66" ht="14.25" customHeight="1" spans="1:35">
      <c r="A66" s="2495" t="s">
        <v>830</v>
      </c>
      <c r="B66" s="2544" t="s">
        <v>831</v>
      </c>
      <c r="C66" s="2545"/>
      <c r="D66" s="2544" t="s">
        <v>124</v>
      </c>
      <c r="E66" s="2546" t="s">
        <v>832</v>
      </c>
      <c r="F66" s="2490"/>
      <c r="G66" s="2490"/>
      <c r="H66" s="2491"/>
      <c r="I66" s="2107"/>
      <c r="J66" s="2540"/>
      <c r="K66" s="2540" t="s">
        <v>833</v>
      </c>
      <c r="L66" s="2540" t="e">
        <f ca="1">M49*0.5%</f>
        <v>#VALUE!</v>
      </c>
      <c r="M66" s="1794" t="e">
        <f ca="1">IF(L66&gt;0.5,0.5,ROUND(L66,0))</f>
        <v>#VALUE!</v>
      </c>
      <c r="N66" s="1969" t="s">
        <v>834</v>
      </c>
      <c r="Z66" s="2335"/>
      <c r="AI66" s="2336"/>
    </row>
    <row r="67" ht="14.25" customHeight="1" spans="1:35">
      <c r="A67" s="2495" t="s">
        <v>835</v>
      </c>
      <c r="B67" s="2544" t="s">
        <v>836</v>
      </c>
      <c r="C67" s="2547" t="e">
        <f ca="1">C63-C66</f>
        <v>#REF!</v>
      </c>
      <c r="D67" s="502" t="s">
        <v>124</v>
      </c>
      <c r="E67" s="2501"/>
      <c r="F67" s="2490"/>
      <c r="G67" s="2490"/>
      <c r="H67" s="2491"/>
      <c r="I67" s="2107"/>
      <c r="J67" s="2540"/>
      <c r="K67" s="2540" t="s">
        <v>837</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838</v>
      </c>
      <c r="B68" s="2549" t="s">
        <v>839</v>
      </c>
      <c r="C68" s="2550" t="e">
        <f ca="1">IF(C67&lt;=0,0,ROUND(C67*D68,0))</f>
        <v>#REF!</v>
      </c>
      <c r="D68" s="2551">
        <f>'数据-取费表'!B41</f>
        <v>0.056</v>
      </c>
      <c r="E68" s="2552"/>
      <c r="F68" s="2490"/>
      <c r="G68" s="2490"/>
      <c r="H68" s="2491"/>
      <c r="I68" s="2107"/>
      <c r="J68" s="2540"/>
      <c r="K68" s="2540" t="s">
        <v>840</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841</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4.55" spans="1:35">
      <c r="A70" s="2557" t="s">
        <v>842</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817</v>
      </c>
      <c r="B71" s="519"/>
      <c r="C71" s="519"/>
      <c r="D71" s="519" t="s">
        <v>818</v>
      </c>
      <c r="E71" s="2559" t="s">
        <v>772</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819</v>
      </c>
      <c r="B72" s="2544" t="s">
        <v>843</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830</v>
      </c>
      <c r="B73" s="2456" t="s">
        <v>844</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823</v>
      </c>
      <c r="B74" s="502" t="s">
        <v>845</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846</v>
      </c>
      <c r="B75" s="502" t="s">
        <v>847</v>
      </c>
      <c r="C75" s="2563"/>
      <c r="D75" s="502" t="s">
        <v>124</v>
      </c>
      <c r="E75" s="2564" t="s">
        <v>848</v>
      </c>
      <c r="F75" s="2565"/>
      <c r="G75" s="2564" t="s">
        <v>849</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850</v>
      </c>
      <c r="B76" s="2567" t="s">
        <v>851</v>
      </c>
      <c r="C76" s="502">
        <f>IF(F75="购房发票",ROUND(C75*H75*D76,0),0)</f>
        <v>0</v>
      </c>
      <c r="D76" s="2568">
        <v>0.05</v>
      </c>
      <c r="E76" s="1828" t="s">
        <v>852</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853</v>
      </c>
      <c r="B77" s="502" t="s">
        <v>854</v>
      </c>
      <c r="C77" s="502">
        <f>ROUND(IF(G77="个人住宅",0,IF(G77="2016年5月1日前购买",C75*D77,C75*D77/(1+'数据-取费表'!C42))),0)</f>
        <v>0</v>
      </c>
      <c r="D77" s="2570">
        <f>'数据-取费表'!B48+'数据-取费表'!B49</f>
        <v>0.0305</v>
      </c>
      <c r="E77" s="1954" t="s">
        <v>855</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827</v>
      </c>
      <c r="B78" s="502" t="s">
        <v>856</v>
      </c>
      <c r="C78" s="2573" t="e">
        <f ca="1">ROUND(D45*D78/(1+'数据-取费表'!C42),0)</f>
        <v>#REF!</v>
      </c>
      <c r="D78" s="2574">
        <f>'数据-取费表'!B43</f>
        <v>0.006</v>
      </c>
      <c r="E78" s="2575" t="s">
        <v>857</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835</v>
      </c>
      <c r="B79" s="2544" t="s">
        <v>858</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838</v>
      </c>
      <c r="B80" s="2544" t="s">
        <v>859</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860</v>
      </c>
      <c r="B81" s="2549" t="s">
        <v>861</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862</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817</v>
      </c>
      <c r="B84" s="519"/>
      <c r="C84" s="519"/>
      <c r="D84" s="519" t="s">
        <v>818</v>
      </c>
      <c r="E84" s="2559" t="s">
        <v>772</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819</v>
      </c>
      <c r="B85" s="2544" t="s">
        <v>843</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830</v>
      </c>
      <c r="B86" s="2456" t="s">
        <v>844</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823</v>
      </c>
      <c r="B87" s="502" t="s">
        <v>863</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846</v>
      </c>
      <c r="B88" s="502" t="s">
        <v>864</v>
      </c>
      <c r="C88" s="2590"/>
      <c r="D88" s="2574"/>
      <c r="E88" s="2591" t="s">
        <v>865</v>
      </c>
      <c r="F88" s="2576"/>
      <c r="G88" s="2592" t="s">
        <v>866</v>
      </c>
      <c r="H88" s="2593"/>
      <c r="I88" s="755"/>
      <c r="J88" s="2663" t="s">
        <v>867</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850</v>
      </c>
      <c r="B89" s="502" t="s">
        <v>854</v>
      </c>
      <c r="C89" s="2573">
        <f>ROUND(C88*D89,0)</f>
        <v>0</v>
      </c>
      <c r="D89" s="2574">
        <f>'数据-取费表'!B48+'数据-取费表'!B49</f>
        <v>0.0305</v>
      </c>
      <c r="E89" s="2591" t="s">
        <v>868</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827</v>
      </c>
      <c r="B90" s="502" t="s">
        <v>869</v>
      </c>
      <c r="C90" s="2590"/>
      <c r="D90" s="2574"/>
      <c r="E90" s="2591" t="str">
        <f>IF(H88="-","土地取得成本中已包含该笔费用"," ")</f>
        <v/>
      </c>
      <c r="F90" s="2576"/>
      <c r="G90" s="2594" t="s">
        <v>870</v>
      </c>
      <c r="H90" s="2595"/>
      <c r="I90" s="755"/>
      <c r="J90" s="2663" t="s">
        <v>871</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872</v>
      </c>
      <c r="B91" s="502" t="s">
        <v>873</v>
      </c>
      <c r="C91" s="2573">
        <f ca="1">IF(H91="——",成本法!C33,I91)</f>
        <v>0</v>
      </c>
      <c r="D91" s="2574"/>
      <c r="E91" s="2575" t="s">
        <v>874</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875</v>
      </c>
      <c r="B92" s="502" t="s">
        <v>876</v>
      </c>
      <c r="C92" s="2573">
        <f ca="1">ROUND((C87+C90+C91)*D92,0)</f>
        <v>0</v>
      </c>
      <c r="D92" s="2597"/>
      <c r="E92" s="2575" t="s">
        <v>877</v>
      </c>
      <c r="F92" s="2576"/>
      <c r="G92" s="2576"/>
      <c r="H92" s="2577"/>
      <c r="I92" s="755"/>
      <c r="J92" s="2665" t="s">
        <v>878</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879</v>
      </c>
      <c r="B93" s="502" t="s">
        <v>856</v>
      </c>
      <c r="C93" s="2573" t="e">
        <f ca="1">ROUND(D45*D93/(1+'数据-取费表'!C42),0)</f>
        <v>#REF!</v>
      </c>
      <c r="D93" s="2574">
        <f>'数据-取费表'!B43</f>
        <v>0.006</v>
      </c>
      <c r="E93" s="2575" t="s">
        <v>857</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880</v>
      </c>
      <c r="B94" s="502" t="s">
        <v>881</v>
      </c>
      <c r="C94" s="2590">
        <f ca="1">ROUND((C87+C90+C91)*D94,0)</f>
        <v>0</v>
      </c>
      <c r="D94" s="2574">
        <v>0.2</v>
      </c>
      <c r="E94" s="2598" t="s">
        <v>882</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835</v>
      </c>
      <c r="B95" s="2544" t="s">
        <v>858</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838</v>
      </c>
      <c r="B96" s="2544" t="s">
        <v>859</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860</v>
      </c>
      <c r="B97" s="2549" t="s">
        <v>861</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883</v>
      </c>
      <c r="B99" s="2338"/>
      <c r="C99" s="2338"/>
      <c r="D99" s="2338"/>
      <c r="E99" s="2489"/>
      <c r="F99" s="2489"/>
      <c r="G99" s="2489"/>
      <c r="H99" s="2437"/>
      <c r="I99" s="2107"/>
    </row>
    <row r="100" ht="18.75" customHeight="1" spans="1:9">
      <c r="A100" s="2602" t="s">
        <v>884</v>
      </c>
      <c r="B100" s="2603"/>
      <c r="C100" s="2603"/>
      <c r="D100" s="2604"/>
      <c r="E100" s="2603" t="s">
        <v>885</v>
      </c>
      <c r="F100" s="2603"/>
      <c r="G100" s="2603"/>
      <c r="H100" s="2604"/>
      <c r="I100" s="2107"/>
    </row>
    <row r="101" ht="18.75" customHeight="1" spans="1:9">
      <c r="A101" s="2605" t="s">
        <v>886</v>
      </c>
      <c r="B101" s="2606"/>
      <c r="C101" s="2607" t="str">
        <f>C4</f>
        <v>比较法-办公</v>
      </c>
      <c r="D101" s="2608" t="str">
        <f>D4</f>
        <v>比较法-办公</v>
      </c>
      <c r="E101" s="2609" t="s">
        <v>887</v>
      </c>
      <c r="F101" s="2610"/>
      <c r="G101" s="2611" t="s">
        <v>888</v>
      </c>
      <c r="H101" s="2612" t="e">
        <f ca="1">H118</f>
        <v>#REF!</v>
      </c>
      <c r="I101" s="2107"/>
    </row>
    <row r="102" ht="18.75" customHeight="1" spans="1:9">
      <c r="A102" s="2613" t="s">
        <v>889</v>
      </c>
      <c r="B102" s="2614" t="s">
        <v>888</v>
      </c>
      <c r="C102" s="2607">
        <f ca="1">C19</f>
        <v>1</v>
      </c>
      <c r="D102" s="2608">
        <f ca="1">D19</f>
        <v>1</v>
      </c>
      <c r="E102" s="2609"/>
      <c r="F102" s="2610"/>
      <c r="G102" s="2611" t="s">
        <v>99</v>
      </c>
      <c r="H102" s="2475" t="e">
        <f ca="1">I118</f>
        <v>#REF!</v>
      </c>
      <c r="I102" s="2107"/>
    </row>
    <row r="103" ht="42.75" customHeight="1" spans="1:9">
      <c r="A103" s="2613"/>
      <c r="B103" s="2614" t="s">
        <v>99</v>
      </c>
      <c r="C103" s="2615">
        <f ca="1">C20</f>
        <v>4.98</v>
      </c>
      <c r="D103" s="2616">
        <f ca="1">D20</f>
        <v>4.98</v>
      </c>
      <c r="E103" s="2617" t="s">
        <v>890</v>
      </c>
      <c r="F103" s="2618"/>
      <c r="G103" s="2619" t="s">
        <v>102</v>
      </c>
      <c r="H103" s="2612">
        <f>IF(D36="正常操作",H104+H105+H106,H105+H106)</f>
        <v>0</v>
      </c>
      <c r="I103" s="2107"/>
    </row>
    <row r="104" ht="18.75" customHeight="1" spans="1:9">
      <c r="A104" s="2613" t="s">
        <v>891</v>
      </c>
      <c r="B104" s="2620" t="s">
        <v>888</v>
      </c>
      <c r="C104" s="2621" t="e">
        <f ca="1">H118</f>
        <v>#REF!</v>
      </c>
      <c r="D104" s="2622"/>
      <c r="E104" s="2421" t="s">
        <v>892</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893</v>
      </c>
      <c r="F105" s="2623"/>
      <c r="G105" s="2619" t="s">
        <v>102</v>
      </c>
      <c r="H105" s="2629">
        <f>C37</f>
        <v>0</v>
      </c>
      <c r="I105" s="2107"/>
    </row>
    <row r="106" ht="18.75" customHeight="1" spans="1:9">
      <c r="A106" s="2338" t="s">
        <v>894</v>
      </c>
      <c r="B106" s="2338"/>
      <c r="C106" s="2338"/>
      <c r="D106" s="2338"/>
      <c r="E106" s="2630" t="s">
        <v>895</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888</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888</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888</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894</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896</v>
      </c>
      <c r="B115" s="2641"/>
      <c r="C115" s="2641"/>
      <c r="D115" s="2641"/>
      <c r="E115" s="2641"/>
      <c r="F115" s="2641"/>
      <c r="G115" s="2641"/>
      <c r="H115" s="2641"/>
      <c r="I115" s="2666"/>
    </row>
    <row r="116" ht="27" customHeight="1" spans="1:9">
      <c r="A116" s="2351" t="s">
        <v>897</v>
      </c>
      <c r="B116" s="2642" t="s">
        <v>898</v>
      </c>
      <c r="C116" s="2642" t="s">
        <v>899</v>
      </c>
      <c r="D116" s="2643" t="s">
        <v>900</v>
      </c>
      <c r="E116" s="2644"/>
      <c r="F116" s="2645" t="s">
        <v>901</v>
      </c>
      <c r="G116" s="2645"/>
      <c r="H116" s="2351" t="s">
        <v>902</v>
      </c>
      <c r="I116" s="2351"/>
    </row>
    <row r="117" ht="18.75" customHeight="1" spans="1:9">
      <c r="A117" s="2351"/>
      <c r="B117" s="2646"/>
      <c r="C117" s="2646"/>
      <c r="D117" s="2351" t="s">
        <v>903</v>
      </c>
      <c r="E117" s="2351" t="s">
        <v>732</v>
      </c>
      <c r="F117" s="2351" t="s">
        <v>903</v>
      </c>
      <c r="G117" s="2351" t="s">
        <v>732</v>
      </c>
      <c r="H117" s="2351" t="s">
        <v>903</v>
      </c>
      <c r="I117" s="2351" t="s">
        <v>732</v>
      </c>
    </row>
    <row r="118" ht="24.75" customHeight="1" spans="1:9">
      <c r="A118" s="2647" t="str">
        <f>项目基本情况!S2</f>
        <v>北京市房地产</v>
      </c>
      <c r="B118" s="2351">
        <f>M18</f>
        <v>2791.88</v>
      </c>
      <c r="C118" s="2351">
        <f>M19</f>
        <v>0</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904</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904</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904</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904</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904</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905</v>
      </c>
      <c r="B129" s="2669"/>
      <c r="C129" s="2670" t="s">
        <v>906</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907</v>
      </c>
      <c r="G135" s="2682"/>
      <c r="H135" s="2682"/>
      <c r="I135" s="2690" t="s">
        <v>908</v>
      </c>
    </row>
    <row r="136" customHeight="1" spans="1:9">
      <c r="A136" s="2065"/>
      <c r="B136" s="2683" t="s">
        <v>909</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910</v>
      </c>
    </row>
    <row r="139" customHeight="1" spans="1:9">
      <c r="A139" s="2065"/>
      <c r="B139" s="2683" t="s">
        <v>911</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910</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SheetLayoutView="90" topLeftCell="A23" workbookViewId="0">
      <selection activeCell="M50" sqref="M50"/>
    </sheetView>
  </sheetViews>
  <sheetFormatPr defaultColWidth="9" defaultRowHeight="13.8"/>
  <cols>
    <col min="1" max="1" width="10.4444444444444" style="833" customWidth="1"/>
    <col min="2" max="2" width="15.7777777777778" style="833" customWidth="1"/>
    <col min="3" max="3" width="15.6666666666667" style="833" customWidth="1"/>
    <col min="4" max="4" width="12.2222222222222" style="833" customWidth="1"/>
    <col min="5" max="5" width="16.6666666666667" style="833" customWidth="1"/>
    <col min="6" max="6" width="12.2222222222222" style="833" customWidth="1"/>
    <col min="7" max="7" width="17"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913</v>
      </c>
      <c r="C1" s="1248" t="s">
        <v>914</v>
      </c>
      <c r="D1" s="1249" t="s">
        <v>454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1</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4.98</v>
      </c>
      <c r="C3" s="1258" t="s">
        <v>919</v>
      </c>
      <c r="D3" s="1259">
        <f>IF(D1="",'数据-汇总表'!E3,SUMIF('数据-汇总表'!$C19:$C33,D1,'数据-汇总表'!$E19:$E33))</f>
        <v>2791.88</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4.4"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4.4"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1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1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1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ht="14.4"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8.8" spans="1:29">
      <c r="A10" s="876"/>
      <c r="B10" s="877" t="s">
        <v>945</v>
      </c>
      <c r="C10" s="1263" t="s">
        <v>946</v>
      </c>
      <c r="D10" s="879">
        <v>100</v>
      </c>
      <c r="E10" s="1263" t="s">
        <v>946</v>
      </c>
      <c r="F10" s="879">
        <f>SUMIF(66:66,E10,67:67)-SUMIF(66:66,C10,67:67)+100</f>
        <v>100</v>
      </c>
      <c r="G10" s="1333" t="s">
        <v>947</v>
      </c>
      <c r="H10" s="879">
        <f>SUMIF(66:66,G10,67:67)-SUMIF(66:66,C10,67:67)+100</f>
        <v>99</v>
      </c>
      <c r="I10" s="1263" t="s">
        <v>947</v>
      </c>
      <c r="J10" s="879">
        <f>SUMIF(66:66,I10,67:67)-SUMIF(66:66,C10,67:67)+100</f>
        <v>99</v>
      </c>
      <c r="K10" s="1032">
        <v>1</v>
      </c>
      <c r="L10" s="1018"/>
      <c r="M10" s="1019"/>
      <c r="N10" s="1019"/>
      <c r="O10" s="1019"/>
      <c r="P10" s="975"/>
      <c r="Q10" s="1073" t="str">
        <f t="shared" si="6"/>
        <v>土地使用年限（年）</v>
      </c>
      <c r="R10" s="1069" t="s">
        <v>936</v>
      </c>
      <c r="S10" s="1070">
        <f t="shared" si="0"/>
        <v>100</v>
      </c>
      <c r="T10" s="1069" t="s">
        <v>936</v>
      </c>
      <c r="U10" s="1070">
        <f t="shared" si="1"/>
        <v>99</v>
      </c>
      <c r="V10" s="1069" t="s">
        <v>936</v>
      </c>
      <c r="W10" s="1070">
        <f t="shared" si="2"/>
        <v>99</v>
      </c>
      <c r="X10" s="1071"/>
      <c r="Y10" s="1073"/>
      <c r="Z10" s="1089" t="str">
        <f t="shared" si="7"/>
        <v>土地使用年限（年）</v>
      </c>
      <c r="AA10" s="1088">
        <f t="shared" si="3"/>
        <v>1</v>
      </c>
      <c r="AB10" s="1088">
        <f t="shared" si="4"/>
        <v>1.01010101010101</v>
      </c>
      <c r="AC10" s="2323">
        <f t="shared" si="5"/>
        <v>1.01010101010101</v>
      </c>
    </row>
    <row r="11" ht="15" spans="1:29">
      <c r="A11" s="880"/>
      <c r="B11" s="877" t="s">
        <v>948</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949</v>
      </c>
      <c r="C12" s="2301" t="s">
        <v>463</v>
      </c>
      <c r="D12" s="885">
        <v>100</v>
      </c>
      <c r="E12" s="2301" t="s">
        <v>950</v>
      </c>
      <c r="F12" s="879">
        <f>SUMIF(71:71,E12,72:72)-SUMIF(71:71,C12,72:72)+100</f>
        <v>99</v>
      </c>
      <c r="G12" s="2302" t="s">
        <v>950</v>
      </c>
      <c r="H12" s="879">
        <f>SUMIF(71:71,G12,72:72)-SUMIF(71:71,C12,72:72)+100</f>
        <v>99</v>
      </c>
      <c r="I12" s="2301" t="s">
        <v>950</v>
      </c>
      <c r="J12" s="879">
        <f>SUMIF(71:71,I12,72:72)-SUMIF(71:71,C12,72:72)+100</f>
        <v>99</v>
      </c>
      <c r="K12" s="1031"/>
      <c r="L12" s="1013"/>
      <c r="M12" s="1014"/>
      <c r="N12" s="1014"/>
      <c r="O12" s="1014"/>
      <c r="P12" s="975"/>
      <c r="Q12" s="1073" t="str">
        <f t="shared" si="6"/>
        <v>单一产权</v>
      </c>
      <c r="R12" s="1069" t="s">
        <v>936</v>
      </c>
      <c r="S12" s="1070">
        <f t="shared" si="0"/>
        <v>99</v>
      </c>
      <c r="T12" s="1069" t="s">
        <v>936</v>
      </c>
      <c r="U12" s="1070">
        <f t="shared" si="1"/>
        <v>99</v>
      </c>
      <c r="V12" s="1069" t="s">
        <v>936</v>
      </c>
      <c r="W12" s="1070">
        <f t="shared" si="2"/>
        <v>99</v>
      </c>
      <c r="X12" s="1071"/>
      <c r="Y12" s="1073"/>
      <c r="Z12" s="1089" t="str">
        <f t="shared" si="7"/>
        <v>单一产权</v>
      </c>
      <c r="AA12" s="1088">
        <f t="shared" si="3"/>
        <v>1.01010101010101</v>
      </c>
      <c r="AB12" s="1088">
        <f t="shared" si="4"/>
        <v>1.01010101010101</v>
      </c>
      <c r="AC12" s="2323">
        <f t="shared" si="5"/>
        <v>1.01010101010101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72" spans="1:29">
      <c r="A15" s="894" t="s">
        <v>951</v>
      </c>
      <c r="B15" s="895" t="s">
        <v>952</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953</v>
      </c>
      <c r="Q15" s="591" t="str">
        <f t="shared" si="6"/>
        <v>办公集聚程度</v>
      </c>
      <c r="R15" s="1074" t="s">
        <v>936</v>
      </c>
      <c r="S15" s="1075">
        <f t="shared" si="0"/>
        <v>100</v>
      </c>
      <c r="T15" s="1074" t="s">
        <v>936</v>
      </c>
      <c r="U15" s="1075">
        <f t="shared" si="1"/>
        <v>100</v>
      </c>
      <c r="V15" s="1074" t="s">
        <v>936</v>
      </c>
      <c r="W15" s="1075">
        <f t="shared" si="2"/>
        <v>100</v>
      </c>
      <c r="X15" s="1061"/>
      <c r="Y15" s="1026" t="s">
        <v>953</v>
      </c>
      <c r="Z15" s="1048" t="str">
        <f t="shared" si="7"/>
        <v>办公集聚程度</v>
      </c>
      <c r="AA15" s="1090">
        <f t="shared" si="3"/>
        <v>1</v>
      </c>
      <c r="AB15" s="1090">
        <f t="shared" si="4"/>
        <v>1</v>
      </c>
      <c r="AC15" s="2324">
        <f t="shared" si="5"/>
        <v>1</v>
      </c>
    </row>
    <row r="16" ht="15" spans="1:29">
      <c r="A16" s="880"/>
      <c r="B16" s="899"/>
      <c r="C16" s="902" t="s">
        <v>954</v>
      </c>
      <c r="D16" s="901"/>
      <c r="E16" s="900" t="s">
        <v>954</v>
      </c>
      <c r="F16" s="901"/>
      <c r="G16" s="902" t="s">
        <v>954</v>
      </c>
      <c r="H16" s="903"/>
      <c r="I16" s="900" t="s">
        <v>954</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86.4" spans="1:29">
      <c r="A17" s="880"/>
      <c r="B17" s="904" t="s">
        <v>955</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954</v>
      </c>
      <c r="D18" s="903"/>
      <c r="E18" s="1228" t="s">
        <v>954</v>
      </c>
      <c r="F18" s="903"/>
      <c r="G18" s="1220" t="s">
        <v>954</v>
      </c>
      <c r="H18" s="901"/>
      <c r="I18" s="1220" t="s">
        <v>954</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3.2" spans="1:29">
      <c r="A19" s="880"/>
      <c r="B19" s="904" t="s">
        <v>956</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954</v>
      </c>
      <c r="D20" s="901"/>
      <c r="E20" s="1029" t="s">
        <v>954</v>
      </c>
      <c r="F20" s="901"/>
      <c r="G20" s="909" t="s">
        <v>954</v>
      </c>
      <c r="H20" s="901"/>
      <c r="I20" s="909" t="s">
        <v>954</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8.8" spans="1:29">
      <c r="A21" s="880"/>
      <c r="B21" s="911" t="s">
        <v>957</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57.6" spans="1:29">
      <c r="A23" s="880"/>
      <c r="B23" s="904" t="s">
        <v>958</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954</v>
      </c>
      <c r="D24" s="901"/>
      <c r="E24" s="902" t="s">
        <v>954</v>
      </c>
      <c r="F24" s="901"/>
      <c r="G24" s="902" t="s">
        <v>954</v>
      </c>
      <c r="H24" s="901"/>
      <c r="I24" s="902" t="s">
        <v>954</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8.8" spans="1:29">
      <c r="A25" s="852"/>
      <c r="B25" s="904" t="s">
        <v>959</v>
      </c>
      <c r="C25" s="1465"/>
      <c r="D25" s="889">
        <v>100</v>
      </c>
      <c r="E25" s="888"/>
      <c r="F25" s="889">
        <f>SUMIF(87:87,E26,88:88)-SUMIF(87:87,C26,88:88)+100</f>
        <v>99</v>
      </c>
      <c r="G25" s="1465"/>
      <c r="H25" s="889">
        <f>SUMIF(87:87,G26,88:88)-SUMIF(87:87,C26,88:88)+100</f>
        <v>100</v>
      </c>
      <c r="I25" s="888"/>
      <c r="J25" s="889">
        <f>SUMIF(87:87,I26,88:88)-SUMIF(87:87,C26,88:88)+100</f>
        <v>100</v>
      </c>
      <c r="K25" s="1306">
        <v>1</v>
      </c>
      <c r="L25" s="1024"/>
      <c r="M25" s="1008"/>
      <c r="N25" s="1008"/>
      <c r="O25" s="1008"/>
      <c r="P25" s="1440"/>
      <c r="Q25" s="591" t="str">
        <f>B25</f>
        <v>毗邻道路的类型与等级</v>
      </c>
      <c r="R25" s="1074" t="s">
        <v>936</v>
      </c>
      <c r="S25" s="1075">
        <f>F25</f>
        <v>99</v>
      </c>
      <c r="T25" s="1074" t="s">
        <v>936</v>
      </c>
      <c r="U25" s="1075">
        <f>H25</f>
        <v>100</v>
      </c>
      <c r="V25" s="1074" t="s">
        <v>936</v>
      </c>
      <c r="W25" s="1075">
        <f>J25</f>
        <v>100</v>
      </c>
      <c r="X25" s="1061"/>
      <c r="Y25" s="1027"/>
      <c r="Z25" s="1048" t="str">
        <f>Q25</f>
        <v>毗邻道路的类型与等级</v>
      </c>
      <c r="AA25" s="1090">
        <f t="shared" si="3"/>
        <v>1.01010101010101</v>
      </c>
      <c r="AB25" s="1090">
        <f t="shared" si="4"/>
        <v>1</v>
      </c>
      <c r="AC25" s="2324">
        <f t="shared" si="5"/>
        <v>1</v>
      </c>
    </row>
    <row r="26" ht="15" spans="1:29">
      <c r="A26" s="852"/>
      <c r="B26" s="908"/>
      <c r="C26" s="915" t="s">
        <v>960</v>
      </c>
      <c r="D26" s="889"/>
      <c r="E26" s="914" t="s">
        <v>961</v>
      </c>
      <c r="F26" s="889"/>
      <c r="G26" s="915" t="s">
        <v>960</v>
      </c>
      <c r="H26" s="889"/>
      <c r="I26" s="914" t="s">
        <v>960</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962</v>
      </c>
      <c r="C27" s="915" t="s">
        <v>963</v>
      </c>
      <c r="D27" s="889">
        <v>100</v>
      </c>
      <c r="E27" s="914" t="s">
        <v>963</v>
      </c>
      <c r="F27" s="889">
        <f>SUMIF(89:89,E27,90:90)-SUMIF(89:89,C27,90:90)+100</f>
        <v>100</v>
      </c>
      <c r="G27" s="915" t="s">
        <v>964</v>
      </c>
      <c r="H27" s="889">
        <f>SUMIF(89:89,G27,90:90)-SUMIF(89:89,C27,90:90)+100</f>
        <v>99</v>
      </c>
      <c r="I27" s="914" t="s">
        <v>964</v>
      </c>
      <c r="J27" s="889">
        <f>SUMIF(89:89,I27,90:90)-SUMIF(89:89,C27,90:90)+100</f>
        <v>99</v>
      </c>
      <c r="K27" s="1032">
        <v>1</v>
      </c>
      <c r="L27" s="1024"/>
      <c r="M27" s="1008"/>
      <c r="N27" s="1008"/>
      <c r="O27" s="1008"/>
      <c r="P27" s="1440"/>
      <c r="Q27" s="591" t="str">
        <f t="shared" ref="Q27:Q47" si="11">B27</f>
        <v>楼层</v>
      </c>
      <c r="R27" s="1074" t="s">
        <v>936</v>
      </c>
      <c r="S27" s="1075">
        <f>F27</f>
        <v>100</v>
      </c>
      <c r="T27" s="1074" t="s">
        <v>936</v>
      </c>
      <c r="U27" s="1075">
        <f>H27</f>
        <v>99</v>
      </c>
      <c r="V27" s="1074" t="s">
        <v>936</v>
      </c>
      <c r="W27" s="1075">
        <f>J27</f>
        <v>99</v>
      </c>
      <c r="X27" s="1061"/>
      <c r="Y27" s="1027"/>
      <c r="Z27" s="1048" t="str">
        <f>Q27</f>
        <v>楼层</v>
      </c>
      <c r="AA27" s="1090">
        <f t="shared" si="3"/>
        <v>1</v>
      </c>
      <c r="AB27" s="1090">
        <f t="shared" si="4"/>
        <v>1.01010101010101</v>
      </c>
      <c r="AC27" s="2324">
        <f t="shared" si="5"/>
        <v>1.01010101010101</v>
      </c>
    </row>
    <row r="28" s="827" customFormat="1" ht="15" spans="1:29">
      <c r="A28" s="883"/>
      <c r="B28" s="904" t="s">
        <v>965</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966</v>
      </c>
      <c r="B33" s="873" t="s">
        <v>967</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968</v>
      </c>
      <c r="Q33" s="591" t="str">
        <f t="shared" si="11"/>
        <v>建筑类型</v>
      </c>
      <c r="R33" s="1074" t="s">
        <v>936</v>
      </c>
      <c r="S33" s="1075">
        <f t="shared" si="12"/>
        <v>100</v>
      </c>
      <c r="T33" s="1074" t="s">
        <v>936</v>
      </c>
      <c r="U33" s="1075">
        <f t="shared" si="13"/>
        <v>100</v>
      </c>
      <c r="V33" s="1074" t="s">
        <v>936</v>
      </c>
      <c r="W33" s="1075">
        <f t="shared" si="14"/>
        <v>100</v>
      </c>
      <c r="X33" s="1061"/>
      <c r="Y33" s="1036" t="s">
        <v>968</v>
      </c>
      <c r="Z33" s="1048" t="str">
        <f t="shared" si="15"/>
        <v>建筑类型</v>
      </c>
      <c r="AA33" s="1090">
        <f t="shared" si="3"/>
        <v>1</v>
      </c>
      <c r="AB33" s="1090">
        <f t="shared" si="4"/>
        <v>1</v>
      </c>
      <c r="AC33" s="2324">
        <f t="shared" si="5"/>
        <v>1</v>
      </c>
    </row>
    <row r="34" s="829" customFormat="1" ht="15" spans="1:29">
      <c r="A34" s="936"/>
      <c r="B34" s="877" t="s">
        <v>969</v>
      </c>
      <c r="C34" s="1265">
        <v>400</v>
      </c>
      <c r="D34" s="879">
        <v>100</v>
      </c>
      <c r="E34" s="882">
        <v>300</v>
      </c>
      <c r="F34" s="1264">
        <f>LOOKUP(E34,104:104,105:105)-LOOKUP(C34,104:104,105:105)+100</f>
        <v>100</v>
      </c>
      <c r="G34" s="881">
        <v>384</v>
      </c>
      <c r="H34" s="879">
        <f>LOOKUP(G34,104:104,105:105)-LOOKUP(C34,104:104,105:105)+100</f>
        <v>100</v>
      </c>
      <c r="I34" s="881">
        <v>800</v>
      </c>
      <c r="J34" s="879">
        <f>LOOKUP(I34,104:104,105:105)-LOOKUP(C34,104:104,105:105)+100</f>
        <v>99</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99</v>
      </c>
      <c r="X34" s="1078"/>
      <c r="Y34" s="1036"/>
      <c r="Z34" s="1091" t="str">
        <f t="shared" si="15"/>
        <v>项目建筑规模</v>
      </c>
      <c r="AA34" s="1090">
        <f t="shared" si="3"/>
        <v>1</v>
      </c>
      <c r="AB34" s="1090">
        <f t="shared" si="4"/>
        <v>1</v>
      </c>
      <c r="AC34" s="2324">
        <f t="shared" si="5"/>
        <v>1.01010101010101</v>
      </c>
    </row>
    <row r="35" ht="15" spans="1:29">
      <c r="A35" s="931"/>
      <c r="B35" s="877" t="s">
        <v>970</v>
      </c>
      <c r="C35" s="1281" t="s">
        <v>971</v>
      </c>
      <c r="D35" s="889">
        <v>100</v>
      </c>
      <c r="E35" s="1281" t="s">
        <v>971</v>
      </c>
      <c r="F35" s="1271">
        <f>SUMIF(106:106,E35,107:107)-SUMIF(106:106,C35,107:107)+100</f>
        <v>100</v>
      </c>
      <c r="G35" s="1281" t="s">
        <v>971</v>
      </c>
      <c r="H35" s="889">
        <f>SUMIF(106:106,G35,107:107)-SUMIF(106:106,C35,107:107)+100</f>
        <v>100</v>
      </c>
      <c r="I35" s="1281" t="s">
        <v>971</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972</v>
      </c>
      <c r="C36" s="1281" t="s">
        <v>973</v>
      </c>
      <c r="D36" s="889">
        <v>100</v>
      </c>
      <c r="E36" s="1281" t="s">
        <v>973</v>
      </c>
      <c r="F36" s="1271">
        <f>SUMIF(108:108,E36,109:109)-SUMIF(108:108,C36,109:109)+100</f>
        <v>100</v>
      </c>
      <c r="G36" s="1281" t="s">
        <v>973</v>
      </c>
      <c r="H36" s="889">
        <f>SUMIF(108:108,G36,109:109)-SUMIF(108:108,C36,109:109)+100</f>
        <v>100</v>
      </c>
      <c r="I36" s="1281" t="s">
        <v>973</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f>'数据-取费表'!N6</f>
        <v>0.75</v>
      </c>
      <c r="D37" s="889">
        <v>100</v>
      </c>
      <c r="E37" s="1278">
        <v>0.75</v>
      </c>
      <c r="F37" s="1271">
        <f>LOOKUP(E37,111:111,112:112)-LOOKUP(C37,111:111,112:112)+100</f>
        <v>100</v>
      </c>
      <c r="G37" s="1278">
        <v>0.7</v>
      </c>
      <c r="H37" s="1271">
        <f>LOOKUP(G37,111:111,112:112)-LOOKUP(C37,111:111,112:112)+100</f>
        <v>100</v>
      </c>
      <c r="I37" s="1278">
        <v>0.7</v>
      </c>
      <c r="J37" s="889">
        <f>LOOKUP(I37,111:111,112:112)-LOOKUP(C37,111:111,112:112)+100</f>
        <v>100</v>
      </c>
      <c r="K37" s="1032">
        <v>2</v>
      </c>
      <c r="L37" s="1024"/>
      <c r="M37" s="1008"/>
      <c r="N37" s="1008"/>
      <c r="O37" s="1008"/>
      <c r="P37" s="1442"/>
      <c r="Q37" s="591" t="str">
        <f t="shared" si="11"/>
        <v>成新度</v>
      </c>
      <c r="R37" s="1074" t="s">
        <v>936</v>
      </c>
      <c r="S37" s="1075">
        <f t="shared" si="12"/>
        <v>100</v>
      </c>
      <c r="T37" s="1074" t="s">
        <v>936</v>
      </c>
      <c r="U37" s="1075">
        <f t="shared" si="13"/>
        <v>100</v>
      </c>
      <c r="V37" s="1074" t="s">
        <v>936</v>
      </c>
      <c r="W37" s="1075">
        <f t="shared" si="14"/>
        <v>100</v>
      </c>
      <c r="X37" s="1061"/>
      <c r="Y37" s="1036"/>
      <c r="Z37" s="1048" t="str">
        <f t="shared" si="15"/>
        <v>成新度</v>
      </c>
      <c r="AA37" s="1090">
        <f t="shared" si="3"/>
        <v>1</v>
      </c>
      <c r="AB37" s="1090">
        <f t="shared" si="4"/>
        <v>1</v>
      </c>
      <c r="AC37" s="2324">
        <f t="shared" si="5"/>
        <v>1</v>
      </c>
    </row>
    <row r="38" s="827" customFormat="1" ht="15" spans="1:29">
      <c r="A38" s="933"/>
      <c r="B38" s="877" t="s">
        <v>974</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975</v>
      </c>
      <c r="C39" s="1281" t="s">
        <v>976</v>
      </c>
      <c r="D39" s="889">
        <v>100</v>
      </c>
      <c r="E39" s="1281" t="s">
        <v>976</v>
      </c>
      <c r="F39" s="1271">
        <f>SUMIF(115:115,E39,116:116)-SUMIF(115:115,C39,116:116)+100</f>
        <v>100</v>
      </c>
      <c r="G39" s="1281" t="s">
        <v>976</v>
      </c>
      <c r="H39" s="889">
        <f>SUMIF(115:115,G39,116:116)-SUMIF(115:115,C39,116:116)+100</f>
        <v>100</v>
      </c>
      <c r="I39" s="1281" t="s">
        <v>976</v>
      </c>
      <c r="J39" s="889">
        <f>SUMIF(115:115,I39,116:116)-SUMIF(115:115,C39,116:116)+100</f>
        <v>100</v>
      </c>
      <c r="K39" s="1032">
        <v>1</v>
      </c>
      <c r="L39" s="1024"/>
      <c r="M39" s="1008"/>
      <c r="N39" s="1008"/>
      <c r="O39" s="1008"/>
      <c r="P39" s="1442" t="s">
        <v>968</v>
      </c>
      <c r="Q39" s="591" t="str">
        <f t="shared" si="11"/>
        <v>物业管理</v>
      </c>
      <c r="R39" s="1074" t="s">
        <v>936</v>
      </c>
      <c r="S39" s="1075">
        <f t="shared" si="12"/>
        <v>100</v>
      </c>
      <c r="T39" s="1074" t="s">
        <v>936</v>
      </c>
      <c r="U39" s="1075">
        <f t="shared" si="13"/>
        <v>100</v>
      </c>
      <c r="V39" s="1074" t="s">
        <v>936</v>
      </c>
      <c r="W39" s="1075">
        <f t="shared" si="14"/>
        <v>100</v>
      </c>
      <c r="X39" s="1061"/>
      <c r="Y39" s="1036" t="s">
        <v>968</v>
      </c>
      <c r="Z39" s="1048" t="str">
        <f t="shared" si="15"/>
        <v>物业管理</v>
      </c>
      <c r="AA39" s="1090">
        <f t="shared" si="3"/>
        <v>1</v>
      </c>
      <c r="AB39" s="1090">
        <f t="shared" si="4"/>
        <v>1</v>
      </c>
      <c r="AC39" s="2324">
        <f t="shared" si="5"/>
        <v>1</v>
      </c>
    </row>
    <row r="40" ht="15" spans="1:29">
      <c r="A40" s="931"/>
      <c r="B40" s="877" t="s">
        <v>977</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978</v>
      </c>
      <c r="C41" s="914" t="s">
        <v>979</v>
      </c>
      <c r="D41" s="889">
        <v>100</v>
      </c>
      <c r="E41" s="914" t="s">
        <v>979</v>
      </c>
      <c r="F41" s="1271">
        <f>SUMIF(119:119,E41,120:120)-SUMIF(119:119,C41,120:120)+100</f>
        <v>100</v>
      </c>
      <c r="G41" s="914" t="s">
        <v>979</v>
      </c>
      <c r="H41" s="889">
        <f>SUMIF(119:119,G41,120:120)-SUMIF(119:119,C41,120:120)+100</f>
        <v>100</v>
      </c>
      <c r="I41" s="914" t="s">
        <v>979</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980</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981</v>
      </c>
      <c r="C43" s="1281" t="s">
        <v>982</v>
      </c>
      <c r="D43" s="889">
        <v>100</v>
      </c>
      <c r="E43" s="1281" t="s">
        <v>982</v>
      </c>
      <c r="F43" s="1271">
        <f>SUMIF(123:123,E43,124:124)-SUMIF(123:123,C43,124:124)+100</f>
        <v>100</v>
      </c>
      <c r="G43" s="1281" t="s">
        <v>982</v>
      </c>
      <c r="H43" s="889">
        <f>SUMIF(123:123,G43,124:124)-SUMIF(123:123,C43,124:124)+100</f>
        <v>100</v>
      </c>
      <c r="I43" s="1281" t="s">
        <v>982</v>
      </c>
      <c r="J43" s="889">
        <f>SUMIF(123:123,I43,124:124)-SUMIF(123:123,C43,124:124)+100</f>
        <v>100</v>
      </c>
      <c r="K43" s="1032">
        <v>2</v>
      </c>
      <c r="L43" s="1024"/>
      <c r="M43" s="1008"/>
      <c r="N43" s="1008"/>
      <c r="O43" s="1008"/>
      <c r="P43" s="1442"/>
      <c r="Q43" s="591" t="str">
        <f t="shared" si="11"/>
        <v>内部装修</v>
      </c>
      <c r="R43" s="1074" t="s">
        <v>936</v>
      </c>
      <c r="S43" s="1075">
        <f t="shared" si="12"/>
        <v>100</v>
      </c>
      <c r="T43" s="1074" t="s">
        <v>936</v>
      </c>
      <c r="U43" s="1075">
        <f t="shared" si="13"/>
        <v>100</v>
      </c>
      <c r="V43" s="1074" t="s">
        <v>936</v>
      </c>
      <c r="W43" s="1075">
        <f t="shared" si="14"/>
        <v>100</v>
      </c>
      <c r="X43" s="1061"/>
      <c r="Y43" s="1036"/>
      <c r="Z43" s="1048" t="str">
        <f t="shared" si="15"/>
        <v>内部装修</v>
      </c>
      <c r="AA43" s="1090">
        <f t="shared" si="3"/>
        <v>1</v>
      </c>
      <c r="AB43" s="1090">
        <f t="shared" si="4"/>
        <v>1</v>
      </c>
      <c r="AC43" s="2324">
        <f t="shared" si="5"/>
        <v>1</v>
      </c>
    </row>
    <row r="44" ht="28.8" spans="1:29">
      <c r="A44" s="931"/>
      <c r="B44" s="877" t="s">
        <v>983</v>
      </c>
      <c r="C44" s="1281" t="s">
        <v>954</v>
      </c>
      <c r="D44" s="889">
        <v>100</v>
      </c>
      <c r="E44" s="1281" t="s">
        <v>954</v>
      </c>
      <c r="F44" s="1271">
        <f>SUMIF(125:125,E44,126:126)-SUMIF(125:125,C44,126:126)+100</f>
        <v>100</v>
      </c>
      <c r="G44" s="1281" t="s">
        <v>954</v>
      </c>
      <c r="H44" s="889">
        <f>SUMIF(125:125,G44,126:126)-SUMIF(125:125,C44,126:126)+100</f>
        <v>100</v>
      </c>
      <c r="I44" s="1281" t="s">
        <v>954</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984</v>
      </c>
      <c r="C45" s="2309" t="s">
        <v>954</v>
      </c>
      <c r="D45" s="879">
        <v>100</v>
      </c>
      <c r="E45" s="2301" t="s">
        <v>954</v>
      </c>
      <c r="F45" s="1264">
        <f>SUMIF(127:127,E45,128:128)-SUMIF(127:127,C45,128:128)+100</f>
        <v>100</v>
      </c>
      <c r="G45" s="2301" t="s">
        <v>954</v>
      </c>
      <c r="H45" s="879">
        <f>SUMIF(127:127,G45,128:128)-SUMIF(127:127,C45,128:128)+100</f>
        <v>100</v>
      </c>
      <c r="I45" s="2301" t="s">
        <v>954</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c r="F47" s="1284">
        <f>SUMIF(131:131,E47,132:132)-SUMIF(131:131,C47,132:132)+100</f>
        <v>100</v>
      </c>
      <c r="G47" s="878"/>
      <c r="H47" s="893">
        <f>SUMIF(131:131,G47,132:132)-SUMIF(131:131,C47,132:132)+100</f>
        <v>100</v>
      </c>
      <c r="I47" s="878"/>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4.4" spans="1:29">
      <c r="A48" s="938" t="s">
        <v>985</v>
      </c>
      <c r="B48" s="1285"/>
      <c r="C48" s="1286" t="s">
        <v>124</v>
      </c>
      <c r="D48" s="1287"/>
      <c r="E48" s="1288">
        <v>5</v>
      </c>
      <c r="F48" s="1289"/>
      <c r="G48" s="1290">
        <v>4.5</v>
      </c>
      <c r="H48" s="1291"/>
      <c r="I48" s="1288">
        <v>5</v>
      </c>
      <c r="J48" s="945"/>
      <c r="K48" s="1039"/>
      <c r="L48" s="1040"/>
      <c r="M48" s="1008"/>
      <c r="N48" s="1008"/>
      <c r="O48" s="1008"/>
      <c r="P48" s="975" t="str">
        <f>A48</f>
        <v>成交单价（元/平方米）</v>
      </c>
      <c r="Q48" s="591"/>
      <c r="R48" s="1090">
        <f>E48</f>
        <v>5</v>
      </c>
      <c r="S48" s="1090"/>
      <c r="T48" s="1090">
        <f>G48</f>
        <v>4.5</v>
      </c>
      <c r="U48" s="1090"/>
      <c r="V48" s="1090">
        <f>I48</f>
        <v>5</v>
      </c>
      <c r="W48" s="1090"/>
      <c r="X48" s="1217"/>
      <c r="Y48" s="1092"/>
      <c r="Z48" s="1217"/>
      <c r="AA48" s="1217"/>
      <c r="AB48" s="1217"/>
      <c r="AC48" s="899"/>
    </row>
    <row r="49" ht="15.15" spans="1:29">
      <c r="A49" s="946" t="s">
        <v>986</v>
      </c>
      <c r="B49" s="1292"/>
      <c r="C49" s="1293">
        <f>R50</f>
        <v>4.98</v>
      </c>
      <c r="D49" s="949" t="s">
        <v>987</v>
      </c>
      <c r="E49" s="1294">
        <f>R49</f>
        <v>5.1</v>
      </c>
      <c r="F49" s="950"/>
      <c r="G49" s="1293">
        <f>T49</f>
        <v>4.64</v>
      </c>
      <c r="H49" s="950"/>
      <c r="I49" s="1294">
        <f>V49</f>
        <v>5.21</v>
      </c>
      <c r="J49" s="950"/>
      <c r="K49" s="1041">
        <f>F49+H49+J49</f>
        <v>0</v>
      </c>
      <c r="L49" s="1040"/>
      <c r="M49" s="1008"/>
      <c r="N49" s="1008"/>
      <c r="O49" s="1008"/>
      <c r="P49" s="975" t="str">
        <f>A49</f>
        <v>比较价值（元/平方米）</v>
      </c>
      <c r="Q49" s="591"/>
      <c r="R49" s="1090">
        <f>IF(F1="售价",ROUND(PRODUCT(R48,AA7:AA47),0),ROUND(PRODUCT(R48,AA7:AA47),2))</f>
        <v>5.1</v>
      </c>
      <c r="S49" s="1090"/>
      <c r="T49" s="1090">
        <f>IF(F1="售价",ROUND(PRODUCT(T48,AB7:AB47),0),ROUND(PRODUCT(T48,AB7:AB47),2))</f>
        <v>4.64</v>
      </c>
      <c r="U49" s="1090"/>
      <c r="V49" s="1090">
        <f>IF(F1="售价",ROUND(PRODUCT(V48,AC7:AC47),0),ROUND(PRODUCT(V48,AC7:AC47),2))</f>
        <v>5.21</v>
      </c>
      <c r="W49" s="1090"/>
      <c r="X49" s="1217"/>
      <c r="Y49" s="1217"/>
      <c r="Z49" s="1217"/>
      <c r="AA49" s="1217"/>
      <c r="AB49" s="1217"/>
      <c r="AC49" s="899"/>
    </row>
    <row r="50" ht="15.15" spans="1:29">
      <c r="A50" s="952" t="s">
        <v>988</v>
      </c>
      <c r="B50" s="953"/>
      <c r="C50" s="1295">
        <f>R50</f>
        <v>4.98</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4.98</v>
      </c>
      <c r="S50" s="2320"/>
      <c r="T50" s="2320"/>
      <c r="U50" s="2320"/>
      <c r="V50" s="2320"/>
      <c r="W50" s="2320"/>
      <c r="X50" s="1531"/>
      <c r="Y50" s="1531"/>
      <c r="Z50" s="1531"/>
      <c r="AA50" s="1531"/>
      <c r="AB50" s="1531"/>
      <c r="AC50" s="1532"/>
    </row>
    <row r="51" ht="14.4" spans="1:29">
      <c r="A51" s="955"/>
      <c r="B51" s="955"/>
      <c r="C51" s="955"/>
      <c r="D51" s="955"/>
      <c r="E51" s="955" t="s">
        <v>989</v>
      </c>
      <c r="F51" s="955"/>
      <c r="G51" s="955"/>
      <c r="H51" s="955"/>
      <c r="I51" s="955"/>
      <c r="J51" s="955"/>
      <c r="K51" s="1044"/>
      <c r="L51" s="1045"/>
      <c r="M51" s="955"/>
      <c r="N51" s="955"/>
      <c r="O51" s="955"/>
      <c r="P51" s="1363"/>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990</v>
      </c>
      <c r="D53" s="633"/>
      <c r="E53" s="958">
        <f>IF(E48&lt;E49,E49/E48-1,E48/E49-1)</f>
        <v>0.02</v>
      </c>
      <c r="F53" s="959" t="str">
        <f>IF(OR(E53&gt;=0.3,E53&lt;=-0.3),"超过30%","")</f>
        <v/>
      </c>
      <c r="G53" s="958">
        <f>IF(G48&lt;G49,G49/G48-1,G48/G49-1)</f>
        <v>0.0311111111111111</v>
      </c>
      <c r="H53" s="959" t="str">
        <f>IF(OR(G53&gt;=0.3,G53&lt;=-0.3),"超过30%","")</f>
        <v/>
      </c>
      <c r="I53" s="958">
        <f>IF(I48&lt;I49,I49/I48-1,I48/I49-1)</f>
        <v>0.042</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991</v>
      </c>
      <c r="D54" s="632"/>
      <c r="E54" s="958">
        <f>IF(E49&lt;G49,G49/E49-1,E49/G49-1)</f>
        <v>0.0991379310344827</v>
      </c>
      <c r="F54" s="959" t="str">
        <f>IF(OR(E54&gt;=0.2,E54&lt;=-0.2),"超过20%","")</f>
        <v/>
      </c>
      <c r="G54" s="958">
        <f>IF(G49&lt;I49,I49/G49-1,G49/I49-1)</f>
        <v>0.122844827586207</v>
      </c>
      <c r="H54" s="959" t="str">
        <f>IF(OR(G54&gt;=0.2,G54&lt;=-0.2),"超过20%","")</f>
        <v/>
      </c>
      <c r="I54" s="958">
        <f>IF(I49&lt;E49,E49/I49-1,I49/E49-1)</f>
        <v>0.0215686274509805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992</v>
      </c>
      <c r="D55" s="632"/>
      <c r="E55" s="958">
        <f>IF(E48&lt;G48,G48/E48-1,E48/G48-1)</f>
        <v>0.111111111111111</v>
      </c>
      <c r="F55" s="959" t="str">
        <f>IF(OR(E55&gt;=0.3,E55&lt;=-0.3),"超过30%","")</f>
        <v/>
      </c>
      <c r="G55" s="958">
        <f>IF(G48&lt;I48,I48/G48-1,G48/I48-1)</f>
        <v>0.111111111111111</v>
      </c>
      <c r="H55" s="959" t="str">
        <f>IF(OR(G55&gt;=0.3,G55&lt;=-0.3),"超过30%","")</f>
        <v/>
      </c>
      <c r="I55" s="958">
        <f>IF(I48&lt;E48,E48/I48-1,I48/E48-1)</f>
        <v>0</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15" spans="1:29">
      <c r="A58" s="995" t="s">
        <v>993</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4.4"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15" spans="1:29">
      <c r="A61" s="1099" t="s">
        <v>994</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4.4"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4.5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ht="14.4" spans="1:29">
      <c r="A64" s="1109" t="s">
        <v>995</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4.5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9.55" spans="1:29">
      <c r="A66" s="1111"/>
      <c r="B66" s="1114" t="s">
        <v>945</v>
      </c>
      <c r="C66" s="1115" t="s">
        <v>996</v>
      </c>
      <c r="D66" s="1115" t="s">
        <v>997</v>
      </c>
      <c r="E66" s="1115" t="s">
        <v>998</v>
      </c>
      <c r="F66" s="1115" t="s">
        <v>999</v>
      </c>
      <c r="G66" s="1115" t="s">
        <v>1000</v>
      </c>
      <c r="H66" s="1115" t="s">
        <v>1001</v>
      </c>
      <c r="I66" s="1115" t="s">
        <v>1002</v>
      </c>
      <c r="J66" s="1115"/>
      <c r="K66" s="1164"/>
      <c r="L66" s="1165"/>
      <c r="M66" s="1166"/>
      <c r="N66" s="1160"/>
      <c r="O66" s="1160"/>
      <c r="P66" s="1369"/>
      <c r="Q66" s="1082"/>
      <c r="R66" s="955"/>
      <c r="S66" s="955"/>
      <c r="T66" s="955"/>
      <c r="U66" s="955"/>
      <c r="V66" s="955"/>
      <c r="W66" s="955"/>
      <c r="X66" s="955"/>
      <c r="Y66" s="955"/>
      <c r="Z66" s="955"/>
      <c r="AA66" s="955"/>
      <c r="AB66" s="955"/>
      <c r="AC66" s="955"/>
    </row>
    <row r="67" ht="14.55" spans="1:29">
      <c r="A67" s="1111"/>
      <c r="B67" s="1116"/>
      <c r="C67" s="1117" t="s">
        <v>1003</v>
      </c>
      <c r="D67" s="1117" t="s">
        <v>1003</v>
      </c>
      <c r="E67" s="1117">
        <v>100</v>
      </c>
      <c r="F67" s="1117">
        <f>E67-$K10</f>
        <v>99</v>
      </c>
      <c r="G67" s="1117">
        <f>F67-$K10</f>
        <v>98</v>
      </c>
      <c r="H67" s="1117">
        <f>G67-$K10</f>
        <v>97</v>
      </c>
      <c r="I67" s="1117">
        <f>H67-$K10</f>
        <v>96</v>
      </c>
      <c r="J67" s="1117"/>
      <c r="K67" s="1117"/>
      <c r="L67" s="1117"/>
      <c r="M67" s="1167"/>
      <c r="N67" s="1163"/>
      <c r="O67" s="1163"/>
      <c r="P67" s="1369"/>
      <c r="Q67" s="1082"/>
      <c r="R67" s="955"/>
      <c r="S67" s="955"/>
      <c r="T67" s="955"/>
      <c r="U67" s="955"/>
      <c r="V67" s="955"/>
      <c r="W67" s="955"/>
      <c r="X67" s="955"/>
      <c r="Y67" s="955"/>
      <c r="Z67" s="955"/>
      <c r="AA67" s="955"/>
      <c r="AB67" s="955"/>
      <c r="AC67" s="955"/>
    </row>
    <row r="68" ht="15.15" spans="1:29">
      <c r="A68" s="1111"/>
      <c r="B68" s="1118" t="s">
        <v>948</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4.5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15" spans="1:29">
      <c r="A71" s="1121"/>
      <c r="B71" s="1114" t="str">
        <f>B12</f>
        <v>单一产权</v>
      </c>
      <c r="C71" s="2325" t="s">
        <v>950</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4.55" spans="1:29">
      <c r="A72" s="1121"/>
      <c r="B72" s="1116"/>
      <c r="C72" s="1124">
        <v>100</v>
      </c>
      <c r="D72" s="2326">
        <v>101</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4.5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4.5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4.5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4.5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ht="14.4" spans="1:29">
      <c r="A77" s="1109" t="s">
        <v>951</v>
      </c>
      <c r="B77" s="1110" t="s">
        <v>952</v>
      </c>
      <c r="C77" s="1131" t="s">
        <v>1004</v>
      </c>
      <c r="D77" s="1131" t="s">
        <v>1005</v>
      </c>
      <c r="E77" s="1131" t="s">
        <v>1006</v>
      </c>
      <c r="F77" s="1131" t="s">
        <v>1007</v>
      </c>
      <c r="G77" s="1131" t="s">
        <v>1008</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4.5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15" spans="1:29">
      <c r="A79" s="1111"/>
      <c r="B79" s="1114" t="s">
        <v>955</v>
      </c>
      <c r="C79" s="1133" t="s">
        <v>1004</v>
      </c>
      <c r="D79" s="1133" t="s">
        <v>1005</v>
      </c>
      <c r="E79" s="1133" t="s">
        <v>1006</v>
      </c>
      <c r="F79" s="1133" t="s">
        <v>1007</v>
      </c>
      <c r="G79" s="1133" t="s">
        <v>1008</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15" spans="1:29">
      <c r="A81" s="1111"/>
      <c r="B81" s="1114" t="s">
        <v>956</v>
      </c>
      <c r="C81" s="1133" t="s">
        <v>1004</v>
      </c>
      <c r="D81" s="1133" t="s">
        <v>1005</v>
      </c>
      <c r="E81" s="1133" t="s">
        <v>1006</v>
      </c>
      <c r="F81" s="1133" t="s">
        <v>1007</v>
      </c>
      <c r="G81" s="1133" t="s">
        <v>1008</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4.5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15" spans="1:29">
      <c r="A83" s="1111"/>
      <c r="B83" s="1118" t="s">
        <v>957</v>
      </c>
      <c r="C83" s="1138" t="s">
        <v>1009</v>
      </c>
      <c r="D83" s="1138" t="s">
        <v>1010</v>
      </c>
      <c r="E83" s="1138" t="s">
        <v>1011</v>
      </c>
      <c r="F83" s="1138" t="s">
        <v>1012</v>
      </c>
      <c r="G83" s="1138" t="s">
        <v>1013</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4.5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15" spans="1:29">
      <c r="A85" s="1111"/>
      <c r="B85" s="1114" t="s">
        <v>958</v>
      </c>
      <c r="C85" s="1133" t="s">
        <v>1004</v>
      </c>
      <c r="D85" s="1133" t="s">
        <v>1005</v>
      </c>
      <c r="E85" s="1133" t="s">
        <v>1006</v>
      </c>
      <c r="F85" s="1133" t="s">
        <v>1007</v>
      </c>
      <c r="G85" s="1133" t="s">
        <v>1008</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4.5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9.55" spans="1:29">
      <c r="A87" s="1134"/>
      <c r="B87" s="1114" t="s">
        <v>959</v>
      </c>
      <c r="C87" s="2325" t="s">
        <v>1014</v>
      </c>
      <c r="D87" s="2325" t="s">
        <v>960</v>
      </c>
      <c r="E87" s="2325" t="s">
        <v>961</v>
      </c>
      <c r="F87" s="2325" t="s">
        <v>1015</v>
      </c>
      <c r="G87" s="2325" t="s">
        <v>1016</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4.55" spans="1:29">
      <c r="A88" s="1134"/>
      <c r="B88" s="1116"/>
      <c r="C88" s="1135">
        <v>100</v>
      </c>
      <c r="D88" s="1117">
        <f t="shared" ref="D88:M88" si="19">C88-$K25</f>
        <v>99</v>
      </c>
      <c r="E88" s="1117">
        <f t="shared" si="19"/>
        <v>98</v>
      </c>
      <c r="F88" s="1117">
        <f t="shared" si="19"/>
        <v>97</v>
      </c>
      <c r="G88" s="1117">
        <f t="shared" si="19"/>
        <v>96</v>
      </c>
      <c r="H88" s="1117">
        <f t="shared" si="19"/>
        <v>95</v>
      </c>
      <c r="I88" s="1117">
        <f t="shared" si="19"/>
        <v>94</v>
      </c>
      <c r="J88" s="1117">
        <f t="shared" si="19"/>
        <v>93</v>
      </c>
      <c r="K88" s="1117">
        <f t="shared" si="19"/>
        <v>92</v>
      </c>
      <c r="L88" s="1117">
        <f t="shared" si="19"/>
        <v>91</v>
      </c>
      <c r="M88" s="1117">
        <f t="shared" si="19"/>
        <v>90</v>
      </c>
      <c r="N88" s="1163"/>
      <c r="O88" s="1163"/>
      <c r="P88" s="1369"/>
      <c r="Q88" s="1082"/>
      <c r="R88" s="1204"/>
      <c r="S88" s="1204"/>
      <c r="T88" s="1204"/>
      <c r="U88" s="1204"/>
      <c r="V88" s="1204"/>
      <c r="W88" s="1204"/>
      <c r="X88" s="1204"/>
      <c r="Y88" s="1204"/>
      <c r="Z88" s="1204"/>
      <c r="AA88" s="1204"/>
      <c r="AB88" s="1204"/>
      <c r="AC88" s="1204"/>
    </row>
    <row r="89" s="827" customFormat="1" ht="15.15" spans="1:29">
      <c r="A89" s="1134"/>
      <c r="B89" s="1114" t="str">
        <f>B27</f>
        <v>楼层</v>
      </c>
      <c r="C89" s="2325" t="s">
        <v>1017</v>
      </c>
      <c r="D89" s="2325" t="s">
        <v>963</v>
      </c>
      <c r="E89" s="2325" t="s">
        <v>964</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4.55" spans="1:29">
      <c r="A90" s="1134"/>
      <c r="B90" s="1116"/>
      <c r="C90" s="1135">
        <v>100</v>
      </c>
      <c r="D90" s="1117">
        <f>C90-$K27</f>
        <v>99</v>
      </c>
      <c r="E90" s="1117">
        <f t="shared" ref="E90:M90" si="20">D90-$K27</f>
        <v>98</v>
      </c>
      <c r="F90" s="1117">
        <f t="shared" si="20"/>
        <v>97</v>
      </c>
      <c r="G90" s="1117">
        <f t="shared" si="20"/>
        <v>96</v>
      </c>
      <c r="H90" s="1117">
        <f t="shared" si="20"/>
        <v>95</v>
      </c>
      <c r="I90" s="1117">
        <f t="shared" si="20"/>
        <v>94</v>
      </c>
      <c r="J90" s="1117">
        <f t="shared" si="20"/>
        <v>93</v>
      </c>
      <c r="K90" s="1117">
        <f t="shared" si="20"/>
        <v>92</v>
      </c>
      <c r="L90" s="1117">
        <f t="shared" si="20"/>
        <v>91</v>
      </c>
      <c r="M90" s="1117">
        <f t="shared" si="20"/>
        <v>90</v>
      </c>
      <c r="N90" s="1163"/>
      <c r="O90" s="1163"/>
      <c r="P90" s="1369"/>
      <c r="Q90" s="1082"/>
      <c r="R90" s="1204"/>
      <c r="S90" s="1204"/>
      <c r="T90" s="1204"/>
      <c r="U90" s="1204"/>
      <c r="V90" s="1204"/>
      <c r="W90" s="1204"/>
      <c r="X90" s="1204"/>
      <c r="Y90" s="1204"/>
      <c r="Z90" s="1204"/>
      <c r="AA90" s="1204"/>
      <c r="AB90" s="1204"/>
      <c r="AC90" s="1204"/>
    </row>
    <row r="91" s="829" customFormat="1" ht="15.1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4.5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4.5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4.5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4.5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4.5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4.5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4.5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4.5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ht="14.4" spans="1:29">
      <c r="A101" s="1109" t="s">
        <v>966</v>
      </c>
      <c r="B101" s="1110" t="s">
        <v>967</v>
      </c>
      <c r="C101" s="2327" t="s">
        <v>1018</v>
      </c>
      <c r="D101" s="2327" t="s">
        <v>1019</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8.95" spans="1:29">
      <c r="A103" s="1111"/>
      <c r="B103" s="1114" t="s">
        <v>969</v>
      </c>
      <c r="C103" s="1133" t="str">
        <f>C104&amp;"(含)"&amp;"-"&amp;D104</f>
        <v>0(含)-200</v>
      </c>
      <c r="D103" s="1133" t="str">
        <f t="shared" ref="D103:L103" si="23">D104&amp;"(含)"&amp;"-"&amp;E104</f>
        <v>200(含)-600</v>
      </c>
      <c r="E103" s="1133" t="str">
        <f t="shared" si="23"/>
        <v>600(含)-1000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spans="1:29">
      <c r="A104" s="1142"/>
      <c r="B104" s="1143"/>
      <c r="C104" s="1098">
        <v>0</v>
      </c>
      <c r="D104" s="1098">
        <v>200</v>
      </c>
      <c r="E104" s="1098">
        <v>600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4.5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15" spans="1:29">
      <c r="A106" s="1145"/>
      <c r="B106" s="1114" t="s">
        <v>970</v>
      </c>
      <c r="C106" s="2325" t="s">
        <v>971</v>
      </c>
      <c r="D106" s="2325" t="s">
        <v>1020</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4.5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15" spans="1:29">
      <c r="A108" s="1145"/>
      <c r="B108" s="1114" t="s">
        <v>972</v>
      </c>
      <c r="C108" s="2325" t="s">
        <v>973</v>
      </c>
      <c r="D108" s="2325" t="s">
        <v>982</v>
      </c>
      <c r="E108" s="2325" t="s">
        <v>1021</v>
      </c>
      <c r="F108" s="2328" t="s">
        <v>1022</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4.5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1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4.55" spans="1:29">
      <c r="A112" s="1111"/>
      <c r="B112" s="1116"/>
      <c r="C112" s="1135">
        <v>100</v>
      </c>
      <c r="D112" s="1117">
        <f>C112+$K37</f>
        <v>102</v>
      </c>
      <c r="E112" s="1117">
        <f t="shared" ref="E112:M112" si="26">D112+$K37</f>
        <v>104</v>
      </c>
      <c r="F112" s="1117">
        <f t="shared" si="26"/>
        <v>106</v>
      </c>
      <c r="G112" s="1117">
        <f t="shared" si="26"/>
        <v>108</v>
      </c>
      <c r="H112" s="1117">
        <f t="shared" si="26"/>
        <v>110</v>
      </c>
      <c r="I112" s="1117">
        <f t="shared" si="26"/>
        <v>112</v>
      </c>
      <c r="J112" s="1117">
        <f t="shared" si="26"/>
        <v>114</v>
      </c>
      <c r="K112" s="1117">
        <f t="shared" si="26"/>
        <v>116</v>
      </c>
      <c r="L112" s="1117">
        <f t="shared" si="26"/>
        <v>118</v>
      </c>
      <c r="M112" s="1117">
        <f t="shared" si="26"/>
        <v>120</v>
      </c>
      <c r="N112" s="1163"/>
      <c r="O112" s="1163"/>
      <c r="P112" s="1369"/>
      <c r="Q112" s="1082"/>
      <c r="R112" s="955"/>
      <c r="S112" s="955"/>
      <c r="T112" s="955"/>
      <c r="U112" s="955"/>
      <c r="V112" s="955"/>
      <c r="W112" s="955"/>
      <c r="X112" s="955"/>
      <c r="Y112" s="955"/>
      <c r="Z112" s="955"/>
      <c r="AA112" s="955"/>
      <c r="AB112" s="955"/>
      <c r="AC112" s="955"/>
    </row>
    <row r="113" s="829" customFormat="1" ht="15.15" spans="1:29">
      <c r="A113" s="1142"/>
      <c r="B113" s="1114" t="s">
        <v>974</v>
      </c>
      <c r="C113" s="2325" t="s">
        <v>1023</v>
      </c>
      <c r="D113" s="2325" t="s">
        <v>1024</v>
      </c>
      <c r="E113" s="2325" t="s">
        <v>1025</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4.5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15" spans="1:29">
      <c r="A115" s="1145"/>
      <c r="B115" s="1114" t="s">
        <v>975</v>
      </c>
      <c r="C115" s="2325" t="s">
        <v>1026</v>
      </c>
      <c r="D115" s="2325" t="s">
        <v>976</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4.5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15" spans="1:29">
      <c r="A117" s="1145"/>
      <c r="B117" s="1114" t="s">
        <v>977</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4.5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15" spans="1:29">
      <c r="A119" s="1145"/>
      <c r="B119" s="1313" t="s">
        <v>1027</v>
      </c>
      <c r="C119" s="2328" t="s">
        <v>1028</v>
      </c>
      <c r="D119" s="2328" t="s">
        <v>979</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4.5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15" spans="1:29">
      <c r="A121" s="1142"/>
      <c r="B121" s="1114" t="s">
        <v>1029</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4.5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15" spans="1:29">
      <c r="A123" s="1145"/>
      <c r="B123" s="1114" t="s">
        <v>981</v>
      </c>
      <c r="C123" s="2325" t="s">
        <v>973</v>
      </c>
      <c r="D123" s="2325" t="s">
        <v>982</v>
      </c>
      <c r="E123" s="2325" t="s">
        <v>1021</v>
      </c>
      <c r="F123" s="2328" t="s">
        <v>1022</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4.55" spans="1:29">
      <c r="A124" s="1111"/>
      <c r="B124" s="1116"/>
      <c r="C124" s="1117">
        <v>100</v>
      </c>
      <c r="D124" s="1117">
        <f t="shared" ref="D124:M124" si="30">C124-$K43</f>
        <v>98</v>
      </c>
      <c r="E124" s="1117">
        <f t="shared" si="30"/>
        <v>96</v>
      </c>
      <c r="F124" s="1117">
        <f t="shared" si="30"/>
        <v>94</v>
      </c>
      <c r="G124" s="1117">
        <f t="shared" si="30"/>
        <v>92</v>
      </c>
      <c r="H124" s="1117">
        <f t="shared" si="30"/>
        <v>90</v>
      </c>
      <c r="I124" s="1117">
        <f t="shared" si="30"/>
        <v>88</v>
      </c>
      <c r="J124" s="1117">
        <f t="shared" si="30"/>
        <v>86</v>
      </c>
      <c r="K124" s="1117">
        <f t="shared" si="30"/>
        <v>84</v>
      </c>
      <c r="L124" s="1117">
        <f t="shared" si="30"/>
        <v>82</v>
      </c>
      <c r="M124" s="1167">
        <f t="shared" si="30"/>
        <v>80</v>
      </c>
      <c r="N124" s="1163"/>
      <c r="O124" s="1163"/>
      <c r="P124" s="1369"/>
      <c r="Q124" s="1082"/>
      <c r="R124" s="955"/>
      <c r="S124" s="955"/>
      <c r="T124" s="955"/>
      <c r="U124" s="955"/>
      <c r="V124" s="955"/>
      <c r="W124" s="955"/>
      <c r="X124" s="955"/>
      <c r="Y124" s="955"/>
      <c r="Z124" s="955"/>
      <c r="AA124" s="955"/>
      <c r="AB124" s="955"/>
      <c r="AC124" s="955"/>
    </row>
    <row r="125" ht="29.55" spans="1:29">
      <c r="A125" s="1145"/>
      <c r="B125" s="1114" t="s">
        <v>983</v>
      </c>
      <c r="C125" s="1133" t="s">
        <v>1004</v>
      </c>
      <c r="D125" s="1133" t="s">
        <v>1005</v>
      </c>
      <c r="E125" s="1133" t="s">
        <v>1006</v>
      </c>
      <c r="F125" s="1133" t="s">
        <v>1007</v>
      </c>
      <c r="G125" s="1133" t="s">
        <v>1008</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4.5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15" spans="1:29">
      <c r="A127" s="1142"/>
      <c r="B127" s="1114" t="str">
        <f>B45</f>
        <v>停车便捷度</v>
      </c>
      <c r="C127" s="2325" t="s">
        <v>1030</v>
      </c>
      <c r="D127" s="2325" t="s">
        <v>954</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4.5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4.5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4.5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4.5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4.5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1" spans="1:7">
      <c r="A1" s="152" t="s">
        <v>1031</v>
      </c>
      <c r="B1" s="2279" t="s">
        <v>1032</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t="e">
        <f ca="1">C6+C7+C8</f>
        <v>#N/A</v>
      </c>
      <c r="D5" s="166" t="s">
        <v>1037</v>
      </c>
      <c r="E5" s="167" t="s">
        <v>1038</v>
      </c>
      <c r="F5" s="167" t="s">
        <v>818</v>
      </c>
      <c r="G5" s="168"/>
    </row>
    <row r="6" s="146" customFormat="1" ht="13.5" customHeight="1" spans="1:7">
      <c r="A6" s="169" t="s">
        <v>1039</v>
      </c>
      <c r="B6" s="170" t="s">
        <v>1040</v>
      </c>
      <c r="C6" s="171">
        <v>13941</v>
      </c>
      <c r="D6" s="172"/>
      <c r="E6" s="173"/>
      <c r="F6" s="173"/>
      <c r="G6" s="174"/>
    </row>
    <row r="7" s="146" customFormat="1" ht="13.5" customHeight="1" spans="1:7">
      <c r="A7" s="169" t="s">
        <v>1041</v>
      </c>
      <c r="B7" s="170" t="s">
        <v>1042</v>
      </c>
      <c r="C7" s="175">
        <f>ROUND(C6*F7,0)</f>
        <v>425</v>
      </c>
      <c r="D7" s="175"/>
      <c r="E7" s="173"/>
      <c r="F7" s="176">
        <f>IF(项目基本情况!B8="出让",0,'数据-取费表'!B48+'数据-取费表'!B49)</f>
        <v>0.0305</v>
      </c>
      <c r="G7" s="174"/>
    </row>
    <row r="8" s="147" customFormat="1" spans="1:7">
      <c r="A8" s="169" t="s">
        <v>1043</v>
      </c>
      <c r="B8" s="170" t="s">
        <v>1044</v>
      </c>
      <c r="C8" s="175" t="e">
        <f ca="1">IF(G8="已包含在土地购买价格中","0",IF(B1="",'数据-取费表'!B29,IF(G9="全部缴纳",C9+C10,H9)))</f>
        <v>#N/A</v>
      </c>
      <c r="D8" s="177"/>
      <c r="E8" s="175"/>
      <c r="F8" s="176"/>
      <c r="G8" s="2286" t="s">
        <v>1045</v>
      </c>
    </row>
    <row r="9" s="146" customFormat="1" ht="13.5" customHeight="1" spans="1:9">
      <c r="A9" s="179" t="s">
        <v>1046</v>
      </c>
      <c r="B9" s="180" t="s">
        <v>1047</v>
      </c>
      <c r="C9" s="181" t="e">
        <f ca="1">ROUND(D9*E9/10000,0)</f>
        <v>#N/A</v>
      </c>
      <c r="D9" s="182" t="e">
        <f ca="1">IF(B1="",'数据-汇总表'!E5,IF(INDIRECT("'数据-取费表'!c"&amp;$G$1)="住宅",INDIRECT("'数据-取费表'!k"&amp;$G$1),0))</f>
        <v>#N/A</v>
      </c>
      <c r="E9" s="181">
        <f>'数据-取费表'!B27</f>
        <v>0</v>
      </c>
      <c r="F9" s="176"/>
      <c r="G9" s="2293" t="s">
        <v>1048</v>
      </c>
      <c r="H9" s="2294"/>
      <c r="I9" s="2295" t="s">
        <v>1049</v>
      </c>
    </row>
    <row r="10" s="146" customFormat="1" ht="13.5" customHeight="1" spans="1:7">
      <c r="A10" s="179" t="s">
        <v>1050</v>
      </c>
      <c r="B10" s="180" t="s">
        <v>1051</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t="str">
        <f ca="1">IF(G19="已包含在土地取得成本中","0",ROUND(D19*E19/10000,0))</f>
        <v>0</v>
      </c>
      <c r="D19" s="190" t="e">
        <f ca="1">D9+D10</f>
        <v>#N/A</v>
      </c>
      <c r="E19" s="166">
        <f>'数据-取费表'!B31</f>
        <v>200</v>
      </c>
      <c r="F19" s="191"/>
      <c r="G19" s="2286" t="s">
        <v>1070</v>
      </c>
    </row>
    <row r="20" s="146" customFormat="1" ht="13.5" customHeight="1" spans="1:7">
      <c r="A20" s="164" t="s">
        <v>1071</v>
      </c>
      <c r="B20" s="165" t="s">
        <v>1072</v>
      </c>
      <c r="C20" s="192" t="e">
        <f ca="1">ROUND((C5+C19)*F20,0)</f>
        <v>#N/A</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198" t="e">
        <f ca="1">ROUND(SUM(C23:C25),0)</f>
        <v>#N/A</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01" t="e">
        <f ca="1">ROUND(IF('数据-取费表'!B22&lt;=1,C5*F22*'数据-取费表'!B23,C5*(POWER((1+F22),'数据-取费表'!B23)-1)),0)</f>
        <v>#N/A</v>
      </c>
      <c r="D23" s="202"/>
      <c r="E23" s="202"/>
      <c r="F23" s="203"/>
      <c r="G23" s="204" t="s">
        <v>1081</v>
      </c>
    </row>
    <row r="24" s="146" customFormat="1" ht="13.5" customHeight="1" spans="1:7">
      <c r="A24" s="200" t="s">
        <v>1041</v>
      </c>
      <c r="B24" s="170" t="s">
        <v>1082</v>
      </c>
      <c r="C24" s="201">
        <f ca="1">ROUND(IF('数据-取费表'!B22&lt;=1,C19*F22*('数据-取费表'!B19/2+'数据-取费表'!B21),C19*(POWER((1+F22),('数据-取费表'!B19/2+'数据-取费表'!B21))-1)),0)</f>
        <v>0</v>
      </c>
      <c r="D24" s="202"/>
      <c r="E24" s="202"/>
      <c r="F24" s="203"/>
      <c r="G24" s="204" t="s">
        <v>1083</v>
      </c>
    </row>
    <row r="25" s="146" customFormat="1" ht="24" spans="1:7">
      <c r="A25" s="200" t="s">
        <v>1043</v>
      </c>
      <c r="B25" s="170" t="s">
        <v>1084</v>
      </c>
      <c r="C25" s="201" t="e">
        <f ca="1">ROUND(IF('数据-取费表'!B22&lt;=1,C20*F22*'数据-取费表'!B23/2,C20*(POWER((1+F22),'数据-取费表'!B23/2)-1)),0)</f>
        <v>#N/A</v>
      </c>
      <c r="D25" s="202"/>
      <c r="E25" s="205"/>
      <c r="F25" s="203"/>
      <c r="G25" s="206" t="s">
        <v>1085</v>
      </c>
    </row>
    <row r="26" s="146" customFormat="1" spans="1:7">
      <c r="A26" s="200" t="s">
        <v>1086</v>
      </c>
      <c r="B26" s="170" t="s">
        <v>1087</v>
      </c>
      <c r="C26" s="202">
        <f ca="1">ROUND(IF('数据-取费表'!B22&lt;=1,F21*F22*'数据-取费表'!B23/2,F21*(POWER((1+F22),'数据-取费表'!B23/2)-1)),4)</f>
        <v>0.0008</v>
      </c>
      <c r="D26" s="202"/>
      <c r="E26" s="205"/>
      <c r="F26" s="203"/>
      <c r="G26" s="207"/>
    </row>
    <row r="27" s="146" customFormat="1" ht="26.4" spans="1:7">
      <c r="A27" s="164" t="s">
        <v>1088</v>
      </c>
      <c r="B27" s="208" t="s">
        <v>1089</v>
      </c>
      <c r="C27" s="209" t="e">
        <f ca="1">C28</f>
        <v>#N/A</v>
      </c>
      <c r="D27" s="195" t="e">
        <f ca="1">C29</f>
        <v>#N/A</v>
      </c>
      <c r="E27" s="196" t="s">
        <v>1076</v>
      </c>
      <c r="F27" s="210" t="e">
        <f ca="1">IF(B1="",'数据-取费表'!Q16,INDIRECT("'数据-取费表'!q"&amp;$G$1))</f>
        <v>#N/A</v>
      </c>
      <c r="G27" s="211" t="s">
        <v>1090</v>
      </c>
    </row>
    <row r="28" s="146" customFormat="1" ht="13.5" customHeight="1" spans="1:7">
      <c r="A28" s="200" t="s">
        <v>1039</v>
      </c>
      <c r="B28" s="212" t="s">
        <v>1091</v>
      </c>
      <c r="C28" s="213" t="e">
        <f ca="1">ROUND((C5+C19+C20)*F27*'数据-取费表'!B21/'数据-取费表'!B20,0)</f>
        <v>#N/A</v>
      </c>
      <c r="D28" s="195"/>
      <c r="E28" s="196"/>
      <c r="F28" s="210"/>
      <c r="G28" s="211"/>
    </row>
    <row r="29" s="146" customFormat="1" ht="13.5" customHeight="1" spans="1:7">
      <c r="A29" s="200" t="s">
        <v>1041</v>
      </c>
      <c r="B29" s="212" t="s">
        <v>1092</v>
      </c>
      <c r="C29" s="202" t="e">
        <f ca="1">ROUND(C21*F27*'数据-取费表'!B21/'数据-取费表'!B20,4)</f>
        <v>#N/A</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t="e">
        <f ca="1">ROUND((C5+C19+C20+C22+C27)/(1-C21-D22-D27-C30),0)</f>
        <v>#N/A</v>
      </c>
      <c r="D31" s="215"/>
      <c r="E31" s="166"/>
      <c r="F31" s="216"/>
      <c r="G31" s="197" t="s">
        <v>1097</v>
      </c>
    </row>
    <row r="32" s="145" customFormat="1" ht="15.6" spans="1:7">
      <c r="A32" s="217" t="s">
        <v>1098</v>
      </c>
      <c r="B32" s="218"/>
      <c r="C32" s="218"/>
      <c r="D32" s="218"/>
      <c r="E32" s="218"/>
      <c r="F32" s="218"/>
      <c r="G32" s="219"/>
    </row>
    <row r="33" s="146" customFormat="1" ht="13.5" customHeight="1" spans="1:7">
      <c r="A33" s="164" t="s">
        <v>1035</v>
      </c>
      <c r="B33" s="165" t="s">
        <v>1099</v>
      </c>
      <c r="C33" s="220" t="e">
        <f ca="1">SUM(C34:C38)</f>
        <v>#N/A</v>
      </c>
      <c r="D33" s="192"/>
      <c r="E33" s="167"/>
      <c r="F33" s="205"/>
      <c r="G33" s="197"/>
    </row>
    <row r="34" s="148" customFormat="1" ht="13.5" customHeight="1" spans="1:7">
      <c r="A34" s="200" t="s">
        <v>1039</v>
      </c>
      <c r="B34" s="170" t="s">
        <v>1100</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1101</v>
      </c>
    </row>
    <row r="35" ht="13.5" customHeight="1" spans="1:7">
      <c r="A35" s="200" t="s">
        <v>1041</v>
      </c>
      <c r="B35" s="170" t="s">
        <v>1102</v>
      </c>
      <c r="C35" s="175" t="e">
        <f ca="1">ROUND(C34*F35,0)</f>
        <v>#N/A</v>
      </c>
      <c r="D35" s="175"/>
      <c r="E35" s="175"/>
      <c r="F35" s="222">
        <f>'数据-取费表'!B33</f>
        <v>0.03</v>
      </c>
      <c r="G35" s="174" t="s">
        <v>1103</v>
      </c>
    </row>
    <row r="36" ht="24" spans="1:7">
      <c r="A36" s="200" t="s">
        <v>1043</v>
      </c>
      <c r="B36" s="170" t="s">
        <v>1104</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1105</v>
      </c>
    </row>
    <row r="37" s="148" customFormat="1" ht="13.5" customHeight="1" spans="1:7">
      <c r="A37" s="200" t="s">
        <v>1086</v>
      </c>
      <c r="B37" s="170" t="s">
        <v>1106</v>
      </c>
      <c r="C37" s="213" t="e">
        <f ca="1">ROUND(E37*D37*F34/10000,0)</f>
        <v>#N/A</v>
      </c>
      <c r="D37" s="172" t="e">
        <f ca="1">D19</f>
        <v>#N/A</v>
      </c>
      <c r="E37" s="213">
        <f>'数据-取费表'!B35</f>
        <v>200</v>
      </c>
      <c r="F37" s="222"/>
      <c r="G37" s="224" t="s">
        <v>1107</v>
      </c>
    </row>
    <row r="38" ht="13.5" customHeight="1" spans="1:7">
      <c r="A38" s="200" t="s">
        <v>1108</v>
      </c>
      <c r="B38" s="170" t="s">
        <v>854</v>
      </c>
      <c r="C38" s="175" t="e">
        <f ca="1">ROUND(C34*F38,0)</f>
        <v>#N/A</v>
      </c>
      <c r="D38" s="175"/>
      <c r="E38" s="175"/>
      <c r="F38" s="222">
        <f>'数据-取费表'!B36</f>
        <v>0.015</v>
      </c>
      <c r="G38" s="174" t="s">
        <v>1103</v>
      </c>
    </row>
    <row r="39" s="146" customFormat="1" ht="13.5" customHeight="1" spans="1:7">
      <c r="A39" s="164" t="s">
        <v>1068</v>
      </c>
      <c r="B39" s="165" t="s">
        <v>1072</v>
      </c>
      <c r="C39" s="192" t="e">
        <f ca="1">ROUND(C33*F20,0)</f>
        <v>#N/A</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t="e">
        <f ca="1">ROUND(SUM(C42:C43),0)</f>
        <v>#N/A</v>
      </c>
      <c r="D41" s="195">
        <f ca="1">C44</f>
        <v>0.0008</v>
      </c>
      <c r="E41" s="196" t="s">
        <v>1110</v>
      </c>
      <c r="F41" s="2291">
        <f ca="1">F22</f>
        <v>0.0415</v>
      </c>
      <c r="G41" s="197" t="str">
        <f>IF('数据-取费表'!B22&lt;=1,"单利计息","复利计息")</f>
        <v>复利计息</v>
      </c>
    </row>
    <row r="42" ht="13.5" customHeight="1" spans="1:7">
      <c r="A42" s="200" t="s">
        <v>1039</v>
      </c>
      <c r="B42" s="170" t="s">
        <v>1080</v>
      </c>
      <c r="C42" s="202" t="e">
        <f ca="1">ROUND(IF('数据-取费表'!B22&lt;=1,C33*F22*'数据-取费表'!B21/2,C33*(POWER((1+F22),'数据-取费表'!B21/2)-1)),0)</f>
        <v>#N/A</v>
      </c>
      <c r="D42" s="202"/>
      <c r="E42" s="202"/>
      <c r="F42" s="203"/>
      <c r="G42" s="226" t="s">
        <v>1112</v>
      </c>
    </row>
    <row r="43" ht="13.5" customHeight="1" spans="1:7">
      <c r="A43" s="200" t="s">
        <v>1041</v>
      </c>
      <c r="B43" s="170" t="s">
        <v>1082</v>
      </c>
      <c r="C43" s="202" t="e">
        <f ca="1">ROUND(IF('数据-取费表'!B22&lt;=1,C39*F22*'数据-取费表'!B21/2,C39*(POWER((1+F22),'数据-取费表'!B21/2)-1)),0)</f>
        <v>#N/A</v>
      </c>
      <c r="D43" s="202"/>
      <c r="E43" s="202"/>
      <c r="F43" s="203"/>
      <c r="G43" s="227"/>
    </row>
    <row r="44" ht="13.5" customHeight="1" spans="1:7">
      <c r="A44" s="200" t="s">
        <v>1043</v>
      </c>
      <c r="B44" s="170" t="s">
        <v>1084</v>
      </c>
      <c r="C44" s="202">
        <f ca="1">ROUND(IF('数据-取费表'!B22&lt;=1,C40*F22*'数据-取费表'!B21/2,C40*(POWER((1+F22),'数据-取费表'!B21/2)-1)),4)</f>
        <v>0.0008</v>
      </c>
      <c r="D44" s="202"/>
      <c r="E44" s="202"/>
      <c r="F44" s="203"/>
      <c r="G44" s="228"/>
    </row>
    <row r="45" s="146" customFormat="1" ht="13.5" customHeight="1" spans="1:7">
      <c r="A45" s="164" t="s">
        <v>1078</v>
      </c>
      <c r="B45" s="208" t="s">
        <v>1089</v>
      </c>
      <c r="C45" s="209" t="e">
        <f ca="1">C46</f>
        <v>#N/A</v>
      </c>
      <c r="D45" s="195" t="e">
        <f ca="1">C47</f>
        <v>#N/A</v>
      </c>
      <c r="E45" s="196" t="s">
        <v>1110</v>
      </c>
      <c r="F45" s="2292" t="e">
        <f ca="1">F27</f>
        <v>#N/A</v>
      </c>
      <c r="G45" s="211" t="s">
        <v>1113</v>
      </c>
    </row>
    <row r="46" s="146" customFormat="1" ht="13.5" customHeight="1" spans="1:7">
      <c r="A46" s="200" t="s">
        <v>1039</v>
      </c>
      <c r="B46" s="212" t="s">
        <v>1114</v>
      </c>
      <c r="C46" s="213" t="e">
        <f ca="1">ROUND((C33+C39)*F27,0)</f>
        <v>#N/A</v>
      </c>
      <c r="D46" s="229"/>
      <c r="E46" s="196"/>
      <c r="F46" s="210"/>
      <c r="G46" s="211"/>
    </row>
    <row r="47" s="146" customFormat="1" ht="13.5" customHeight="1" spans="1:7">
      <c r="A47" s="200" t="s">
        <v>1041</v>
      </c>
      <c r="B47" s="212" t="s">
        <v>1115</v>
      </c>
      <c r="C47" s="202" t="e">
        <f ca="1">ROUND(C40*F27,4)</f>
        <v>#N/A</v>
      </c>
      <c r="D47" s="229"/>
      <c r="E47" s="196"/>
      <c r="F47" s="210"/>
      <c r="G47" s="211"/>
    </row>
    <row r="48" s="146" customFormat="1" ht="13.5" customHeight="1" spans="1:7">
      <c r="A48" s="164" t="s">
        <v>1088</v>
      </c>
      <c r="B48" s="165" t="s">
        <v>1094</v>
      </c>
      <c r="C48" s="2290">
        <f>ROUND(F30/(1+'数据-取费表'!C42),4)</f>
        <v>0.0533</v>
      </c>
      <c r="D48" s="196" t="s">
        <v>1110</v>
      </c>
      <c r="E48" s="192"/>
      <c r="F48" s="2291">
        <f>F30</f>
        <v>0.056</v>
      </c>
      <c r="G48" s="197" t="s">
        <v>1116</v>
      </c>
    </row>
    <row r="49" ht="16.5" customHeight="1" spans="1:7">
      <c r="A49" s="164" t="s">
        <v>1093</v>
      </c>
      <c r="B49" s="165" t="s">
        <v>1117</v>
      </c>
      <c r="C49" s="192" t="e">
        <f ca="1">ROUND((C33+C39+C41+C45)/(1-C40-D41-D45-C48),0)</f>
        <v>#N/A</v>
      </c>
      <c r="D49" s="192"/>
      <c r="E49" s="192"/>
      <c r="F49" s="230"/>
      <c r="G49" s="197" t="s">
        <v>1118</v>
      </c>
    </row>
    <row r="50" s="148" customFormat="1" ht="24" spans="1:7">
      <c r="A50" s="164" t="s">
        <v>1119</v>
      </c>
      <c r="B50" s="165" t="s">
        <v>1120</v>
      </c>
      <c r="C50" s="192"/>
      <c r="D50" s="192"/>
      <c r="E50" s="192"/>
      <c r="F50" s="230">
        <f>IF('数据-取费表'!B24=0,'数据-取费表'!N16,1)</f>
        <v>0.75</v>
      </c>
      <c r="G50" s="211" t="s">
        <v>1121</v>
      </c>
    </row>
    <row r="51" ht="16.5" customHeight="1" spans="1:7">
      <c r="A51" s="164" t="s">
        <v>1122</v>
      </c>
      <c r="B51" s="165" t="s">
        <v>1123</v>
      </c>
      <c r="C51" s="192" t="e">
        <f ca="1">ROUND(C49*F50,0)</f>
        <v>#N/A</v>
      </c>
      <c r="D51" s="192"/>
      <c r="E51" s="192"/>
      <c r="F51" s="230"/>
      <c r="G51" s="197" t="s">
        <v>1124</v>
      </c>
    </row>
    <row r="52" s="145" customFormat="1" ht="16.35" spans="1:7">
      <c r="A52" s="231" t="s">
        <v>1125</v>
      </c>
      <c r="B52" s="232"/>
      <c r="C52" s="233" t="e">
        <f ca="1">C31+C51</f>
        <v>#N/A</v>
      </c>
      <c r="D52" s="232"/>
      <c r="E52" s="232"/>
      <c r="F52" s="232"/>
      <c r="G52" s="234"/>
    </row>
    <row r="55" ht="15" spans="2:3">
      <c r="B55" s="235" t="s">
        <v>1126</v>
      </c>
      <c r="C55" s="236"/>
    </row>
    <row r="56" spans="2:3">
      <c r="B56" s="237" t="s">
        <v>1127</v>
      </c>
      <c r="C56" s="239" t="e">
        <f ca="1">1-C57</f>
        <v>#N/A</v>
      </c>
    </row>
    <row r="57" spans="2:3">
      <c r="B57" s="237" t="s">
        <v>1128</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8" width="10.7777777777778" style="150" customWidth="1"/>
    <col min="9" max="254" width="9" style="150" customWidth="1"/>
    <col min="255" max="16384" width="8.33333333333333" style="150"/>
  </cols>
  <sheetData>
    <row r="1" s="144" customFormat="1" ht="21" spans="1:8">
      <c r="A1" s="152" t="s">
        <v>1031</v>
      </c>
      <c r="B1" s="2279"/>
      <c r="C1" s="2280" t="s">
        <v>1129</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1216</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4355</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f ca="1">C6+C7+C8</f>
        <v>558376</v>
      </c>
      <c r="D5" s="166" t="s">
        <v>1037</v>
      </c>
      <c r="E5" s="167" t="s">
        <v>1038</v>
      </c>
      <c r="F5" s="167" t="s">
        <v>818</v>
      </c>
      <c r="G5" s="168"/>
    </row>
    <row r="6" s="146" customFormat="1" ht="13.5" customHeight="1" spans="1:7">
      <c r="A6" s="169" t="s">
        <v>1039</v>
      </c>
      <c r="B6" s="170" t="s">
        <v>1040</v>
      </c>
      <c r="C6" s="171"/>
      <c r="D6" s="172"/>
      <c r="E6" s="173"/>
      <c r="F6" s="173"/>
      <c r="G6" s="174"/>
    </row>
    <row r="7" s="146" customFormat="1" ht="13.5" customHeight="1" spans="1:7">
      <c r="A7" s="169" t="s">
        <v>1041</v>
      </c>
      <c r="B7" s="170" t="s">
        <v>1042</v>
      </c>
      <c r="C7" s="175">
        <f>ROUND(C6*F7,0)</f>
        <v>0</v>
      </c>
      <c r="D7" s="175"/>
      <c r="E7" s="173"/>
      <c r="F7" s="176">
        <f>IF(项目基本情况!B8="出让",0,'数据-取费表'!B48+'数据-取费表'!B49)</f>
        <v>0.0305</v>
      </c>
      <c r="G7" s="174"/>
    </row>
    <row r="8" s="147" customFormat="1" spans="1:7">
      <c r="A8" s="169" t="s">
        <v>1043</v>
      </c>
      <c r="B8" s="170" t="s">
        <v>1044</v>
      </c>
      <c r="C8" s="175">
        <f ca="1">IF(G8="已包含在土地购买价格中",0,C9+C10)</f>
        <v>558376</v>
      </c>
      <c r="D8" s="177"/>
      <c r="E8" s="175"/>
      <c r="F8" s="176"/>
      <c r="G8" s="2286"/>
    </row>
    <row r="9" s="146" customFormat="1" ht="13.5" customHeight="1" spans="1:7">
      <c r="A9" s="179" t="s">
        <v>1046</v>
      </c>
      <c r="B9" s="180" t="s">
        <v>1047</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1050</v>
      </c>
      <c r="B10" s="180" t="s">
        <v>1051</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f ca="1">IF(G19="已包含在土地取得成本中","0",ROUND(D19*E19,0))</f>
        <v>558376</v>
      </c>
      <c r="D19" s="190">
        <f ca="1">D9+D10</f>
        <v>2791.88</v>
      </c>
      <c r="E19" s="166">
        <f>'数据-取费表'!B31</f>
        <v>200</v>
      </c>
      <c r="F19" s="191"/>
      <c r="G19" s="2286"/>
    </row>
    <row r="20" s="146" customFormat="1" ht="13.5" customHeight="1" spans="1:7">
      <c r="A20" s="164" t="s">
        <v>1071</v>
      </c>
      <c r="B20" s="165" t="s">
        <v>1072</v>
      </c>
      <c r="C20" s="192">
        <f ca="1">ROUND((C5+C19)*F20,0)</f>
        <v>22335</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2287">
        <f ca="1">ROUND(SUM(C23:C25),0)</f>
        <v>95541</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288">
        <f ca="1">ROUND(IF('数据-取费表'!B22&lt;=1,C5*F22*'数据-取费表'!B22,C5*(POWER((1+F22),'数据-取费表'!B22)-1)),0)</f>
        <v>47307</v>
      </c>
      <c r="D23" s="202"/>
      <c r="E23" s="202"/>
      <c r="F23" s="203"/>
      <c r="G23" s="204" t="s">
        <v>1081</v>
      </c>
    </row>
    <row r="24" s="146" customFormat="1" ht="13.5" customHeight="1" spans="1:7">
      <c r="A24" s="200" t="s">
        <v>1041</v>
      </c>
      <c r="B24" s="170" t="s">
        <v>1082</v>
      </c>
      <c r="C24" s="2288">
        <f ca="1">ROUND(IF('数据-取费表'!B22&lt;=1,C19*F22*('数据-取费表'!B19/2+'数据-取费表'!B20),C19*(POWER((1+F22),('数据-取费表'!B19/2+'数据-取费表'!B20))-1)),0)</f>
        <v>47307</v>
      </c>
      <c r="D24" s="202"/>
      <c r="E24" s="202"/>
      <c r="F24" s="203"/>
      <c r="G24" s="204" t="s">
        <v>1083</v>
      </c>
    </row>
    <row r="25" s="146" customFormat="1" ht="24" spans="1:7">
      <c r="A25" s="200" t="s">
        <v>1043</v>
      </c>
      <c r="B25" s="170" t="s">
        <v>1084</v>
      </c>
      <c r="C25" s="2288">
        <f ca="1">ROUND(IF('数据-取费表'!B22&lt;=1,C20*F22*'数据-取费表'!B22/2,C20*(POWER((1+F22),'数据-取费表'!B22/2)-1)),0)</f>
        <v>927</v>
      </c>
      <c r="D25" s="202"/>
      <c r="E25" s="205"/>
      <c r="F25" s="203"/>
      <c r="G25" s="206" t="s">
        <v>1085</v>
      </c>
    </row>
    <row r="26" s="146" customFormat="1" spans="1:7">
      <c r="A26" s="200" t="s">
        <v>1086</v>
      </c>
      <c r="B26" s="170" t="s">
        <v>1087</v>
      </c>
      <c r="C26" s="202">
        <f ca="1">ROUND(IF('数据-取费表'!B22&lt;=1,F21*F22*'数据-取费表'!B22/2,F21*(POWER((1+F22),'数据-取费表'!B22/2)-1)),4)</f>
        <v>0.0008</v>
      </c>
      <c r="D26" s="202"/>
      <c r="E26" s="205"/>
      <c r="F26" s="203"/>
      <c r="G26" s="207"/>
    </row>
    <row r="27" s="146" customFormat="1" ht="26.4" spans="1:7">
      <c r="A27" s="164" t="s">
        <v>1088</v>
      </c>
      <c r="B27" s="208" t="s">
        <v>1089</v>
      </c>
      <c r="C27" s="209">
        <f ca="1">C28</f>
        <v>170863</v>
      </c>
      <c r="D27" s="195">
        <f ca="1">C29</f>
        <v>0.003</v>
      </c>
      <c r="E27" s="196" t="s">
        <v>1076</v>
      </c>
      <c r="F27" s="210">
        <f ca="1">IF(B1="",'数据-取费表'!Q16,INDIRECT("'数据-取费表'!q"&amp;$G$1))</f>
        <v>0.15</v>
      </c>
      <c r="G27" s="211" t="s">
        <v>1090</v>
      </c>
    </row>
    <row r="28" s="146" customFormat="1" ht="13.5" customHeight="1" spans="1:7">
      <c r="A28" s="200" t="s">
        <v>1039</v>
      </c>
      <c r="B28" s="212" t="s">
        <v>1091</v>
      </c>
      <c r="C28" s="213">
        <f ca="1">ROUND((C5+C19+C20)*F27,0)</f>
        <v>170863</v>
      </c>
      <c r="D28" s="195"/>
      <c r="E28" s="196"/>
      <c r="F28" s="210"/>
      <c r="G28" s="211"/>
    </row>
    <row r="29" s="146" customFormat="1" ht="13.5" customHeight="1" spans="1:7">
      <c r="A29" s="200" t="s">
        <v>1041</v>
      </c>
      <c r="B29" s="212" t="s">
        <v>1092</v>
      </c>
      <c r="C29" s="202">
        <f ca="1">ROUND(C21*F27,4)</f>
        <v>0.003</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f ca="1">ROUND((C5+C19+C20+C22+C27)/(1-C21-D22-D27-C30),0)</f>
        <v>1522907</v>
      </c>
      <c r="D31" s="215"/>
      <c r="E31" s="166"/>
      <c r="F31" s="216"/>
      <c r="G31" s="197" t="s">
        <v>1097</v>
      </c>
    </row>
    <row r="32" s="145" customFormat="1" ht="15.6" spans="1:7">
      <c r="A32" s="217" t="s">
        <v>1130</v>
      </c>
      <c r="B32" s="218"/>
      <c r="C32" s="218"/>
      <c r="D32" s="218"/>
      <c r="E32" s="218"/>
      <c r="F32" s="218"/>
      <c r="G32" s="219"/>
    </row>
    <row r="33" s="146" customFormat="1" ht="13.5" customHeight="1" spans="1:7">
      <c r="A33" s="164" t="s">
        <v>1035</v>
      </c>
      <c r="B33" s="165" t="s">
        <v>1131</v>
      </c>
      <c r="C33" s="220">
        <f ca="1">SUM(C34:C38)</f>
        <v>10769677</v>
      </c>
      <c r="D33" s="192"/>
      <c r="E33" s="167"/>
      <c r="F33" s="205"/>
      <c r="G33" s="197"/>
    </row>
    <row r="34" s="148" customFormat="1" ht="13.5" customHeight="1" spans="1:7">
      <c r="A34" s="200" t="s">
        <v>1039</v>
      </c>
      <c r="B34" s="170" t="s">
        <v>1100</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1041</v>
      </c>
      <c r="B35" s="170" t="s">
        <v>1102</v>
      </c>
      <c r="C35" s="175">
        <f ca="1">ROUND(C34*F35,0)</f>
        <v>293147</v>
      </c>
      <c r="D35" s="175"/>
      <c r="E35" s="175"/>
      <c r="F35" s="222">
        <f>'数据-取费表'!B33</f>
        <v>0.03</v>
      </c>
      <c r="G35" s="174" t="s">
        <v>1103</v>
      </c>
    </row>
    <row r="36" ht="24" spans="1:7">
      <c r="A36" s="200" t="s">
        <v>1043</v>
      </c>
      <c r="B36" s="170" t="s">
        <v>1104</v>
      </c>
      <c r="C36" s="175">
        <f ca="1">ROUND(IF(B1="",SUM('数据-取费表'!AP6:AP13)*F36,IF(INDIRECT("'数据-取费表'!c"&amp;$G$1)="住宅",INDIRECT("'数据-取费表'!k"&amp;$G$1)*INDIRECT("'数据-取费表'!l"&amp;$G$1)*F36,0)),0)</f>
        <v>0</v>
      </c>
      <c r="D36" s="175"/>
      <c r="E36" s="175"/>
      <c r="F36" s="222">
        <f>'数据-取费表'!B34</f>
        <v>0</v>
      </c>
      <c r="G36" s="223" t="s">
        <v>1105</v>
      </c>
    </row>
    <row r="37" s="148" customFormat="1" ht="13.5" customHeight="1" spans="1:7">
      <c r="A37" s="200" t="s">
        <v>1086</v>
      </c>
      <c r="B37" s="170" t="s">
        <v>1106</v>
      </c>
      <c r="C37" s="213">
        <f ca="1">ROUND(E37*D37,0)</f>
        <v>558376</v>
      </c>
      <c r="D37" s="172">
        <f ca="1">D19</f>
        <v>2791.88</v>
      </c>
      <c r="E37" s="213">
        <f>'数据-取费表'!B35</f>
        <v>200</v>
      </c>
      <c r="F37" s="222"/>
      <c r="G37" s="224"/>
    </row>
    <row r="38" ht="13.5" customHeight="1" spans="1:7">
      <c r="A38" s="200" t="s">
        <v>1108</v>
      </c>
      <c r="B38" s="170" t="s">
        <v>854</v>
      </c>
      <c r="C38" s="175">
        <f ca="1">ROUND(C34*F38,0)</f>
        <v>146574</v>
      </c>
      <c r="D38" s="175"/>
      <c r="E38" s="175"/>
      <c r="F38" s="222">
        <f>'数据-取费表'!B36</f>
        <v>0.015</v>
      </c>
      <c r="G38" s="174" t="s">
        <v>1103</v>
      </c>
    </row>
    <row r="39" s="146" customFormat="1" ht="13.5" customHeight="1" spans="1:7">
      <c r="A39" s="164" t="s">
        <v>1068</v>
      </c>
      <c r="B39" s="165" t="s">
        <v>1072</v>
      </c>
      <c r="C39" s="192">
        <f ca="1">ROUND(C33*F20,0)</f>
        <v>215394</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f ca="1">ROUND(SUM(C42:C43),0)</f>
        <v>455881</v>
      </c>
      <c r="D41" s="195">
        <f ca="1">C44</f>
        <v>0.0008</v>
      </c>
      <c r="E41" s="196" t="s">
        <v>1110</v>
      </c>
      <c r="F41" s="2291">
        <f ca="1">F22</f>
        <v>0.0415</v>
      </c>
      <c r="G41" s="197" t="str">
        <f>IF('数据-取费表'!B22&lt;=1,"单利计息","复利计息")</f>
        <v>复利计息</v>
      </c>
    </row>
    <row r="42" ht="13.5" customHeight="1" spans="1:7">
      <c r="A42" s="200" t="s">
        <v>1039</v>
      </c>
      <c r="B42" s="170" t="s">
        <v>1080</v>
      </c>
      <c r="C42" s="202">
        <f ca="1">ROUND(IF('数据-取费表'!B22&lt;=1,C33*F22*'数据-取费表'!B20/2,C33*(POWER((1+F22),'数据-取费表'!B20/2)-1)),0)</f>
        <v>446942</v>
      </c>
      <c r="D42" s="202"/>
      <c r="E42" s="202"/>
      <c r="F42" s="203"/>
      <c r="G42" s="226" t="s">
        <v>1132</v>
      </c>
    </row>
    <row r="43" ht="13.5" customHeight="1" spans="1:7">
      <c r="A43" s="200" t="s">
        <v>1041</v>
      </c>
      <c r="B43" s="170" t="s">
        <v>1082</v>
      </c>
      <c r="C43" s="202">
        <f ca="1">ROUND(IF('数据-取费表'!B22&lt;=1,C39*F22*'数据-取费表'!B20/2,C39*(POWER((1+F22),'数据-取费表'!B20/2)-1)),0)</f>
        <v>8939</v>
      </c>
      <c r="D43" s="202"/>
      <c r="E43" s="202"/>
      <c r="F43" s="203"/>
      <c r="G43" s="227"/>
    </row>
    <row r="44" ht="13.5" customHeight="1" spans="1:7">
      <c r="A44" s="200" t="s">
        <v>1043</v>
      </c>
      <c r="B44" s="170" t="s">
        <v>1084</v>
      </c>
      <c r="C44" s="202">
        <f ca="1">ROUND(IF('数据-取费表'!B22&lt;=1,C40*F22*'数据-取费表'!B20/2,C40*(POWER((1+F22),'数据-取费表'!B20/2)-1)),4)</f>
        <v>0.0008</v>
      </c>
      <c r="D44" s="202"/>
      <c r="E44" s="202"/>
      <c r="F44" s="203"/>
      <c r="G44" s="228"/>
    </row>
    <row r="45" s="146" customFormat="1" ht="13.5" customHeight="1" spans="1:7">
      <c r="A45" s="164" t="s">
        <v>1078</v>
      </c>
      <c r="B45" s="208" t="s">
        <v>1089</v>
      </c>
      <c r="C45" s="209">
        <f ca="1">C46</f>
        <v>1647761</v>
      </c>
      <c r="D45" s="195">
        <f ca="1">C47</f>
        <v>0.003</v>
      </c>
      <c r="E45" s="196" t="s">
        <v>1110</v>
      </c>
      <c r="F45" s="2292">
        <f ca="1">F27</f>
        <v>0.15</v>
      </c>
      <c r="G45" s="211" t="s">
        <v>1113</v>
      </c>
    </row>
    <row r="46" s="146" customFormat="1" ht="13.5" customHeight="1" spans="1:7">
      <c r="A46" s="200" t="s">
        <v>1039</v>
      </c>
      <c r="B46" s="212" t="s">
        <v>1114</v>
      </c>
      <c r="C46" s="213">
        <f ca="1">ROUND((C33+C39)*F27,0)</f>
        <v>1647761</v>
      </c>
      <c r="D46" s="229"/>
      <c r="E46" s="196"/>
      <c r="F46" s="210"/>
      <c r="G46" s="211"/>
    </row>
    <row r="47" s="146" customFormat="1" ht="13.5" customHeight="1" spans="1:7">
      <c r="A47" s="200" t="s">
        <v>1041</v>
      </c>
      <c r="B47" s="212" t="s">
        <v>1115</v>
      </c>
      <c r="C47" s="202">
        <f ca="1">ROUND(C40*F27,4)</f>
        <v>0.003</v>
      </c>
      <c r="D47" s="229"/>
      <c r="E47" s="196"/>
      <c r="F47" s="210"/>
      <c r="G47" s="211"/>
    </row>
    <row r="48" s="146" customFormat="1" ht="13.5" customHeight="1" spans="1:7">
      <c r="A48" s="164" t="s">
        <v>1088</v>
      </c>
      <c r="B48" s="165" t="s">
        <v>1094</v>
      </c>
      <c r="C48" s="225">
        <f>ROUND(F30/(1+'数据-取费表'!C42),4)</f>
        <v>0.0533</v>
      </c>
      <c r="D48" s="196" t="s">
        <v>1110</v>
      </c>
      <c r="E48" s="192"/>
      <c r="F48" s="2291">
        <f>F30</f>
        <v>0.056</v>
      </c>
      <c r="G48" s="197" t="s">
        <v>1116</v>
      </c>
    </row>
    <row r="49" ht="16.5" customHeight="1" spans="1:7">
      <c r="A49" s="164" t="s">
        <v>1093</v>
      </c>
      <c r="B49" s="165" t="s">
        <v>1133</v>
      </c>
      <c r="C49" s="192">
        <f ca="1">ROUND((C33+C39+C41+C45)/(1-C40-D41-D45-C48),0)</f>
        <v>14182157</v>
      </c>
      <c r="D49" s="192"/>
      <c r="E49" s="192"/>
      <c r="F49" s="230"/>
      <c r="G49" s="197" t="s">
        <v>1118</v>
      </c>
    </row>
    <row r="50" s="148" customFormat="1" spans="1:7">
      <c r="A50" s="164" t="s">
        <v>1119</v>
      </c>
      <c r="B50" s="165" t="s">
        <v>1120</v>
      </c>
      <c r="C50" s="192"/>
      <c r="D50" s="192"/>
      <c r="E50" s="192"/>
      <c r="F50" s="230">
        <f>IF('数据-取费表'!B24=0,'数据-取费表'!N16,1)</f>
        <v>0.75</v>
      </c>
      <c r="G50" s="211"/>
    </row>
    <row r="51" ht="16.5" customHeight="1" spans="1:7">
      <c r="A51" s="164" t="s">
        <v>1122</v>
      </c>
      <c r="B51" s="165" t="s">
        <v>1134</v>
      </c>
      <c r="C51" s="192">
        <f ca="1">ROUND(C49*F50,0)</f>
        <v>10636618</v>
      </c>
      <c r="D51" s="192"/>
      <c r="E51" s="192"/>
      <c r="F51" s="230"/>
      <c r="G51" s="197" t="s">
        <v>1124</v>
      </c>
    </row>
    <row r="52" s="145" customFormat="1" ht="16.35" spans="1:7">
      <c r="A52" s="231" t="s">
        <v>1125</v>
      </c>
      <c r="B52" s="232"/>
      <c r="C52" s="233">
        <f ca="1">C31+C51</f>
        <v>12159525</v>
      </c>
      <c r="D52" s="232"/>
      <c r="E52" s="232"/>
      <c r="F52" s="232"/>
      <c r="G52" s="234"/>
    </row>
    <row r="55" ht="15" spans="2:3">
      <c r="B55" s="235" t="s">
        <v>1126</v>
      </c>
      <c r="C55" s="236"/>
    </row>
    <row r="56" spans="2:3">
      <c r="B56" s="237" t="s">
        <v>1127</v>
      </c>
      <c r="C56" s="239">
        <f ca="1">1-C57</f>
        <v>0.125</v>
      </c>
    </row>
    <row r="57" spans="2:3">
      <c r="B57" s="237" t="s">
        <v>1128</v>
      </c>
      <c r="C57" s="238">
        <f ca="1">ROUND(C51/C52,3)</f>
        <v>0.875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159" customWidth="1"/>
    <col min="2" max="2" width="25.7777777777778" style="2192" customWidth="1"/>
    <col min="3" max="3" width="10.3333333333333" style="2193" customWidth="1"/>
    <col min="4" max="4" width="9.88888888888889" style="2192" customWidth="1"/>
    <col min="5" max="5" width="9.44444444444444" style="2159" customWidth="1"/>
    <col min="6" max="6" width="10.1111111111111" style="2192" customWidth="1"/>
    <col min="7" max="7" width="10.7777777777778" style="2192" customWidth="1"/>
    <col min="8" max="8" width="10" style="2192" customWidth="1"/>
    <col min="9" max="11" width="9.44444444444444" style="2192" customWidth="1"/>
    <col min="12" max="12" width="9" style="2192" customWidth="1"/>
    <col min="13" max="13" width="10.4444444444444" style="2192" customWidth="1"/>
    <col min="14" max="254" width="9" style="2192" customWidth="1"/>
    <col min="255" max="16384" width="6.66666666666667" style="2192"/>
  </cols>
  <sheetData>
    <row r="1" ht="20.4" spans="1:11">
      <c r="A1" s="152" t="s">
        <v>1135</v>
      </c>
      <c r="B1" s="1876"/>
      <c r="C1" s="2194"/>
      <c r="D1" s="2195"/>
      <c r="E1" s="2196"/>
      <c r="F1" s="2196"/>
      <c r="G1" s="2197"/>
      <c r="H1" s="2196"/>
      <c r="I1" s="2196"/>
      <c r="J1" s="2196"/>
      <c r="K1" s="2266">
        <f>MATCH(C1,'数据-取费表'!A6:A16,0)+5</f>
        <v>7</v>
      </c>
    </row>
    <row r="2" ht="18" customHeight="1" spans="1:11">
      <c r="A2" s="156" t="s">
        <v>916</v>
      </c>
      <c r="B2" s="160">
        <f ca="1">C32</f>
        <v>-64</v>
      </c>
      <c r="C2" s="2198" t="s">
        <v>1136</v>
      </c>
      <c r="D2" s="2198"/>
      <c r="E2" s="2196"/>
      <c r="F2" s="2196"/>
      <c r="G2" s="2196"/>
      <c r="H2" s="2196"/>
      <c r="I2" s="2196"/>
      <c r="J2" s="2196"/>
      <c r="K2" s="2196"/>
    </row>
    <row r="3" ht="18" customHeight="1" spans="1:11">
      <c r="A3" s="159" t="s">
        <v>918</v>
      </c>
      <c r="B3" s="160">
        <f ca="1">ROUND(B2*10000/IF(C1="",'数据-汇总表'!E3,INDIRECT("'数据-取费表'!K"&amp;$K$1)),0)</f>
        <v>-229</v>
      </c>
      <c r="C3" s="2198" t="s">
        <v>1137</v>
      </c>
      <c r="D3" s="2198"/>
      <c r="E3" s="2196"/>
      <c r="F3" s="2196"/>
      <c r="G3" s="2196"/>
      <c r="H3" s="2196"/>
      <c r="I3" s="2196"/>
      <c r="J3" s="2196"/>
      <c r="K3" s="2196"/>
    </row>
    <row r="4" s="2183" customFormat="1" ht="16.5" customHeight="1" spans="1:11">
      <c r="A4" s="2199" t="s">
        <v>1138</v>
      </c>
      <c r="B4" s="2200"/>
      <c r="C4" s="2201">
        <f>SUM(C8:K8)</f>
        <v>0</v>
      </c>
      <c r="D4" s="2200"/>
      <c r="E4" s="2200"/>
      <c r="F4" s="2200"/>
      <c r="G4" s="2200"/>
      <c r="H4" s="2200"/>
      <c r="I4" s="2200"/>
      <c r="J4" s="2200"/>
      <c r="K4" s="2267"/>
    </row>
    <row r="5" s="2184" customFormat="1" ht="25.2" spans="1:33">
      <c r="A5" s="2202" t="s">
        <v>1139</v>
      </c>
      <c r="B5" s="2203" t="s">
        <v>1140</v>
      </c>
      <c r="C5" s="2204" t="s">
        <v>1141</v>
      </c>
      <c r="D5" s="2204" t="s">
        <v>1142</v>
      </c>
      <c r="E5" s="2204" t="s">
        <v>1143</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823</v>
      </c>
      <c r="B6" s="1838" t="s">
        <v>1144</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827</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872</v>
      </c>
      <c r="B8" s="2209" t="s">
        <v>1145</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1146</v>
      </c>
      <c r="B9" s="2200"/>
      <c r="C9" s="2200"/>
      <c r="D9" s="2200"/>
      <c r="E9" s="2200"/>
      <c r="F9" s="2200"/>
      <c r="G9" s="2200"/>
      <c r="H9" s="2200"/>
      <c r="I9" s="2200"/>
      <c r="J9" s="2200"/>
      <c r="K9" s="2267"/>
    </row>
    <row r="10" s="2186" customFormat="1" ht="13.5" customHeight="1" spans="1:11">
      <c r="A10" s="2202" t="s">
        <v>1139</v>
      </c>
      <c r="B10" s="2212" t="s">
        <v>1140</v>
      </c>
      <c r="C10" s="2213" t="s">
        <v>1147</v>
      </c>
      <c r="D10" s="2214" t="s">
        <v>1148</v>
      </c>
      <c r="E10" s="2214" t="s">
        <v>1149</v>
      </c>
      <c r="F10" s="2214" t="s">
        <v>1150</v>
      </c>
      <c r="G10" s="2212"/>
      <c r="H10" s="2215"/>
      <c r="I10" s="2215"/>
      <c r="J10" s="2215"/>
      <c r="K10" s="2273"/>
    </row>
    <row r="11" s="2187" customFormat="1" ht="13.5" customHeight="1" spans="1:11">
      <c r="A11" s="2216" t="s">
        <v>1046</v>
      </c>
      <c r="B11" s="2217" t="s">
        <v>1151</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1050</v>
      </c>
      <c r="B12" s="2217" t="s">
        <v>1152</v>
      </c>
      <c r="C12" s="1831">
        <f ca="1">ROUND(C11*F12,0)</f>
        <v>0</v>
      </c>
      <c r="D12" s="2219"/>
      <c r="E12" s="1842"/>
      <c r="F12" s="2221">
        <f>'数据-取费表'!B33</f>
        <v>0.03</v>
      </c>
      <c r="G12" s="2212" t="s">
        <v>1153</v>
      </c>
      <c r="H12" s="2215"/>
      <c r="I12" s="2215"/>
      <c r="J12" s="2215"/>
      <c r="K12" s="2273"/>
    </row>
    <row r="13" s="2187" customFormat="1" ht="13.5" customHeight="1" spans="1:11">
      <c r="A13" s="2216" t="s">
        <v>1154</v>
      </c>
      <c r="B13" s="2217" t="s">
        <v>1155</v>
      </c>
      <c r="C13" s="1831">
        <f ca="1">ROUND(IF(C1="",SUMIF('数据-取费表'!C:C,"住宅",'数据-取费表'!P:P)*F13,IF(INDIRECT("'数据-取费表'!c"&amp;$K$1)="住宅",INDIRECT("'数据-取费表'!P"&amp;$K$1)*F13,0)),0)</f>
        <v>0</v>
      </c>
      <c r="D13" s="2222"/>
      <c r="E13" s="1842"/>
      <c r="F13" s="2221">
        <f>'数据-取费表'!B34</f>
        <v>0</v>
      </c>
      <c r="G13" s="2212" t="s">
        <v>1156</v>
      </c>
      <c r="H13" s="2215"/>
      <c r="I13" s="2215"/>
      <c r="J13" s="2215"/>
      <c r="K13" s="2273"/>
    </row>
    <row r="14" s="2188" customFormat="1" ht="13.5" customHeight="1" spans="1:33">
      <c r="A14" s="2216" t="s">
        <v>1157</v>
      </c>
      <c r="B14" s="2217" t="s">
        <v>1158</v>
      </c>
      <c r="C14" s="1831">
        <f ca="1">ROUND(D14*E14*F11/10000,0)</f>
        <v>0</v>
      </c>
      <c r="D14" s="2222">
        <f ca="1">IF(C1="",'数据-汇总表'!E3,INDIRECT("'数据-取费表'!K"&amp;$K$1)+INDIRECT("'数据-取费表'!S"&amp;$K$1))</f>
        <v>2791.88</v>
      </c>
      <c r="E14" s="1831">
        <f>'数据-取费表'!B35</f>
        <v>200</v>
      </c>
      <c r="F14" s="2221"/>
      <c r="G14" s="2212" t="s">
        <v>1159</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1160</v>
      </c>
      <c r="B15" s="2217" t="s">
        <v>1161</v>
      </c>
      <c r="C15" s="2223">
        <f ca="1">ROUND(C11*F15,0)</f>
        <v>0</v>
      </c>
      <c r="D15" s="2224"/>
      <c r="E15" s="2223"/>
      <c r="F15" s="2225">
        <f>'数据-取费表'!B36</f>
        <v>0.015</v>
      </c>
      <c r="G15" s="1838" t="s">
        <v>1162</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846</v>
      </c>
      <c r="B16" s="2217" t="s">
        <v>1163</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850</v>
      </c>
      <c r="B17" s="2217" t="s">
        <v>1164</v>
      </c>
      <c r="C17" s="1831">
        <f ca="1">ROUND(D17*E17/10000,0)</f>
        <v>0</v>
      </c>
      <c r="D17" s="2222">
        <f ca="1">D14</f>
        <v>2791.88</v>
      </c>
      <c r="E17" s="1831">
        <f>'数据-取费表'!B32</f>
        <v>0</v>
      </c>
      <c r="F17" s="2224"/>
      <c r="G17" s="1838" t="s">
        <v>1165</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1166</v>
      </c>
      <c r="B18" s="2217" t="s">
        <v>1167</v>
      </c>
      <c r="C18" s="1831">
        <f ca="1">C19+C20-IF(C1="",'数据-取费表'!B29,IF(G18="已全部缴纳",C19+C20,H18))</f>
        <v>56</v>
      </c>
      <c r="D18" s="2222"/>
      <c r="E18" s="1831"/>
      <c r="F18" s="2221"/>
      <c r="G18" s="2227"/>
      <c r="H18" s="2228"/>
      <c r="I18" s="2274" t="s">
        <v>1168</v>
      </c>
      <c r="J18" s="1955"/>
      <c r="K18" s="1956"/>
    </row>
    <row r="19" s="2187" customFormat="1" ht="13.5" customHeight="1" spans="1:11">
      <c r="A19" s="2216" t="s">
        <v>1046</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1050</v>
      </c>
      <c r="B20" s="2217" t="s">
        <v>1169</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823</v>
      </c>
      <c r="B21" s="2231" t="s">
        <v>1170</v>
      </c>
      <c r="C21" s="2232">
        <f ca="1">C16+C17+C18</f>
        <v>56</v>
      </c>
      <c r="D21" s="2233"/>
      <c r="E21" s="2234"/>
      <c r="F21" s="2234"/>
      <c r="G21" s="1838" t="s">
        <v>1171</v>
      </c>
      <c r="H21" s="1955"/>
      <c r="I21" s="1955"/>
      <c r="J21" s="1955"/>
      <c r="K21" s="1956"/>
    </row>
    <row r="22" s="2187" customFormat="1" ht="13.5" customHeight="1" spans="1:11">
      <c r="A22" s="2205" t="s">
        <v>827</v>
      </c>
      <c r="B22" s="2231" t="s">
        <v>1172</v>
      </c>
      <c r="C22" s="2232">
        <f ca="1">ROUND(C21*F22,0)</f>
        <v>1</v>
      </c>
      <c r="D22" s="2234"/>
      <c r="E22" s="2234"/>
      <c r="F22" s="2235">
        <f>'数据-取费表'!B37</f>
        <v>0.02</v>
      </c>
      <c r="G22" s="2212" t="s">
        <v>1173</v>
      </c>
      <c r="H22" s="2215"/>
      <c r="I22" s="2215"/>
      <c r="J22" s="2215"/>
      <c r="K22" s="2273"/>
    </row>
    <row r="23" s="2187" customFormat="1" ht="13.5" customHeight="1" spans="1:11">
      <c r="A23" s="2205" t="s">
        <v>872</v>
      </c>
      <c r="B23" s="2231" t="s">
        <v>1174</v>
      </c>
      <c r="C23" s="2232">
        <f ca="1">ROUND(C4*F23*F11,0)</f>
        <v>0</v>
      </c>
      <c r="D23" s="2234"/>
      <c r="E23" s="2234"/>
      <c r="F23" s="2235">
        <f>'数据-取费表'!B38</f>
        <v>0.02</v>
      </c>
      <c r="G23" s="2212" t="s">
        <v>1175</v>
      </c>
      <c r="H23" s="2215"/>
      <c r="I23" s="2215"/>
      <c r="J23" s="2215"/>
      <c r="K23" s="2273"/>
    </row>
    <row r="24" s="2187" customFormat="1" ht="13.5" customHeight="1" spans="1:11">
      <c r="A24" s="2205" t="s">
        <v>875</v>
      </c>
      <c r="B24" s="2231" t="s">
        <v>1176</v>
      </c>
      <c r="C24" s="2236">
        <f>ROUND(F24/(1+'数据-取费表'!C42),4)</f>
        <v>0.029</v>
      </c>
      <c r="D24" s="2234" t="s">
        <v>1177</v>
      </c>
      <c r="E24" s="2234"/>
      <c r="F24" s="2235">
        <f>IF(项目基本情况!B8="出让",0,'数据-取费表'!B48+'数据-取费表'!B49)</f>
        <v>0.0305</v>
      </c>
      <c r="G24" s="2212" t="s">
        <v>1178</v>
      </c>
      <c r="H24" s="2237"/>
      <c r="I24" s="2237"/>
      <c r="J24" s="2237"/>
      <c r="K24" s="2276"/>
    </row>
    <row r="25" s="2187" customFormat="1" ht="13.5" customHeight="1" spans="1:11">
      <c r="A25" s="2205" t="s">
        <v>879</v>
      </c>
      <c r="B25" s="2233" t="s">
        <v>1179</v>
      </c>
      <c r="C25" s="2238">
        <f ca="1">C27</f>
        <v>0</v>
      </c>
      <c r="D25" s="2236">
        <f ca="1">C26</f>
        <v>0</v>
      </c>
      <c r="E25" s="2239" t="s">
        <v>1177</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846</v>
      </c>
      <c r="B26" s="2241" t="s">
        <v>1180</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850</v>
      </c>
      <c r="B27" s="2241" t="s">
        <v>1181</v>
      </c>
      <c r="C27" s="2247">
        <f ca="1">ROUND(IF('数据-取费表'!B22&lt;=1,(C21+C22+C23)*F25*'数据-取费表'!B24/2,(C21+C22+C23)*(POWER((1+F25),'数据-取费表'!B24/2)-1)),0)</f>
        <v>0</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880</v>
      </c>
      <c r="B28" s="2248" t="s">
        <v>1182</v>
      </c>
      <c r="C28" s="2249">
        <f ca="1">C30</f>
        <v>9</v>
      </c>
      <c r="D28" s="2236">
        <f ca="1">C29</f>
        <v>0</v>
      </c>
      <c r="E28" s="2239" t="s">
        <v>1177</v>
      </c>
      <c r="F28" s="1097">
        <f ca="1">IF(C1="",'数据-取费表'!Q16,INDIRECT("'数据-取费表'!q"&amp;$K$1))</f>
        <v>0.15</v>
      </c>
      <c r="G28" s="2250"/>
      <c r="H28" s="2237"/>
      <c r="I28" s="2237"/>
      <c r="J28" s="2237"/>
      <c r="K28" s="2276"/>
    </row>
    <row r="29" s="2191" customFormat="1" ht="13.5" customHeight="1" spans="1:11">
      <c r="A29" s="2216" t="s">
        <v>846</v>
      </c>
      <c r="B29" s="2251" t="s">
        <v>1183</v>
      </c>
      <c r="C29" s="2243">
        <f ca="1">ROUND((1+C24)*F28*'数据-取费表'!B24/'数据-取费表'!B20,4)</f>
        <v>0</v>
      </c>
      <c r="D29" s="2243"/>
      <c r="E29" s="2244"/>
      <c r="F29" s="2252"/>
      <c r="G29" s="1838" t="s">
        <v>1184</v>
      </c>
      <c r="H29" s="1955"/>
      <c r="I29" s="1955"/>
      <c r="J29" s="1955"/>
      <c r="K29" s="1956"/>
    </row>
    <row r="30" s="2191" customFormat="1" ht="13.5" customHeight="1" spans="1:11">
      <c r="A30" s="2216" t="s">
        <v>850</v>
      </c>
      <c r="B30" s="2251" t="s">
        <v>1185</v>
      </c>
      <c r="C30" s="2253">
        <f ca="1">ROUND((C21+C22+C23)*F28,0)</f>
        <v>9</v>
      </c>
      <c r="D30" s="2243"/>
      <c r="E30" s="2244"/>
      <c r="F30" s="2252"/>
      <c r="G30" s="1838"/>
      <c r="H30" s="1955"/>
      <c r="I30" s="1955"/>
      <c r="J30" s="1955"/>
      <c r="K30" s="1956"/>
    </row>
    <row r="31" s="2187" customFormat="1" ht="13.5" customHeight="1" spans="1:11">
      <c r="A31" s="2254" t="s">
        <v>1186</v>
      </c>
      <c r="B31" s="2255" t="s">
        <v>1187</v>
      </c>
      <c r="C31" s="2256">
        <f>ROUND(C4*F31/(1+'数据-取费表'!C42),0)</f>
        <v>0</v>
      </c>
      <c r="D31" s="2257"/>
      <c r="E31" s="2258"/>
      <c r="F31" s="2259">
        <f>'数据-取费表'!B41</f>
        <v>0.056</v>
      </c>
      <c r="G31" s="2260" t="s">
        <v>1188</v>
      </c>
      <c r="H31" s="2261"/>
      <c r="I31" s="2261"/>
      <c r="J31" s="2261"/>
      <c r="K31" s="2277"/>
    </row>
    <row r="32" s="2186" customFormat="1" ht="13.5" customHeight="1" spans="1:11">
      <c r="A32" s="2262" t="s">
        <v>1189</v>
      </c>
      <c r="B32" s="2263"/>
      <c r="C32" s="2264">
        <f ca="1">ROUND((C4-C21-C22-C23-C25-C28-C31)/(1+C24+D25+D28),0)</f>
        <v>-64</v>
      </c>
      <c r="D32" s="2263"/>
      <c r="E32" s="2263"/>
      <c r="F32" s="2263"/>
      <c r="G32" s="2265" t="s">
        <v>1190</v>
      </c>
      <c r="H32" s="2263"/>
      <c r="I32" s="2263"/>
      <c r="J32" s="2263"/>
      <c r="K32" s="22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H1" workbookViewId="0">
      <pane ySplit="24" topLeftCell="A25" activePane="bottomLeft" state="frozen"/>
      <selection/>
      <selection pane="bottomLeft" activeCell="U28" sqref="U28"/>
    </sheetView>
  </sheetViews>
  <sheetFormatPr defaultColWidth="9" defaultRowHeight="13.2"/>
  <cols>
    <col min="1" max="1" width="11.4444444444444" style="2062" customWidth="1"/>
    <col min="2" max="2" width="9.22222222222222"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1111111111111" style="2065"/>
    <col min="22" max="45" width="9" style="2065"/>
    <col min="46" max="16384" width="9" style="2062"/>
  </cols>
  <sheetData>
    <row r="1" ht="14.25" customHeight="1" spans="1:20">
      <c r="A1" s="2066"/>
      <c r="B1" s="2067" t="s">
        <v>1191</v>
      </c>
      <c r="C1" s="2068" t="s">
        <v>1192</v>
      </c>
      <c r="D1" s="2069"/>
      <c r="E1" s="2069"/>
      <c r="F1" s="2069"/>
      <c r="G1" s="2069"/>
      <c r="H1" s="2069"/>
      <c r="I1" s="2069"/>
      <c r="J1" s="2069"/>
      <c r="K1" s="2069"/>
      <c r="L1" s="2069"/>
      <c r="M1" s="2069"/>
      <c r="N1" s="2069"/>
      <c r="O1" s="2069"/>
      <c r="P1" s="2069"/>
      <c r="Q1" s="2069"/>
      <c r="R1" s="2069"/>
      <c r="S1" s="2149"/>
      <c r="T1" s="2067" t="s">
        <v>1193</v>
      </c>
    </row>
    <row r="2" s="1761" customFormat="1" ht="39.6" spans="1:45">
      <c r="A2" s="2070"/>
      <c r="B2" s="2071" t="s">
        <v>363</v>
      </c>
      <c r="C2" s="2072" t="str">
        <f t="shared" ref="C2:L2" si="0">C3&amp;"(含)"&amp;"-"&amp;D3</f>
        <v>0(含)-200</v>
      </c>
      <c r="D2" s="2073" t="str">
        <f t="shared" si="0"/>
        <v>200(含)-600</v>
      </c>
      <c r="E2" s="2073" t="str">
        <f t="shared" si="0"/>
        <v>600(含)-1000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600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9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1194</v>
      </c>
      <c r="C5" s="2082" t="s">
        <v>973</v>
      </c>
      <c r="D5" s="2083" t="s">
        <v>982</v>
      </c>
      <c r="E5" s="2083" t="s">
        <v>1021</v>
      </c>
      <c r="F5" s="2084" t="s">
        <v>1022</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9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1195</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9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1196</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9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1197</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9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1198</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9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1199</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9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ht="25.2" spans="1:45">
      <c r="A17" s="2099" t="s">
        <v>1200</v>
      </c>
      <c r="B17" s="2100" t="s">
        <v>1201</v>
      </c>
      <c r="C17" s="2101" t="s">
        <v>1202</v>
      </c>
      <c r="D17" s="2102" t="s">
        <v>1203</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9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1204</v>
      </c>
      <c r="E19" s="2110"/>
      <c r="F19" s="2110"/>
      <c r="G19" s="2110"/>
      <c r="H19" s="1893"/>
      <c r="I19" s="2108"/>
      <c r="J19" s="2108"/>
      <c r="K19" s="2108"/>
      <c r="L19" s="2108"/>
      <c r="M19" s="2108"/>
      <c r="N19" s="2108"/>
      <c r="O19" s="2108"/>
      <c r="P19" s="2108"/>
      <c r="Q19" s="2108"/>
      <c r="R19" s="2175"/>
      <c r="S19" s="2107"/>
    </row>
    <row r="20" ht="16.35" spans="1:19">
      <c r="A20" s="2111" t="s">
        <v>1205</v>
      </c>
      <c r="B20" s="2112">
        <f ca="1">IF(D20="——",S22,S22-F20)</f>
        <v>0.1</v>
      </c>
      <c r="C20" s="2108"/>
      <c r="D20" s="2113" t="s">
        <v>124</v>
      </c>
      <c r="E20" s="2114"/>
      <c r="F20" s="2067" t="e">
        <f ca="1">SUMIF(INDIRECT("'"&amp;H20&amp;"'"&amp;"!A:A"),"承租人权益价值",INDIRECT("'"&amp;H20&amp;"'"&amp;"!c:c"))</f>
        <v>#REF!</v>
      </c>
      <c r="G20" s="2067" t="s">
        <v>731</v>
      </c>
      <c r="H20" s="2115"/>
      <c r="I20" s="2108"/>
      <c r="J20" s="2108"/>
      <c r="K20" s="2108"/>
      <c r="L20" s="2108"/>
      <c r="M20" s="2108"/>
      <c r="N20" s="2108"/>
      <c r="O20" s="2108"/>
      <c r="P20" s="2108"/>
      <c r="Q20" s="2108"/>
      <c r="R20" s="2175"/>
      <c r="S20" s="2107"/>
    </row>
    <row r="21" ht="15.6" spans="1:19">
      <c r="A21" s="2111" t="s">
        <v>1206</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1207</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5.03</v>
      </c>
      <c r="S22" s="1831">
        <f>SUM(S24:S10000)</f>
        <v>0.1</v>
      </c>
    </row>
    <row r="23" s="2060" customFormat="1" ht="24" spans="1:45">
      <c r="A23" s="2116" t="s">
        <v>1208</v>
      </c>
      <c r="B23" s="2116" t="s">
        <v>363</v>
      </c>
      <c r="C23" s="2116" t="s">
        <v>1193</v>
      </c>
      <c r="D23" s="2116" t="str">
        <f>B5</f>
        <v>装修</v>
      </c>
      <c r="E23" s="2116" t="s">
        <v>1193</v>
      </c>
      <c r="F23" s="2116" t="str">
        <f>B7</f>
        <v>修正项3</v>
      </c>
      <c r="G23" s="2116" t="s">
        <v>1193</v>
      </c>
      <c r="H23" s="2116" t="str">
        <f>B9</f>
        <v>修正项4</v>
      </c>
      <c r="I23" s="2116" t="s">
        <v>1193</v>
      </c>
      <c r="J23" s="2116" t="str">
        <f>B11</f>
        <v>修正项5</v>
      </c>
      <c r="K23" s="2116" t="s">
        <v>1193</v>
      </c>
      <c r="L23" s="2116" t="str">
        <f>B13</f>
        <v>修正项6</v>
      </c>
      <c r="M23" s="2116" t="s">
        <v>1193</v>
      </c>
      <c r="N23" s="2116" t="str">
        <f>B15</f>
        <v>修正项7</v>
      </c>
      <c r="O23" s="2116" t="s">
        <v>1193</v>
      </c>
      <c r="P23" s="2116" t="str">
        <f>B17</f>
        <v>楼层</v>
      </c>
      <c r="Q23" s="2116" t="s">
        <v>1193</v>
      </c>
      <c r="R23" s="2178" t="s">
        <v>1209</v>
      </c>
      <c r="S23" s="2116" t="s">
        <v>1210</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1021</v>
      </c>
      <c r="E24" s="2119">
        <v>1</v>
      </c>
      <c r="F24" s="2120"/>
      <c r="G24" s="2119">
        <v>1</v>
      </c>
      <c r="H24" s="2120"/>
      <c r="I24" s="2119">
        <v>1</v>
      </c>
      <c r="J24" s="2120"/>
      <c r="K24" s="2119">
        <v>1</v>
      </c>
      <c r="L24" s="2120"/>
      <c r="M24" s="2119">
        <v>1</v>
      </c>
      <c r="N24" s="2120"/>
      <c r="O24" s="2119">
        <v>1</v>
      </c>
      <c r="P24" s="2120" t="s">
        <v>1211</v>
      </c>
      <c r="Q24" s="2119">
        <v>1</v>
      </c>
      <c r="R24" s="2180">
        <f>'比较法-办公'!C50</f>
        <v>4.98</v>
      </c>
      <c r="S24" s="2181">
        <f>ROUND(R24*B24/10000,2)</f>
        <v>0.05</v>
      </c>
      <c r="T24" s="2065">
        <f>ROUND(R24*0.9,2)</f>
        <v>4.48</v>
      </c>
      <c r="U24" s="2065">
        <f>ROUND(R24*1.1,2)</f>
        <v>5.48</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1212</v>
      </c>
      <c r="B25" s="2122">
        <v>100</v>
      </c>
      <c r="C25" s="1831">
        <f>IF(B25="",1,(LOOKUP(B25,$3:$3,$4:$4)-LOOKUP($B$24,$3:$3,$4:$4)+100)/100)</f>
        <v>1</v>
      </c>
      <c r="D25" s="2123" t="s">
        <v>982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1211</v>
      </c>
      <c r="Q25" s="1831">
        <f>(SUMIF($17:$17,P25,$18:$18)-SUMIF($17:$17,$P$24,$18:$18)+100)/100</f>
        <v>1</v>
      </c>
      <c r="R25" s="2177">
        <f>IF(B25="",0,ROUND($R$24*C25*E25*G25*I25*K25*M25*O25*Q25,2))</f>
        <v>5.08</v>
      </c>
      <c r="S25" s="1806">
        <f>ROUND(R25*B25/10000,2)</f>
        <v>0.05</v>
      </c>
      <c r="T25" s="2065">
        <f>ROUND(R25*0.9,2)</f>
        <v>4.57</v>
      </c>
      <c r="U25" s="2065">
        <f>ROUND(R25*1.1,2)</f>
        <v>5.59</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454</v>
      </c>
      <c r="D1" s="1765" t="s">
        <v>124</v>
      </c>
      <c r="E1" s="1766" t="s">
        <v>1214</v>
      </c>
      <c r="F1" s="1767">
        <f ca="1">J53</f>
        <v>30.59</v>
      </c>
      <c r="G1" s="1768">
        <f>MATCH(C1,'数据-取费表'!A6:A16,0)+5</f>
        <v>6</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f ca="1">C40+J29+L46</f>
        <v>7340</v>
      </c>
      <c r="C2" s="1771" t="s">
        <v>1216</v>
      </c>
      <c r="D2" s="1771"/>
      <c r="E2" s="1773"/>
      <c r="F2" s="1774"/>
      <c r="G2" s="1775"/>
      <c r="H2" s="1776"/>
      <c r="I2" s="1776"/>
      <c r="J2" s="1776"/>
      <c r="K2" s="1942"/>
      <c r="L2" s="1776"/>
      <c r="M2" s="1776"/>
    </row>
    <row r="3" ht="18" customHeight="1" spans="1:13">
      <c r="A3" s="1777" t="s">
        <v>1217</v>
      </c>
      <c r="B3" s="1778">
        <f ca="1">IF(ISERROR(B2*10000/F43),0,ROUND(B2*10000/F43,0))</f>
        <v>26291</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f ca="1">C6+C10+C12</f>
        <v>460</v>
      </c>
      <c r="D5" s="1787" t="s">
        <v>1226</v>
      </c>
      <c r="E5" s="1788"/>
      <c r="F5" s="1789"/>
      <c r="G5" s="688"/>
      <c r="H5" s="1784">
        <v>1</v>
      </c>
      <c r="I5" s="1785" t="s">
        <v>1225</v>
      </c>
      <c r="J5" s="1786">
        <f ca="1">J6+J10+J12</f>
        <v>0</v>
      </c>
      <c r="K5" s="1787" t="s">
        <v>1226</v>
      </c>
      <c r="L5" s="1788"/>
      <c r="M5" s="1789"/>
    </row>
    <row r="6" ht="18" customHeight="1" spans="1:13">
      <c r="A6" s="1790" t="s">
        <v>823</v>
      </c>
      <c r="B6" s="1791" t="s">
        <v>1227</v>
      </c>
      <c r="C6" s="1792">
        <f ca="1">ROUND(F6*F8*F7*(1-F9)/10000,0)</f>
        <v>459</v>
      </c>
      <c r="D6" s="1793" t="s">
        <v>1228</v>
      </c>
      <c r="E6" s="1794" t="s">
        <v>1229</v>
      </c>
      <c r="F6" s="1795">
        <f ca="1">INDIRECT("'数据-取费表'!u"&amp;$G$1)</f>
        <v>5</v>
      </c>
      <c r="G6" s="688"/>
      <c r="H6" s="1790" t="s">
        <v>823</v>
      </c>
      <c r="I6" s="1791" t="s">
        <v>1227</v>
      </c>
      <c r="J6" s="1871">
        <f ca="1">ROUND(M6*M8*M7*(1-M9)/10000,0)</f>
        <v>0</v>
      </c>
      <c r="K6" s="1793" t="s">
        <v>1230</v>
      </c>
      <c r="L6" s="1794" t="s">
        <v>1229</v>
      </c>
      <c r="M6" s="1795">
        <f ca="1">INDIRECT("'数据-取费表'!z"&amp;$G$1)</f>
        <v>0</v>
      </c>
    </row>
    <row r="7" ht="18" customHeight="1" spans="1:13">
      <c r="A7" s="1796"/>
      <c r="B7" s="1797"/>
      <c r="C7" s="1798"/>
      <c r="D7" s="1799"/>
      <c r="E7" s="1800" t="s">
        <v>1231</v>
      </c>
      <c r="F7" s="1795">
        <f ca="1">IF(INDIRECT("'数据-取费表'!ah"&amp;$G$1)="",INDIRECT("'数据-取费表'!k"&amp;$G$1),INDIRECT("'数据-取费表'!ah"&amp;$G$1))</f>
        <v>2791.88</v>
      </c>
      <c r="G7" s="688"/>
      <c r="H7" s="1801"/>
      <c r="I7" s="1797"/>
      <c r="J7" s="1802"/>
      <c r="K7" s="1799"/>
      <c r="L7" s="1794" t="s">
        <v>1231</v>
      </c>
      <c r="M7" s="1795">
        <f ca="1">F7</f>
        <v>2791.88</v>
      </c>
    </row>
    <row r="8" ht="18" customHeight="1" spans="1:13">
      <c r="A8" s="1801"/>
      <c r="B8" s="1797"/>
      <c r="C8" s="1802"/>
      <c r="D8" s="1799"/>
      <c r="E8" s="1794" t="s">
        <v>1232</v>
      </c>
      <c r="F8" s="1795">
        <f ca="1">INDIRECT("'数据-取费表'!ai"&amp;$G$1)</f>
        <v>365</v>
      </c>
      <c r="G8" s="688"/>
      <c r="H8" s="1801"/>
      <c r="I8" s="1797"/>
      <c r="J8" s="1802"/>
      <c r="K8" s="1799"/>
      <c r="L8" s="1794" t="s">
        <v>1232</v>
      </c>
      <c r="M8" s="1795">
        <f ca="1">INDIRECT("'数据-取费表'!ai"&amp;$G$1)</f>
        <v>365</v>
      </c>
    </row>
    <row r="9" ht="18" customHeight="1" spans="1:13">
      <c r="A9" s="1801"/>
      <c r="B9" s="1803"/>
      <c r="C9" s="1802"/>
      <c r="D9" s="1799"/>
      <c r="E9" s="1794" t="s">
        <v>1233</v>
      </c>
      <c r="F9" s="1804">
        <f ca="1">INDIRECT("'数据-取费表'!w"&amp;$G$1)</f>
        <v>0.1</v>
      </c>
      <c r="G9" s="688"/>
      <c r="H9" s="1801"/>
      <c r="I9" s="1803"/>
      <c r="J9" s="1802"/>
      <c r="K9" s="1799"/>
      <c r="L9" s="1808" t="s">
        <v>1233</v>
      </c>
      <c r="M9" s="1813">
        <f ca="1">INDIRECT("'数据-取费表'!ab"&amp;$G$1)</f>
        <v>0</v>
      </c>
    </row>
    <row r="10" ht="18" customHeight="1" spans="1:13">
      <c r="A10" s="1790" t="s">
        <v>827</v>
      </c>
      <c r="B10" s="1805" t="s">
        <v>1234</v>
      </c>
      <c r="C10" s="1806">
        <f ca="1">ROUND(IF(F10="押一",C6/12*F11,IF(F10="押二",C6/12*2*F11,IF(F10="押三",C6/12*3*F11,C11*F11))),0)</f>
        <v>1</v>
      </c>
      <c r="D10" s="1807" t="s">
        <v>1235</v>
      </c>
      <c r="E10" s="1808" t="s">
        <v>1236</v>
      </c>
      <c r="F10" s="1809" t="s">
        <v>1237</v>
      </c>
      <c r="G10" s="688"/>
      <c r="H10" s="1790" t="s">
        <v>827</v>
      </c>
      <c r="I10" s="1805" t="s">
        <v>1234</v>
      </c>
      <c r="J10" s="1871">
        <f ca="1">ROUND(IF(M10="押一",J6/12*M11,IF(M10="押二",J6/12*2*M11,IF(M10="押三",J6/12*3*M11,J11*M11))),0)</f>
        <v>0</v>
      </c>
      <c r="K10" s="1807" t="s">
        <v>1235</v>
      </c>
      <c r="L10" s="1808" t="s">
        <v>1236</v>
      </c>
      <c r="M10" s="1809" t="s">
        <v>1238</v>
      </c>
    </row>
    <row r="11" ht="18" customHeight="1" spans="1:13">
      <c r="A11" s="1810"/>
      <c r="B11" s="1811" t="s">
        <v>1239</v>
      </c>
      <c r="C11" s="1812"/>
      <c r="D11" s="2051"/>
      <c r="E11" s="1808" t="s">
        <v>1240</v>
      </c>
      <c r="F11" s="1813">
        <f ca="1">'数据-取费表'!B39</f>
        <v>0.015</v>
      </c>
      <c r="G11" s="688"/>
      <c r="H11" s="1814"/>
      <c r="I11" s="1811" t="s">
        <v>1239</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f ca="1">ROUND(C29*F13,0)</f>
        <v>1064</v>
      </c>
      <c r="D13" s="1824" t="s">
        <v>1243</v>
      </c>
      <c r="E13" s="1824" t="s">
        <v>1244</v>
      </c>
      <c r="F13" s="1825">
        <f ca="1">INDIRECT("'数据-取费表'!y"&amp;$G$1)</f>
        <v>0.75</v>
      </c>
      <c r="G13" s="688"/>
      <c r="H13" s="1821">
        <v>2</v>
      </c>
      <c r="I13" s="1822" t="s">
        <v>1242</v>
      </c>
      <c r="J13" s="1951">
        <f ca="1">ROUND(J14*J15,0)</f>
        <v>0</v>
      </c>
      <c r="K13" s="1849" t="s">
        <v>1243</v>
      </c>
      <c r="L13" s="1952"/>
      <c r="M13" s="1953"/>
    </row>
    <row r="14" ht="18" customHeight="1" spans="1:13">
      <c r="A14" s="1826" t="s">
        <v>846</v>
      </c>
      <c r="B14" s="1794" t="s">
        <v>1245</v>
      </c>
      <c r="C14" s="1827">
        <f ca="1">INDIRECT("'数据-取费表'!m"&amp;$G$1)+INDIRECT("'数据-取费表'!t"&amp;$G$1)</f>
        <v>977</v>
      </c>
      <c r="D14" s="1828" t="s">
        <v>1246</v>
      </c>
      <c r="E14" s="1829"/>
      <c r="F14" s="1830"/>
      <c r="G14" s="688"/>
      <c r="H14" s="1826" t="s">
        <v>823</v>
      </c>
      <c r="I14" s="1794" t="s">
        <v>1247</v>
      </c>
      <c r="J14" s="1831">
        <f ca="1">C29</f>
        <v>1419</v>
      </c>
      <c r="K14" s="1954"/>
      <c r="L14" s="1955"/>
      <c r="M14" s="1956"/>
    </row>
    <row r="15" s="1760" customFormat="1" ht="18" customHeight="1" spans="1:37">
      <c r="A15" s="1826" t="s">
        <v>850</v>
      </c>
      <c r="B15" s="1794" t="s">
        <v>1152</v>
      </c>
      <c r="C15" s="1831">
        <f ca="1">ROUND(C14*F15,0)</f>
        <v>29</v>
      </c>
      <c r="D15" s="1832" t="s">
        <v>1248</v>
      </c>
      <c r="E15" s="1832" t="s">
        <v>1249</v>
      </c>
      <c r="F15" s="1833">
        <f>'数据-取费表'!B33</f>
        <v>0.03</v>
      </c>
      <c r="G15" s="1834"/>
      <c r="H15" s="1835" t="s">
        <v>827</v>
      </c>
      <c r="I15" s="1819" t="s">
        <v>1244</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f ca="1">ROUND(INDIRECT("'数据-取费表'!m"&amp;$G$1)*F16,0)</f>
        <v>0</v>
      </c>
      <c r="D16" s="1794" t="s">
        <v>1248</v>
      </c>
      <c r="E16" s="1794" t="s">
        <v>1249</v>
      </c>
      <c r="F16" s="1836">
        <f ca="1">IF(INDIRECT("'数据-取费表'!c"&amp;$G$1)="住宅",'数据-取费表'!B34,0)</f>
        <v>0</v>
      </c>
      <c r="G16" s="688"/>
      <c r="H16" s="1821" t="s">
        <v>1250</v>
      </c>
      <c r="I16" s="1822" t="s">
        <v>1251</v>
      </c>
      <c r="J16" s="1823">
        <f ca="1">ROUND(J17+J22+J23+J24,0)</f>
        <v>33</v>
      </c>
      <c r="K16" s="1849" t="s">
        <v>1252</v>
      </c>
      <c r="L16" s="1850"/>
      <c r="M16" s="1789"/>
    </row>
    <row r="17" s="1760" customFormat="1" ht="18" customHeight="1" spans="1:37">
      <c r="A17" s="1826" t="s">
        <v>1253</v>
      </c>
      <c r="B17" s="1794" t="s">
        <v>1254</v>
      </c>
      <c r="C17" s="1831">
        <f ca="1">ROUND(F17*(F43+INDIRECT("'数据-取费表'!S"&amp;$G$1))/10000,0)</f>
        <v>56</v>
      </c>
      <c r="D17" s="1794" t="s">
        <v>1255</v>
      </c>
      <c r="E17" s="1794" t="s">
        <v>1256</v>
      </c>
      <c r="F17" s="1837">
        <f>'数据-取费表'!B35</f>
        <v>200</v>
      </c>
      <c r="G17" s="1834"/>
      <c r="H17" s="1826" t="s">
        <v>823</v>
      </c>
      <c r="I17" s="1794" t="s">
        <v>1257</v>
      </c>
      <c r="J17" s="1852">
        <f ca="1">ROUND(IF(AND(项目基本情况!B11="自然人",项目基本情况!B10="北京市"),J6*M17/(1+'数据-取费表'!C42),J18+J19+J20),0)</f>
        <v>12</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f ca="1">ROUND(C14*F18,0)</f>
        <v>15</v>
      </c>
      <c r="D18" s="1794" t="s">
        <v>1248</v>
      </c>
      <c r="E18" s="1794" t="s">
        <v>1249</v>
      </c>
      <c r="F18" s="1836">
        <f>'数据-取费表'!B36</f>
        <v>0.015</v>
      </c>
      <c r="G18" s="1834"/>
      <c r="H18" s="1826" t="s">
        <v>846</v>
      </c>
      <c r="I18" s="1794" t="s">
        <v>1261</v>
      </c>
      <c r="J18" s="1831">
        <f ca="1">ROUND(J6*M18/(1+'数据-取费表'!C42),2)</f>
        <v>0</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f ca="1">SUM(C14:C18)</f>
        <v>1077</v>
      </c>
      <c r="D19" s="1838" t="s">
        <v>1264</v>
      </c>
      <c r="E19" s="1839"/>
      <c r="F19" s="1837"/>
      <c r="G19" s="688"/>
      <c r="H19" s="1826" t="s">
        <v>850</v>
      </c>
      <c r="I19" s="1794" t="s">
        <v>1265</v>
      </c>
      <c r="J19" s="1831">
        <f ca="1">IF(K19="按租金收入计税",ROUND(J6*M19/(1+'数据-取费表'!C42),2),ROUND(C29*M19*0.7,2))</f>
        <v>11.92</v>
      </c>
      <c r="K19" s="1856" t="s">
        <v>1266</v>
      </c>
      <c r="L19" s="1794" t="s">
        <v>1249</v>
      </c>
      <c r="M19" s="1836">
        <f>IF(K19="按租金收入计税",'数据-取费表'!B51,'数据-取费表'!B50)</f>
        <v>0.012</v>
      </c>
    </row>
    <row r="20" s="1760" customFormat="1" ht="18" customHeight="1" spans="1:37">
      <c r="A20" s="1826" t="s">
        <v>827</v>
      </c>
      <c r="B20" s="1794" t="s">
        <v>1267</v>
      </c>
      <c r="C20" s="1831">
        <f ca="1">ROUND(C19*F20,0)</f>
        <v>22</v>
      </c>
      <c r="D20" s="1840" t="s">
        <v>1268</v>
      </c>
      <c r="E20" s="1794" t="s">
        <v>1249</v>
      </c>
      <c r="F20" s="1836">
        <f>'数据-取费表'!B37</f>
        <v>0.02</v>
      </c>
      <c r="G20" s="1834"/>
      <c r="H20" s="1826" t="s">
        <v>853</v>
      </c>
      <c r="I20" s="1793" t="s">
        <v>1269</v>
      </c>
      <c r="J20" s="1858">
        <f ca="1">ROUND(M20*M21/10000,2)</f>
        <v>0</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f ca="1">ROUND(J14*M22,1)</f>
        <v>21.3</v>
      </c>
      <c r="K22" s="1853" t="s">
        <v>1278</v>
      </c>
      <c r="L22" s="1794" t="s">
        <v>1249</v>
      </c>
      <c r="M22" s="1865">
        <f ca="1">INDIRECT("'数据-取费表'!Ak"&amp;$G$1)</f>
        <v>0.015</v>
      </c>
    </row>
    <row r="23" s="1760" customFormat="1" ht="18" customHeight="1" spans="1:37">
      <c r="A23" s="1826" t="s">
        <v>846</v>
      </c>
      <c r="B23" s="1794" t="s">
        <v>1279</v>
      </c>
      <c r="C23" s="1831">
        <f ca="1">IF('数据-取费表'!B22&lt;=1,ROUND(C19*F24*F23/2,0)+ROUND(C20*F24*F23/2,0),ROUND(C19*(POWER((1+F24),F23/2)-1),0)+ROUND(C20*(POWER((1+F24),F23/2)-1),0))</f>
        <v>46</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f ca="1">ROUND(J13*M23,1)</f>
        <v>0</v>
      </c>
      <c r="K23" s="1853" t="s">
        <v>1282</v>
      </c>
      <c r="L23" s="1794" t="s">
        <v>1249</v>
      </c>
      <c r="M23" s="1866">
        <f ca="1">INDIRECT("'数据-取费表'!Al"&amp;$G$1)</f>
        <v>0.0015</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f ca="1">ROUND(J5*M24,1)</f>
        <v>0</v>
      </c>
      <c r="K24" s="1846" t="s">
        <v>1285</v>
      </c>
      <c r="L24" s="1819" t="s">
        <v>1249</v>
      </c>
      <c r="M24" s="1820">
        <f ca="1">INDIRECT("'数据-取费表'!Am"&amp;$G$1)</f>
        <v>0.015</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879</v>
      </c>
      <c r="B25" s="1794" t="s">
        <v>1286</v>
      </c>
      <c r="C25" s="1831"/>
      <c r="D25" s="1838" t="s">
        <v>1287</v>
      </c>
      <c r="E25" s="1839"/>
      <c r="F25" s="1837"/>
      <c r="G25" s="688"/>
      <c r="H25" s="1821" t="s">
        <v>1288</v>
      </c>
      <c r="I25" s="1867" t="s">
        <v>1289</v>
      </c>
      <c r="J25" s="1823">
        <f ca="1">J5-J16</f>
        <v>-33</v>
      </c>
      <c r="K25" s="1868" t="s">
        <v>1290</v>
      </c>
      <c r="L25" s="1869"/>
      <c r="M25" s="1870"/>
    </row>
    <row r="26" spans="1:13">
      <c r="A26" s="1826" t="s">
        <v>846</v>
      </c>
      <c r="B26" s="1794" t="s">
        <v>1291</v>
      </c>
      <c r="C26" s="1831">
        <f ca="1">ROUND((C19+C20)*F26,0)</f>
        <v>165</v>
      </c>
      <c r="D26" s="1840" t="s">
        <v>1292</v>
      </c>
      <c r="E26" s="1808" t="s">
        <v>1293</v>
      </c>
      <c r="F26" s="1804">
        <f ca="1">INDIRECT("'数据-取费表'!q"&amp;$G$1)</f>
        <v>0.15</v>
      </c>
      <c r="G26" s="688"/>
      <c r="H26" s="1784" t="s">
        <v>1294</v>
      </c>
      <c r="I26" s="1785" t="s">
        <v>1295</v>
      </c>
      <c r="J26" s="1871">
        <f ca="1">IF(J5&lt;&gt;0,ROUND(J25*(1-((1+M28)/(1+M26))^M27)/(M26-M28),0),0)</f>
        <v>0</v>
      </c>
      <c r="K26" s="1859" t="s">
        <v>1296</v>
      </c>
      <c r="L26" s="1794" t="s">
        <v>1297</v>
      </c>
      <c r="M26" s="1804">
        <f ca="1">INDIRECT("'数据-取费表'!I"&amp;$G$1)</f>
        <v>0.055</v>
      </c>
    </row>
    <row r="27" ht="18" customHeight="1" spans="1:13">
      <c r="A27" s="1826" t="s">
        <v>850</v>
      </c>
      <c r="B27" s="1794" t="s">
        <v>1298</v>
      </c>
      <c r="C27" s="1831">
        <f ca="1">ROUND(F21*F26,4)</f>
        <v>0.003</v>
      </c>
      <c r="D27" s="1840" t="s">
        <v>1299</v>
      </c>
      <c r="E27" s="1832"/>
      <c r="F27" s="1833"/>
      <c r="G27" s="688"/>
      <c r="H27" s="1801"/>
      <c r="I27" s="1873"/>
      <c r="J27" s="1802"/>
      <c r="K27" s="1874" t="s">
        <v>1300</v>
      </c>
      <c r="L27" s="1794" t="s">
        <v>1301</v>
      </c>
      <c r="M27" s="1875">
        <f ca="1">INDIRECT("'数据-取费表'!ag"&amp;$G$1)</f>
        <v>0</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f ca="1">ROUND((C19+C20+C23+C26)/(1-F21-C24-C27-C28),0)</f>
        <v>1419</v>
      </c>
      <c r="D29" s="1846"/>
      <c r="E29" s="1819"/>
      <c r="F29" s="1847"/>
      <c r="G29" s="1834"/>
      <c r="H29" s="1848" t="s">
        <v>1306</v>
      </c>
      <c r="I29" s="1878" t="s">
        <v>1307</v>
      </c>
      <c r="J29" s="1879">
        <f ca="1">ROUND(J26/(1+F40)^F41,0)</f>
        <v>0</v>
      </c>
      <c r="K29" s="1880" t="s">
        <v>1308</v>
      </c>
      <c r="L29" s="1881"/>
      <c r="M29" s="1882">
        <f ca="1">INDIRECT("'数据-取费表'!k"&amp;$G$1)</f>
        <v>2791.88</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f ca="1">ROUND(C31+C36+C37+C38,0)</f>
        <v>107</v>
      </c>
      <c r="D30" s="1849" t="s">
        <v>1252</v>
      </c>
      <c r="E30" s="1850"/>
      <c r="F30" s="1789"/>
      <c r="G30" s="688"/>
      <c r="H30" s="1851"/>
      <c r="I30" s="1961"/>
      <c r="J30" s="1962"/>
      <c r="K30" s="1963"/>
      <c r="L30" s="1964"/>
      <c r="M30" s="1965"/>
    </row>
    <row r="31" ht="18" customHeight="1" spans="1:13">
      <c r="A31" s="1826" t="s">
        <v>823</v>
      </c>
      <c r="B31" s="1794" t="s">
        <v>1257</v>
      </c>
      <c r="C31" s="1852">
        <f ca="1">ROUND(IF(AND(项目基本情况!B11="自然人",项目基本情况!B10="北京市"),C6*F31/(1+'数据-取费表'!C42),C32+C33+C34),0)</f>
        <v>77</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f ca="1">IF(项目基本情况!B11="自然人","——",ROUND(C6*F32/(1+'数据-取费表'!C42),2))</f>
        <v>24.48</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f ca="1">IF(项目基本情况!B11="自然人","——",IF(D33="按租金收入计税",ROUND(C6*F33/(1+'数据-取费表'!C42),2),IF(D33="按房产原值计税",ROUND(C29*F33*0.7,2),INDIRECT("'数据-取费表'!Aj"&amp;$G$1))))</f>
        <v>52.46</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f ca="1">IF(项目基本情况!B11="自然人","——",ROUND(F34*F35/10000,2))</f>
        <v>0</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f ca="1">INDIRECT("'数据-取费表'!r"&amp;$G$1)</f>
        <v>0</v>
      </c>
      <c r="G35" s="688"/>
      <c r="H35" s="1851"/>
      <c r="I35" s="1961"/>
      <c r="J35" s="1962"/>
      <c r="K35" s="1966"/>
      <c r="L35" s="1857"/>
      <c r="M35" s="1857"/>
    </row>
    <row r="36" ht="18" customHeight="1" spans="1:13">
      <c r="A36" s="1864" t="s">
        <v>827</v>
      </c>
      <c r="B36" s="1794" t="s">
        <v>1277</v>
      </c>
      <c r="C36" s="1831">
        <f ca="1">ROUND(C29*F36,1)</f>
        <v>21.3</v>
      </c>
      <c r="D36" s="1853" t="s">
        <v>1311</v>
      </c>
      <c r="E36" s="1794" t="s">
        <v>1249</v>
      </c>
      <c r="F36" s="1865">
        <f ca="1">INDIRECT("'数据-取费表'!Ak"&amp;$G$1)</f>
        <v>0.015</v>
      </c>
      <c r="G36" s="688"/>
      <c r="H36" s="1857"/>
      <c r="I36" s="1961"/>
      <c r="J36" s="1962"/>
      <c r="K36" s="1969"/>
      <c r="L36" s="1857"/>
      <c r="M36" s="1857"/>
    </row>
    <row r="37" ht="18" customHeight="1" spans="1:13">
      <c r="A37" s="1826" t="s">
        <v>872</v>
      </c>
      <c r="B37" s="1794" t="s">
        <v>1281</v>
      </c>
      <c r="C37" s="1831">
        <f ca="1">ROUND(C13*F37,1)</f>
        <v>1.6</v>
      </c>
      <c r="D37" s="1853" t="s">
        <v>1282</v>
      </c>
      <c r="E37" s="1794" t="s">
        <v>1249</v>
      </c>
      <c r="F37" s="1866">
        <f ca="1">INDIRECT("'数据-取费表'!Al"&amp;$G$1)</f>
        <v>0.0015</v>
      </c>
      <c r="G37" s="688"/>
      <c r="H37" s="1857"/>
      <c r="I37" s="1961"/>
      <c r="J37" s="1962"/>
      <c r="K37" s="1969"/>
      <c r="L37" s="1857"/>
      <c r="M37" s="1857"/>
    </row>
    <row r="38" ht="18" customHeight="1" spans="1:13">
      <c r="A38" s="1835" t="s">
        <v>875</v>
      </c>
      <c r="B38" s="1819" t="s">
        <v>1267</v>
      </c>
      <c r="C38" s="1845">
        <f ca="1">ROUND(C5*F38,1)</f>
        <v>6.9</v>
      </c>
      <c r="D38" s="1846" t="s">
        <v>1285</v>
      </c>
      <c r="E38" s="1819" t="s">
        <v>1249</v>
      </c>
      <c r="F38" s="1820">
        <f ca="1">INDIRECT("'数据-取费表'!Am"&amp;$G$1)</f>
        <v>0.015</v>
      </c>
      <c r="G38" s="688"/>
      <c r="H38" s="1857"/>
      <c r="I38" s="1961"/>
      <c r="J38" s="1962"/>
      <c r="K38" s="1970"/>
      <c r="L38" s="1857"/>
      <c r="M38" s="1857"/>
    </row>
    <row r="39" ht="24.6" customHeight="1" spans="1:13">
      <c r="A39" s="1821" t="s">
        <v>1288</v>
      </c>
      <c r="B39" s="1867" t="s">
        <v>1289</v>
      </c>
      <c r="C39" s="1823">
        <f ca="1">C5-C30</f>
        <v>353</v>
      </c>
      <c r="D39" s="1868" t="s">
        <v>1290</v>
      </c>
      <c r="E39" s="1869"/>
      <c r="F39" s="1870"/>
      <c r="G39" s="688"/>
      <c r="H39" s="1857"/>
      <c r="I39" s="1961"/>
      <c r="J39" s="1962"/>
      <c r="K39" s="1970"/>
      <c r="L39" s="1857"/>
      <c r="M39" s="1857"/>
    </row>
    <row r="40" ht="18" customHeight="1" spans="1:13">
      <c r="A40" s="1784" t="s">
        <v>1294</v>
      </c>
      <c r="B40" s="1785" t="s">
        <v>1312</v>
      </c>
      <c r="C40" s="1871">
        <f ca="1">ROUND(C39*(1-((1+F42)/(1+F40))^F41)/(F40-F42),0)</f>
        <v>7340</v>
      </c>
      <c r="D40" s="1859" t="s">
        <v>1296</v>
      </c>
      <c r="E40" s="1794" t="s">
        <v>1297</v>
      </c>
      <c r="F40" s="1804">
        <f ca="1">INDIRECT("'数据-取费表'!I"&amp;$G$1)</f>
        <v>0.055</v>
      </c>
      <c r="G40" s="688"/>
      <c r="H40" s="1872"/>
      <c r="I40" s="1961"/>
      <c r="J40" s="1962"/>
      <c r="K40" s="1970"/>
      <c r="L40" s="1872"/>
      <c r="M40" s="1872"/>
    </row>
    <row r="41" ht="18" customHeight="1" spans="1:13">
      <c r="A41" s="1801"/>
      <c r="B41" s="1873"/>
      <c r="C41" s="1802"/>
      <c r="D41" s="1874" t="s">
        <v>1300</v>
      </c>
      <c r="E41" s="1794" t="s">
        <v>1301</v>
      </c>
      <c r="F41" s="1875">
        <f ca="1">IF(INDIRECT("'数据-取费表'!af"&amp;$G$1)=0,INDIRECT("'数据-取费表'!ae"&amp;$G$1),INDIRECT("'数据-取费表'!af"&amp;$G$1))</f>
        <v>30.59</v>
      </c>
      <c r="G41" s="688"/>
      <c r="H41" s="1876"/>
      <c r="I41" s="1961"/>
      <c r="J41" s="1962"/>
      <c r="K41" s="1969"/>
      <c r="L41" s="1876"/>
      <c r="M41" s="1876"/>
    </row>
    <row r="42" ht="18" customHeight="1" spans="1:13">
      <c r="A42" s="1810"/>
      <c r="B42" s="1877"/>
      <c r="C42" s="1823"/>
      <c r="D42" s="1863"/>
      <c r="E42" s="1794" t="s">
        <v>1304</v>
      </c>
      <c r="F42" s="1804">
        <f ca="1">INDIRECT("'数据-取费表'!v"&amp;$G$1)</f>
        <v>0.03</v>
      </c>
      <c r="G42" s="688"/>
      <c r="H42" s="1876"/>
      <c r="I42" s="1961"/>
      <c r="J42" s="1962"/>
      <c r="K42" s="1969"/>
      <c r="L42" s="1876"/>
      <c r="M42" s="1876"/>
    </row>
    <row r="43" ht="18" customHeight="1" spans="1:13">
      <c r="A43" s="1848" t="s">
        <v>1306</v>
      </c>
      <c r="B43" s="1878" t="s">
        <v>1313</v>
      </c>
      <c r="C43" s="1879">
        <f ca="1">ROUND(C40*10000/F43,0)</f>
        <v>26291</v>
      </c>
      <c r="D43" s="1880" t="s">
        <v>1314</v>
      </c>
      <c r="E43" s="1881" t="s">
        <v>1315</v>
      </c>
      <c r="F43" s="1882">
        <f ca="1">INDIRECT("'数据-取费表'!k"&amp;$G$1)</f>
        <v>2791.88</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1316</v>
      </c>
      <c r="P45" s="1872"/>
      <c r="Q45" s="1872"/>
      <c r="R45" s="1872"/>
    </row>
    <row r="46" s="688" customFormat="1" ht="13.95" spans="1:18">
      <c r="A46" s="1887" t="s">
        <v>1317</v>
      </c>
      <c r="C46" s="1888">
        <f ca="1">C68-C40</f>
        <v>-9420</v>
      </c>
      <c r="D46" s="1889" t="str">
        <f>C2</f>
        <v>万元</v>
      </c>
      <c r="E46" s="1883"/>
      <c r="F46" s="1883"/>
      <c r="I46" s="1973" t="s">
        <v>1318</v>
      </c>
      <c r="J46" s="1974"/>
      <c r="K46" s="1975"/>
      <c r="L46" s="1976" t="str">
        <f ca="1">IF(M47="住宅",0,IF(L48&gt;J51,L60,J60))</f>
        <v>0</v>
      </c>
      <c r="O46" s="1977" t="s">
        <v>1319</v>
      </c>
      <c r="P46" s="1978" t="s">
        <v>1320</v>
      </c>
      <c r="Q46" s="2024" t="s">
        <v>1321</v>
      </c>
      <c r="R46" s="2024" t="s">
        <v>1322</v>
      </c>
    </row>
    <row r="47" s="688" customFormat="1" ht="13.95" spans="1:18">
      <c r="A47" s="1890" t="s">
        <v>1220</v>
      </c>
      <c r="B47" s="1891" t="s">
        <v>1221</v>
      </c>
      <c r="C47" s="2052" t="s">
        <v>1222</v>
      </c>
      <c r="D47" s="1891" t="s">
        <v>1223</v>
      </c>
      <c r="E47" s="1892" t="s">
        <v>1224</v>
      </c>
      <c r="F47" s="1893"/>
      <c r="G47" s="1894"/>
      <c r="I47" s="1979" t="s">
        <v>1323</v>
      </c>
      <c r="J47" s="1980" t="s">
        <v>1324</v>
      </c>
      <c r="K47" s="1981" t="s">
        <v>1325</v>
      </c>
      <c r="L47" s="1982">
        <f ca="1">INDIRECT("'数据-取费表'!d"&amp;$G$1)</f>
        <v>50</v>
      </c>
      <c r="M47" s="1983" t="str">
        <f>IF(ISNUMBER(FIND("住宅",C1)),"住宅","非住宅")</f>
        <v>非住宅</v>
      </c>
      <c r="O47" s="1984" t="s">
        <v>1046</v>
      </c>
      <c r="P47" s="1985" t="s">
        <v>1326</v>
      </c>
      <c r="Q47" s="2025">
        <f ca="1">C40+J29</f>
        <v>7340</v>
      </c>
      <c r="R47" s="2025" t="s">
        <v>1327</v>
      </c>
    </row>
    <row r="48" s="688" customFormat="1" ht="41.55" spans="1:18">
      <c r="A48" s="1895" t="s">
        <v>1328</v>
      </c>
      <c r="B48" s="1785" t="s">
        <v>1225</v>
      </c>
      <c r="C48" s="1896">
        <f ca="1">C49+C53+C55</f>
        <v>0</v>
      </c>
      <c r="D48" s="1897"/>
      <c r="E48" s="1898"/>
      <c r="F48" s="1899"/>
      <c r="G48" s="1894"/>
      <c r="H48" s="1900"/>
      <c r="I48" s="750" t="s">
        <v>1329</v>
      </c>
      <c r="J48" s="1986" t="s">
        <v>1330</v>
      </c>
      <c r="K48" s="1987" t="s">
        <v>1331</v>
      </c>
      <c r="L48" s="1988">
        <f ca="1">INDIRECT("'数据-取费表'!f"&amp;$G$1)</f>
        <v>30.59</v>
      </c>
      <c r="O48" s="1984" t="s">
        <v>1050</v>
      </c>
      <c r="P48" s="1985" t="s">
        <v>1332</v>
      </c>
      <c r="Q48" s="2025" t="str">
        <f ca="1">J60</f>
        <v>0</v>
      </c>
      <c r="R48" s="2025" t="s">
        <v>1333</v>
      </c>
    </row>
    <row r="49" s="688" customFormat="1" ht="13.95" spans="1:18">
      <c r="A49" s="1901" t="s">
        <v>1334</v>
      </c>
      <c r="B49" s="1902" t="s">
        <v>1335</v>
      </c>
      <c r="C49" s="1903">
        <f ca="1">ROUND(F49*F51*F50*(1-F52)/10000,0)</f>
        <v>0</v>
      </c>
      <c r="D49" s="1904" t="s">
        <v>1230</v>
      </c>
      <c r="E49" s="1905" t="s">
        <v>1336</v>
      </c>
      <c r="F49" s="1906"/>
      <c r="G49" s="1907"/>
      <c r="H49" s="1900"/>
      <c r="I49" s="750" t="s">
        <v>1337</v>
      </c>
      <c r="J49" s="1989"/>
      <c r="K49" s="1987" t="s">
        <v>1338</v>
      </c>
      <c r="L49" s="1990"/>
      <c r="O49" s="1991" t="s">
        <v>1339</v>
      </c>
      <c r="P49" s="1985" t="s">
        <v>1340</v>
      </c>
      <c r="Q49" s="2025">
        <f ca="1">C29</f>
        <v>1419</v>
      </c>
      <c r="R49" s="2025" t="s">
        <v>1327</v>
      </c>
    </row>
    <row r="50" s="688" customFormat="1" ht="13.95" spans="1:18">
      <c r="A50" s="1908"/>
      <c r="B50" s="1909"/>
      <c r="C50" s="2053"/>
      <c r="D50" s="1911"/>
      <c r="E50" s="1912" t="s">
        <v>1231</v>
      </c>
      <c r="F50" s="1913">
        <f ca="1">F7</f>
        <v>2791.88</v>
      </c>
      <c r="H50" s="1900"/>
      <c r="I50" s="750" t="s">
        <v>1341</v>
      </c>
      <c r="J50" s="1992">
        <f>SUMPRODUCT((I63:I65=J47)*(J62:L62=J48)*(J63:L65))</f>
        <v>50</v>
      </c>
      <c r="K50" s="1987" t="s">
        <v>1342</v>
      </c>
      <c r="L50" s="1990"/>
      <c r="M50" s="1993"/>
      <c r="O50" s="1991" t="s">
        <v>1343</v>
      </c>
      <c r="P50" s="1985" t="s">
        <v>1344</v>
      </c>
      <c r="Q50" s="2026" t="e">
        <f ca="1">J58</f>
        <v>#VALUE!</v>
      </c>
      <c r="R50" s="2025"/>
    </row>
    <row r="51" s="688" customFormat="1" ht="13.95" spans="1:18">
      <c r="A51" s="1914"/>
      <c r="B51" s="1909"/>
      <c r="C51" s="1910"/>
      <c r="D51" s="1911"/>
      <c r="E51" s="1915" t="s">
        <v>1232</v>
      </c>
      <c r="F51" s="1795">
        <f ca="1">F8</f>
        <v>365</v>
      </c>
      <c r="I51" s="1994" t="s">
        <v>1345</v>
      </c>
      <c r="J51" s="1995">
        <f>IF(J49="",J50,J49+J50-YEAR('数据-取费表'!B2))</f>
        <v>50</v>
      </c>
      <c r="K51" s="1996" t="s">
        <v>1346</v>
      </c>
      <c r="L51" s="1997">
        <f ca="1">ROUND(-PV(INDIRECT("'数据-取费表'!h"&amp;$G$1),J51,(C39-C13*C76),0),0)</f>
        <v>4988</v>
      </c>
      <c r="M51" s="1998"/>
      <c r="O51" s="1991" t="s">
        <v>1347</v>
      </c>
      <c r="P51" s="1985" t="s">
        <v>1348</v>
      </c>
      <c r="Q51" s="2026">
        <f>J52</f>
        <v>0.08</v>
      </c>
      <c r="R51" s="2025"/>
    </row>
    <row r="52" s="688" customFormat="1" ht="13.95" spans="1:18">
      <c r="A52" s="1914"/>
      <c r="B52" s="1909"/>
      <c r="C52" s="1910"/>
      <c r="D52" s="1911"/>
      <c r="E52" s="1915" t="s">
        <v>1233</v>
      </c>
      <c r="F52" s="1916"/>
      <c r="I52" s="1999" t="s">
        <v>1349</v>
      </c>
      <c r="J52" s="2000">
        <f>'数据-取费表'!J6+0.5%</f>
        <v>0.08</v>
      </c>
      <c r="K52" s="1999" t="s">
        <v>1350</v>
      </c>
      <c r="L52" s="2000"/>
      <c r="O52" s="1991" t="s">
        <v>1351</v>
      </c>
      <c r="P52" s="1985" t="s">
        <v>1352</v>
      </c>
      <c r="Q52" s="2025">
        <f ca="1">J53</f>
        <v>30.59</v>
      </c>
      <c r="R52" s="2025" t="s">
        <v>1353</v>
      </c>
    </row>
    <row r="53" s="688" customFormat="1" ht="36.75" spans="1:18">
      <c r="A53" s="2054" t="s">
        <v>1354</v>
      </c>
      <c r="B53" s="2055" t="s">
        <v>1234</v>
      </c>
      <c r="C53" s="1806">
        <f ca="1">ROUND(IF(F53="押一",C49/12*F11,IF(F53="押二",C49/12*2*F11,IF(F53="押三",C49/12*3*F11,C54*F11))),0)</f>
        <v>0</v>
      </c>
      <c r="D53" s="1807" t="s">
        <v>1235</v>
      </c>
      <c r="E53" s="1808" t="s">
        <v>1236</v>
      </c>
      <c r="F53" s="1809"/>
      <c r="I53" s="2001" t="s">
        <v>1355</v>
      </c>
      <c r="J53" s="2002">
        <f ca="1">IF(M47="住宅",IF(D1="——",MAX(J51,L48),MAX(J51,L48-'数据-取费表'!B24)),IF(D1="——",MIN(J51,L48),MIN(J51,L48-'数据-取费表'!B24)))</f>
        <v>30.59</v>
      </c>
      <c r="K53" s="2003" t="s">
        <v>1356</v>
      </c>
      <c r="L53" s="2004"/>
      <c r="O53" s="1984" t="s">
        <v>1154</v>
      </c>
      <c r="P53" s="1985" t="s">
        <v>1357</v>
      </c>
      <c r="Q53" s="2025">
        <f ca="1">Q47+Q48</f>
        <v>7340</v>
      </c>
      <c r="R53" s="2025" t="s">
        <v>1358</v>
      </c>
    </row>
    <row r="54" s="688" customFormat="1" ht="24.75" spans="1:18">
      <c r="A54" s="2056"/>
      <c r="B54" s="1811" t="s">
        <v>1239</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6"/>
      <c r="K54" s="2006"/>
      <c r="L54" s="2006"/>
      <c r="M54" s="1907"/>
      <c r="O54" s="1972" t="s">
        <v>1359</v>
      </c>
      <c r="P54" s="2007"/>
      <c r="Q54" s="2007"/>
      <c r="R54" s="2007"/>
    </row>
    <row r="55" s="688" customFormat="1" ht="13.95" spans="1:18">
      <c r="A55" s="1815" t="s">
        <v>872</v>
      </c>
      <c r="B55" s="1816" t="s">
        <v>1241</v>
      </c>
      <c r="C55" s="1817"/>
      <c r="D55" s="1807"/>
      <c r="E55" s="1919"/>
      <c r="F55" s="1920"/>
      <c r="I55" s="2008" t="s">
        <v>1360</v>
      </c>
      <c r="J55" s="2009" t="e">
        <f ca="1">ROUND(IF(J47="钢混",J57/J50,1-(1-2%)*(J50-J57)/J50),3)</f>
        <v>#VALUE!</v>
      </c>
      <c r="K55" s="2010" t="s">
        <v>1361</v>
      </c>
      <c r="L55" s="2011" t="s">
        <v>1362</v>
      </c>
      <c r="O55" s="1977" t="s">
        <v>1319</v>
      </c>
      <c r="P55" s="1978" t="s">
        <v>1320</v>
      </c>
      <c r="Q55" s="2024" t="s">
        <v>1321</v>
      </c>
      <c r="R55" s="2024" t="s">
        <v>1322</v>
      </c>
    </row>
    <row r="56" s="688" customFormat="1" ht="37.5" spans="1:18">
      <c r="A56" s="1921">
        <v>2</v>
      </c>
      <c r="B56" s="1922" t="s">
        <v>1242</v>
      </c>
      <c r="C56" s="192">
        <f ca="1">C13</f>
        <v>1064</v>
      </c>
      <c r="D56" s="1923"/>
      <c r="E56" s="1924"/>
      <c r="F56" s="1920"/>
      <c r="I56" s="2012" t="s">
        <v>1363</v>
      </c>
      <c r="J56" s="2013" t="s">
        <v>463</v>
      </c>
      <c r="K56" s="750" t="s">
        <v>1364</v>
      </c>
      <c r="L56" s="1988" t="str">
        <f ca="1">IF(L48&lt;J51,"——",L48-J53)</f>
        <v>——</v>
      </c>
      <c r="O56" s="1984" t="s">
        <v>1046</v>
      </c>
      <c r="P56" s="1985" t="s">
        <v>1326</v>
      </c>
      <c r="Q56" s="2025">
        <f ca="1">C40+J29</f>
        <v>7340</v>
      </c>
      <c r="R56" s="2025" t="s">
        <v>1327</v>
      </c>
    </row>
    <row r="57" s="688" customFormat="1" ht="24.75" spans="1:18">
      <c r="A57" s="1925"/>
      <c r="B57" s="1926" t="s">
        <v>1305</v>
      </c>
      <c r="C57" s="202">
        <f ca="1">C29</f>
        <v>1419</v>
      </c>
      <c r="D57" s="1927"/>
      <c r="E57" s="1928"/>
      <c r="F57" s="1929"/>
      <c r="I57" s="2014" t="s">
        <v>1365</v>
      </c>
      <c r="J57" s="2015" t="str">
        <f ca="1">IF(OR(M47="住宅",J51&lt;L48,J56="是"),"——",J51-L48)</f>
        <v>——</v>
      </c>
      <c r="K57" s="750" t="s">
        <v>1366</v>
      </c>
      <c r="L57" s="1988" t="str">
        <f ca="1">IF(L48&lt;J51,"——",IF(L55="比较法",L49,IF(L55="基准地价",L50,L51)))</f>
        <v>——</v>
      </c>
      <c r="O57" s="1984" t="s">
        <v>1050</v>
      </c>
      <c r="P57" s="1985" t="s">
        <v>1367</v>
      </c>
      <c r="Q57" s="2025">
        <f ca="1">L60</f>
        <v>0</v>
      </c>
      <c r="R57" s="2025" t="s">
        <v>1368</v>
      </c>
    </row>
    <row r="58" s="688" customFormat="1" ht="24.75" spans="1:18">
      <c r="A58" s="1930" t="s">
        <v>1250</v>
      </c>
      <c r="B58" s="1922" t="s">
        <v>1251</v>
      </c>
      <c r="C58" s="1806">
        <f ca="1">ROUND(C59+C64+C65+C66,0)</f>
        <v>142</v>
      </c>
      <c r="D58" s="1931" t="s">
        <v>1252</v>
      </c>
      <c r="E58" s="1932"/>
      <c r="F58" s="1899"/>
      <c r="I58" s="2014" t="s">
        <v>1369</v>
      </c>
      <c r="J58" s="2016" t="e">
        <f ca="1">IF(J55&lt;0.4,0.4,J55)</f>
        <v>#VALUE!</v>
      </c>
      <c r="K58" s="1996" t="s">
        <v>1370</v>
      </c>
      <c r="L58" s="1988" t="e">
        <f ca="1">ROUND(POWER(1+L52,L47-L48)*(POWER(1+L52,L48)-1)/(POWER(1+L52,L47)-1),4)</f>
        <v>#DIV/0!</v>
      </c>
      <c r="O58" s="1991" t="s">
        <v>1339</v>
      </c>
      <c r="P58" s="1985" t="s">
        <v>1371</v>
      </c>
      <c r="Q58" s="2025">
        <f>IF(L55="比较法",L49,IF(L55="基准地价",L50,0))</f>
        <v>0</v>
      </c>
      <c r="R58" s="2025" t="s">
        <v>1327</v>
      </c>
    </row>
    <row r="59" s="688" customFormat="1" ht="24.75" spans="1:18">
      <c r="A59" s="1826" t="s">
        <v>823</v>
      </c>
      <c r="B59" s="1926" t="s">
        <v>1257</v>
      </c>
      <c r="C59" s="1852">
        <f ca="1">ROUND(IF(AND(项目基本情况!B11="自然人",项目基本情况!B10="北京市"),C49*F59/(1+'数据-取费表'!C42),C60+C61+C62),0)</f>
        <v>119</v>
      </c>
      <c r="D59" s="1933" t="s">
        <v>1258</v>
      </c>
      <c r="E59" s="1934" t="s">
        <v>1259</v>
      </c>
      <c r="F59" s="1854" t="str">
        <f ca="1">IF(项目基本情况!B11="企业","——",IF('数据-取费表'!B10="住宅",IF(F49*F50*F51/12/(1+'数据-取费表'!F30)&gt;100000,4%,2.5%),IF(F49*F50*F51/12/(1+'数据-取费表'!F30)&gt;100000,12%,7%)))</f>
        <v>——</v>
      </c>
      <c r="I59" s="2014" t="s">
        <v>1372</v>
      </c>
      <c r="J59" s="2015" t="str">
        <f ca="1">IF(OR(M47="住宅",J51&lt;L48,J56="是"),"——",ROUND(C29*J58,0))</f>
        <v>——</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1343</v>
      </c>
      <c r="P59" s="1985" t="s">
        <v>1373</v>
      </c>
      <c r="Q59" s="2026">
        <f>L52</f>
        <v>0</v>
      </c>
      <c r="R59" s="2025"/>
    </row>
    <row r="60" s="688" customFormat="1" ht="17.55" spans="1:18">
      <c r="A60" s="1826" t="s">
        <v>846</v>
      </c>
      <c r="B60" s="1926" t="s">
        <v>1261</v>
      </c>
      <c r="C60" s="1831">
        <f ca="1">IF(项目基本情况!B11="自然人","——",ROUND(C48*F60/(1+'数据-取费表'!C42),2))</f>
        <v>0</v>
      </c>
      <c r="D60" s="1934" t="s">
        <v>1262</v>
      </c>
      <c r="E60" s="1926" t="s">
        <v>1249</v>
      </c>
      <c r="F60" s="1844">
        <f t="shared" ref="F60:F66" si="0">F32</f>
        <v>0.056</v>
      </c>
      <c r="I60" s="2017" t="s">
        <v>1374</v>
      </c>
      <c r="J60" s="2018" t="str">
        <f ca="1">IF(OR(M47="住宅",J51&lt;L48,J56="是"),"0",ROUND(J59/(1+J52)^J53,0))</f>
        <v>0</v>
      </c>
      <c r="K60" s="2019" t="s">
        <v>1375</v>
      </c>
      <c r="L60" s="2018">
        <f ca="1">IF(OR(M47="住宅",L48&lt;J51),0,ROUND(L57*(L58/L59-1),0))</f>
        <v>0</v>
      </c>
      <c r="O60" s="1991" t="s">
        <v>1347</v>
      </c>
      <c r="P60" s="1985" t="s">
        <v>1376</v>
      </c>
      <c r="Q60" s="2025" t="e">
        <f ca="1">L58</f>
        <v>#DIV/0!</v>
      </c>
      <c r="R60" s="2025" t="s">
        <v>1377</v>
      </c>
    </row>
    <row r="61" s="688" customFormat="1" ht="13.95" spans="1:18">
      <c r="A61" s="1826" t="s">
        <v>850</v>
      </c>
      <c r="B61" s="1926" t="s">
        <v>1265</v>
      </c>
      <c r="C61" s="1831">
        <f ca="1">IF(项目基本情况!B11="自然人","——",IF(D61="按租金收入计税",ROUND(C49*F61/(1+'数据-取费表'!C42),2),IF(D61="按房产原值计税",ROUND(C57*F61*0.7,2),INDIRECT("'数据-取费表'!Aj"&amp;$G$1))))</f>
        <v>119.2</v>
      </c>
      <c r="D61" s="1856" t="s">
        <v>1266</v>
      </c>
      <c r="E61" s="1926" t="s">
        <v>1249</v>
      </c>
      <c r="F61" s="1836">
        <f t="shared" si="0"/>
        <v>0.12</v>
      </c>
      <c r="I61" s="1872"/>
      <c r="J61" s="1872"/>
      <c r="K61" s="1872"/>
      <c r="L61" s="1872"/>
      <c r="O61" s="1991" t="s">
        <v>1351</v>
      </c>
      <c r="P61" s="1985" t="str">
        <f>K59</f>
        <v>建筑物剩余耐用年限下的土地年期修正系数Kn</v>
      </c>
      <c r="Q61" s="2025" t="e">
        <f ca="1">L59</f>
        <v>#DIV/0!</v>
      </c>
      <c r="R61" s="2025" t="s">
        <v>1378</v>
      </c>
    </row>
    <row r="62" s="688" customFormat="1" ht="13.95" spans="1:18">
      <c r="A62" s="1826" t="s">
        <v>853</v>
      </c>
      <c r="B62" s="1935" t="s">
        <v>1269</v>
      </c>
      <c r="C62" s="1858">
        <f ca="1">IF(项目基本情况!B11="自然人","——",ROUND(F62*F63/10000,2))</f>
        <v>0</v>
      </c>
      <c r="D62" s="1936" t="s">
        <v>1270</v>
      </c>
      <c r="E62" s="1926" t="s">
        <v>1271</v>
      </c>
      <c r="F62" s="1843">
        <f t="shared" si="0"/>
        <v>30</v>
      </c>
      <c r="I62" s="2020" t="s">
        <v>1379</v>
      </c>
      <c r="J62" s="2021" t="s">
        <v>1380</v>
      </c>
      <c r="K62" s="2021" t="s">
        <v>1381</v>
      </c>
      <c r="L62" s="2021" t="s">
        <v>1382</v>
      </c>
      <c r="M62" s="2022" t="s">
        <v>1383</v>
      </c>
      <c r="O62" s="1984" t="s">
        <v>1154</v>
      </c>
      <c r="P62" s="1985" t="s">
        <v>1357</v>
      </c>
      <c r="Q62" s="2025">
        <f ca="1">Q56+Q57</f>
        <v>7340</v>
      </c>
      <c r="R62" s="2025" t="s">
        <v>1358</v>
      </c>
    </row>
    <row r="63" s="688" customFormat="1" ht="13.95" spans="1:18">
      <c r="A63" s="1841"/>
      <c r="B63" s="1937"/>
      <c r="C63" s="1862"/>
      <c r="D63" s="1938"/>
      <c r="E63" s="1926" t="s">
        <v>1275</v>
      </c>
      <c r="F63" s="1795">
        <f ca="1" t="shared" si="0"/>
        <v>0</v>
      </c>
      <c r="I63" s="2020" t="s">
        <v>1384</v>
      </c>
      <c r="J63" s="2021">
        <v>70</v>
      </c>
      <c r="K63" s="2021">
        <v>50</v>
      </c>
      <c r="L63" s="2021">
        <v>80</v>
      </c>
      <c r="M63" s="2023">
        <v>0.02</v>
      </c>
      <c r="O63" s="1972" t="s">
        <v>1385</v>
      </c>
      <c r="P63" s="2007"/>
      <c r="Q63" s="2007"/>
      <c r="R63" s="2007"/>
    </row>
    <row r="64" s="688" customFormat="1" ht="13.95" spans="1:18">
      <c r="A64" s="1826" t="s">
        <v>827</v>
      </c>
      <c r="B64" s="1926" t="s">
        <v>1277</v>
      </c>
      <c r="C64" s="1831">
        <f ca="1">ROUND(C57*F64,1)</f>
        <v>21.3</v>
      </c>
      <c r="D64" s="1934" t="s">
        <v>1311</v>
      </c>
      <c r="E64" s="1926" t="s">
        <v>1249</v>
      </c>
      <c r="F64" s="1865">
        <f ca="1" t="shared" si="0"/>
        <v>0.015</v>
      </c>
      <c r="I64" s="2020" t="s">
        <v>1386</v>
      </c>
      <c r="J64" s="2021">
        <v>50</v>
      </c>
      <c r="K64" s="2021">
        <v>35</v>
      </c>
      <c r="L64" s="2021">
        <v>60</v>
      </c>
      <c r="M64" s="2022">
        <v>0</v>
      </c>
      <c r="O64" s="1977" t="s">
        <v>1319</v>
      </c>
      <c r="P64" s="1978" t="s">
        <v>1320</v>
      </c>
      <c r="Q64" s="2024" t="s">
        <v>1321</v>
      </c>
      <c r="R64" s="2024" t="s">
        <v>1322</v>
      </c>
    </row>
    <row r="65" s="688" customFormat="1" ht="13.95" spans="1:18">
      <c r="A65" s="1826" t="s">
        <v>872</v>
      </c>
      <c r="B65" s="1926" t="s">
        <v>1281</v>
      </c>
      <c r="C65" s="1831">
        <f ca="1">ROUND(C56*F65,1)</f>
        <v>1.6</v>
      </c>
      <c r="D65" s="1934" t="s">
        <v>1282</v>
      </c>
      <c r="E65" s="1926" t="s">
        <v>1249</v>
      </c>
      <c r="F65" s="1866">
        <f ca="1" t="shared" si="0"/>
        <v>0.0015</v>
      </c>
      <c r="I65" s="2020" t="s">
        <v>1387</v>
      </c>
      <c r="J65" s="2021">
        <v>40</v>
      </c>
      <c r="K65" s="2021">
        <v>30</v>
      </c>
      <c r="L65" s="2021">
        <v>50</v>
      </c>
      <c r="M65" s="2023">
        <v>0.02</v>
      </c>
      <c r="O65" s="1984" t="s">
        <v>1046</v>
      </c>
      <c r="P65" s="1985" t="s">
        <v>1326</v>
      </c>
      <c r="Q65" s="2025">
        <f ca="1">C40+J29</f>
        <v>7340</v>
      </c>
      <c r="R65" s="2025" t="s">
        <v>1327</v>
      </c>
    </row>
    <row r="66" s="688" customFormat="1" ht="17.55" spans="1:18">
      <c r="A66" s="1826" t="s">
        <v>875</v>
      </c>
      <c r="B66" s="1926" t="s">
        <v>1267</v>
      </c>
      <c r="C66" s="1831">
        <f ca="1">ROUND(C48*F66,1)</f>
        <v>0</v>
      </c>
      <c r="D66" s="1934" t="s">
        <v>1285</v>
      </c>
      <c r="E66" s="1926" t="s">
        <v>1249</v>
      </c>
      <c r="F66" s="1804">
        <f ca="1" t="shared" si="0"/>
        <v>0.015</v>
      </c>
      <c r="O66" s="1984" t="s">
        <v>1050</v>
      </c>
      <c r="P66" s="1985" t="s">
        <v>1367</v>
      </c>
      <c r="Q66" s="2025">
        <f ca="1">L60</f>
        <v>0</v>
      </c>
      <c r="R66" s="2025" t="s">
        <v>1368</v>
      </c>
    </row>
    <row r="67" s="688" customFormat="1" ht="24.75" spans="1:18">
      <c r="A67" s="1921" t="s">
        <v>1288</v>
      </c>
      <c r="B67" s="2027" t="s">
        <v>1289</v>
      </c>
      <c r="C67" s="1806">
        <f ca="1">C48-C58</f>
        <v>-142</v>
      </c>
      <c r="D67" s="1933" t="s">
        <v>1290</v>
      </c>
      <c r="E67" s="2028"/>
      <c r="F67" s="2029"/>
      <c r="O67" s="1991" t="s">
        <v>1339</v>
      </c>
      <c r="P67" s="1985" t="s">
        <v>1371</v>
      </c>
      <c r="Q67" s="2050">
        <f ca="1">L51</f>
        <v>4988</v>
      </c>
      <c r="R67" s="2025" t="s">
        <v>1388</v>
      </c>
    </row>
    <row r="68" s="688" customFormat="1" ht="17.55" spans="1:18">
      <c r="A68" s="2030" t="s">
        <v>1294</v>
      </c>
      <c r="B68" s="2031" t="s">
        <v>1312</v>
      </c>
      <c r="C68" s="1871">
        <f ca="1">ROUND(C67*(1-((1+F70)/(1+F68))^F69)/(F68-F70),0)</f>
        <v>-2080</v>
      </c>
      <c r="D68" s="1936" t="s">
        <v>1296</v>
      </c>
      <c r="E68" s="1926" t="s">
        <v>1297</v>
      </c>
      <c r="F68" s="1804">
        <f ca="1">F40</f>
        <v>0.055</v>
      </c>
      <c r="O68" s="1991" t="s">
        <v>1343</v>
      </c>
      <c r="P68" s="2049" t="s">
        <v>1389</v>
      </c>
      <c r="Q68" s="2025">
        <f ca="1">ROUND(Q69-Q70*Q71,0)</f>
        <v>273</v>
      </c>
      <c r="R68" s="2025" t="s">
        <v>1390</v>
      </c>
    </row>
    <row r="69" s="688" customFormat="1" ht="13.95" spans="1:18">
      <c r="A69" s="2032"/>
      <c r="B69" s="2033"/>
      <c r="C69" s="1802"/>
      <c r="D69" s="2034" t="s">
        <v>1300</v>
      </c>
      <c r="E69" s="1926" t="s">
        <v>1301</v>
      </c>
      <c r="F69" s="1875">
        <f ca="1">F41</f>
        <v>30.59</v>
      </c>
      <c r="O69" s="1991" t="s">
        <v>1391</v>
      </c>
      <c r="P69" s="2049" t="s">
        <v>1392</v>
      </c>
      <c r="Q69" s="2025">
        <f ca="1">C39</f>
        <v>353</v>
      </c>
      <c r="R69" s="2025" t="s">
        <v>1327</v>
      </c>
    </row>
    <row r="70" s="688" customFormat="1" ht="13.95" spans="1:18">
      <c r="A70" s="2035"/>
      <c r="B70" s="2036"/>
      <c r="C70" s="1823"/>
      <c r="D70" s="1938"/>
      <c r="E70" s="1926" t="s">
        <v>1304</v>
      </c>
      <c r="F70" s="1916"/>
      <c r="O70" s="1991" t="s">
        <v>1393</v>
      </c>
      <c r="P70" s="2049" t="s">
        <v>1394</v>
      </c>
      <c r="Q70" s="2025">
        <f ca="1">C13</f>
        <v>1064</v>
      </c>
      <c r="R70" s="2025" t="s">
        <v>1327</v>
      </c>
    </row>
    <row r="71" s="688" customFormat="1" ht="13.95" spans="1:18">
      <c r="A71" s="2037" t="s">
        <v>1306</v>
      </c>
      <c r="B71" s="2038" t="s">
        <v>1313</v>
      </c>
      <c r="C71" s="1879">
        <f ca="1">ROUND(C68*10000/F71,0)</f>
        <v>-7450</v>
      </c>
      <c r="D71" s="2039" t="s">
        <v>1314</v>
      </c>
      <c r="E71" s="2040" t="s">
        <v>1315</v>
      </c>
      <c r="F71" s="1882">
        <f ca="1">F43</f>
        <v>2791.88</v>
      </c>
      <c r="O71" s="1991" t="s">
        <v>1395</v>
      </c>
      <c r="P71" s="2049" t="s">
        <v>1396</v>
      </c>
      <c r="Q71" s="2026">
        <f ca="1">C76</f>
        <v>0.075</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#DIV/0!</v>
      </c>
      <c r="R73" s="2025" t="s">
        <v>1377</v>
      </c>
    </row>
    <row r="74" ht="13.95" spans="1:18">
      <c r="A74" s="688"/>
      <c r="B74" s="237" t="s">
        <v>1397</v>
      </c>
      <c r="C74" s="2042"/>
      <c r="D74" s="688"/>
      <c r="E74" s="688"/>
      <c r="F74" s="688"/>
      <c r="O74" s="1991" t="s">
        <v>1398</v>
      </c>
      <c r="P74" s="1985" t="str">
        <f>K59</f>
        <v>建筑物剩余耐用年限下的土地年期修正系数Kn</v>
      </c>
      <c r="Q74" s="2025" t="e">
        <f ca="1">L59</f>
        <v>#DIV/0!</v>
      </c>
      <c r="R74" s="2025" t="s">
        <v>1378</v>
      </c>
    </row>
    <row r="75" ht="13.95" spans="1:18">
      <c r="A75" s="688"/>
      <c r="B75" s="2043" t="s">
        <v>1399</v>
      </c>
      <c r="C75" s="2044">
        <f ca="1">ROUND(C13*C76,0)</f>
        <v>80</v>
      </c>
      <c r="D75" s="688"/>
      <c r="E75" s="688"/>
      <c r="F75" s="688"/>
      <c r="K75" s="1971"/>
      <c r="L75" s="688"/>
      <c r="O75" s="1984" t="s">
        <v>1154</v>
      </c>
      <c r="P75" s="1985" t="s">
        <v>1357</v>
      </c>
      <c r="Q75" s="2025">
        <f ca="1">Q65+Q66</f>
        <v>7340</v>
      </c>
      <c r="R75" s="2025" t="s">
        <v>1358</v>
      </c>
    </row>
    <row r="76" spans="2:12">
      <c r="B76" s="493" t="s">
        <v>1400</v>
      </c>
      <c r="C76" s="2045">
        <f ca="1">INDIRECT("'数据-取费表'!j"&amp;$G$1)</f>
        <v>0.075</v>
      </c>
      <c r="I76" s="688"/>
      <c r="J76" s="688"/>
      <c r="K76" s="1971"/>
      <c r="L76" s="688"/>
    </row>
    <row r="77" spans="2:12">
      <c r="B77" s="2046" t="s">
        <v>1401</v>
      </c>
      <c r="C77" s="2047"/>
      <c r="I77" s="688"/>
      <c r="J77" s="688"/>
      <c r="K77" s="1971"/>
      <c r="L77" s="688"/>
    </row>
    <row r="78" spans="2:3">
      <c r="B78" s="235" t="s">
        <v>1402</v>
      </c>
      <c r="C78" s="2048"/>
    </row>
    <row r="79" spans="2:3">
      <c r="B79" s="2043" t="s">
        <v>1403</v>
      </c>
      <c r="C79" s="238">
        <f ca="1">1-C80</f>
        <v>0.773</v>
      </c>
    </row>
    <row r="80" spans="2:3">
      <c r="B80" s="2043" t="s">
        <v>1404</v>
      </c>
      <c r="C80" s="238">
        <f ca="1">ROUND(C75/C39,3)</f>
        <v>0.227</v>
      </c>
    </row>
    <row r="81" spans="2:3">
      <c r="B81" s="235" t="s">
        <v>1405</v>
      </c>
      <c r="C81" s="202"/>
    </row>
    <row r="82" spans="2:3">
      <c r="B82" s="237" t="s">
        <v>1127</v>
      </c>
      <c r="C82" s="239">
        <f ca="1">1-C83</f>
        <v>0.855</v>
      </c>
    </row>
    <row r="83" spans="2:3">
      <c r="B83" s="237" t="s">
        <v>1128</v>
      </c>
      <c r="C83" s="238">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0.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1032</v>
      </c>
      <c r="D1" s="1765"/>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ROUND(D2/10000,0)</f>
        <v>#N/A</v>
      </c>
      <c r="C2" s="1771" t="s">
        <v>1216</v>
      </c>
      <c r="D2" s="1772" t="e">
        <f ca="1">C40+J29+L46</f>
        <v>#N/A</v>
      </c>
      <c r="E2" s="1773" t="s">
        <v>1406</v>
      </c>
      <c r="F2" s="1774"/>
      <c r="G2" s="1775"/>
      <c r="H2" s="1776"/>
      <c r="I2" s="1776"/>
      <c r="J2" s="1776"/>
      <c r="K2" s="1942"/>
      <c r="L2" s="1776"/>
      <c r="M2" s="1776"/>
    </row>
    <row r="3" ht="18" customHeight="1" spans="1:13">
      <c r="A3" s="1777" t="s">
        <v>1217</v>
      </c>
      <c r="B3" s="1778">
        <f ca="1">IF(ISERROR(D2/F43),0,ROUND(D2/F43,0))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823</v>
      </c>
      <c r="B6" s="1791" t="s">
        <v>1227</v>
      </c>
      <c r="C6" s="1792" t="e">
        <f ca="1">ROUND(F6*F8*F7*(1-F9),0)</f>
        <v>#N/A</v>
      </c>
      <c r="D6" s="1793" t="s">
        <v>1407</v>
      </c>
      <c r="E6" s="1794" t="s">
        <v>1229</v>
      </c>
      <c r="F6" s="1795" t="e">
        <f ca="1">INDIRECT("'数据-取费表'!u"&amp;$G$1)</f>
        <v>#N/A</v>
      </c>
      <c r="G6" s="688"/>
      <c r="H6" s="1790" t="s">
        <v>823</v>
      </c>
      <c r="I6" s="1791" t="s">
        <v>1227</v>
      </c>
      <c r="J6" s="1871" t="e">
        <f ca="1">ROUND(M6*M8*M7*(1-M9),0)</f>
        <v>#N/A</v>
      </c>
      <c r="K6" s="1945" t="s">
        <v>1408</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827</v>
      </c>
      <c r="B10" s="1805" t="s">
        <v>1234</v>
      </c>
      <c r="C10" s="1806" t="e">
        <f ca="1">ROUND(IF(F10="押一",C6/12*F11,IF(F10="押二",C6/12*2*F11,IF(F10="押三",C6/12*3*F11,C11*F11))),0)</f>
        <v>#N/A</v>
      </c>
      <c r="D10" s="1807" t="s">
        <v>1235</v>
      </c>
      <c r="E10" s="1808" t="s">
        <v>1236</v>
      </c>
      <c r="F10" s="1809" t="s">
        <v>1237</v>
      </c>
      <c r="G10" s="688"/>
      <c r="H10" s="1790" t="s">
        <v>827</v>
      </c>
      <c r="I10" s="1805" t="s">
        <v>1234</v>
      </c>
      <c r="J10" s="1871">
        <f ca="1">ROUND(IF(M10="押一",J6/12*M11,IF(M10="押二",J6/12*2*M11,IF(M10="押三",J6/12*3*M11,J11*M11))),0)</f>
        <v>0</v>
      </c>
      <c r="K10" s="1946" t="s">
        <v>1409</v>
      </c>
      <c r="L10" s="1808" t="s">
        <v>1236</v>
      </c>
      <c r="M10" s="1809"/>
    </row>
    <row r="11" ht="18" customHeight="1" spans="1:13">
      <c r="A11" s="1810"/>
      <c r="B11" s="1811" t="s">
        <v>1410</v>
      </c>
      <c r="C11" s="1812"/>
      <c r="D11" s="1799"/>
      <c r="E11" s="1808" t="s">
        <v>1240</v>
      </c>
      <c r="F11" s="1813">
        <f ca="1">'数据-取费表'!B39</f>
        <v>0.015</v>
      </c>
      <c r="G11" s="688"/>
      <c r="H11" s="1814"/>
      <c r="I11" s="1811" t="s">
        <v>1411</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846</v>
      </c>
      <c r="B14" s="1794" t="s">
        <v>1245</v>
      </c>
      <c r="C14" s="1827" t="e">
        <f ca="1">ROUND(INDIRECT("'数据-取费表'!l"&amp;$G$1)*F43+'数据-取费表'!L14*INDIRECT("'数据-取费表'!S"&amp;$G$1),0)</f>
        <v>#N/A</v>
      </c>
      <c r="D14" s="1828" t="s">
        <v>1246</v>
      </c>
      <c r="E14" s="1829"/>
      <c r="F14" s="1830"/>
      <c r="G14" s="688"/>
      <c r="H14" s="1826" t="s">
        <v>823</v>
      </c>
      <c r="I14" s="1794" t="s">
        <v>1247</v>
      </c>
      <c r="J14" s="1831" t="e">
        <f ca="1">C29</f>
        <v>#N/A</v>
      </c>
      <c r="K14" s="1954"/>
      <c r="L14" s="1955"/>
      <c r="M14" s="1956"/>
    </row>
    <row r="15" s="1760" customFormat="1" ht="18" customHeight="1" spans="1:37">
      <c r="A15" s="1826" t="s">
        <v>850</v>
      </c>
      <c r="B15" s="1794" t="s">
        <v>1152</v>
      </c>
      <c r="C15" s="1831" t="e">
        <f ca="1">ROUND(C14*F15,0)</f>
        <v>#N/A</v>
      </c>
      <c r="D15" s="1832" t="s">
        <v>1248</v>
      </c>
      <c r="E15" s="1832" t="s">
        <v>1249</v>
      </c>
      <c r="F15" s="1833">
        <f>'数据-取费表'!B33</f>
        <v>0.03</v>
      </c>
      <c r="G15" s="1834"/>
      <c r="H15" s="1835" t="s">
        <v>827</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t="e">
        <f ca="1">ROUND(INDIRECT("'数据-取费表'!l"&amp;$G$1)*F43*F16,0)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ROUND(F17*(F43+INDIRECT("'数据-取费表'!S"&amp;$G$1)),0)</f>
        <v>#N/A</v>
      </c>
      <c r="D17" s="1794" t="s">
        <v>1255</v>
      </c>
      <c r="E17" s="1794" t="s">
        <v>1256</v>
      </c>
      <c r="F17" s="1837">
        <f>'数据-取费表'!B35</f>
        <v>200</v>
      </c>
      <c r="G17" s="1834"/>
      <c r="H17" s="1826" t="s">
        <v>823</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846</v>
      </c>
      <c r="I18" s="1794" t="s">
        <v>1261</v>
      </c>
      <c r="J18" s="1831" t="e">
        <f ca="1">ROUND(J6*M18/(1+'数据-取费表'!C42),0)</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t="e">
        <f ca="1">SUM(C14:C18)</f>
        <v>#N/A</v>
      </c>
      <c r="D19" s="1838" t="s">
        <v>1264</v>
      </c>
      <c r="E19" s="1839"/>
      <c r="F19" s="1837"/>
      <c r="G19" s="688"/>
      <c r="H19" s="1826" t="s">
        <v>850</v>
      </c>
      <c r="I19" s="1794" t="s">
        <v>1265</v>
      </c>
      <c r="J19" s="1831" t="e">
        <f ca="1">IF(K19="按租金收入计税",ROUND(J6*M19/(1+'数据-取费表'!C42),0),ROUND(C29*M19*0.7,0))</f>
        <v>#N/A</v>
      </c>
      <c r="K19" s="1856" t="s">
        <v>1266</v>
      </c>
      <c r="L19" s="1794" t="s">
        <v>1249</v>
      </c>
      <c r="M19" s="1836">
        <f>IF(K19="按租金收入计税",'数据-取费表'!B51,'数据-取费表'!B50)</f>
        <v>0.012</v>
      </c>
    </row>
    <row r="20" s="1760" customFormat="1" ht="18" customHeight="1" spans="1:37">
      <c r="A20" s="1826" t="s">
        <v>827</v>
      </c>
      <c r="B20" s="1794" t="s">
        <v>1267</v>
      </c>
      <c r="C20" s="1831" t="e">
        <f ca="1">ROUND(C19*F20,0)</f>
        <v>#N/A</v>
      </c>
      <c r="D20" s="1840" t="s">
        <v>1268</v>
      </c>
      <c r="E20" s="1794" t="s">
        <v>1249</v>
      </c>
      <c r="F20" s="1836">
        <f>'数据-取费表'!B37</f>
        <v>0.02</v>
      </c>
      <c r="G20" s="1834"/>
      <c r="H20" s="1826" t="s">
        <v>853</v>
      </c>
      <c r="I20" s="1793" t="s">
        <v>1269</v>
      </c>
      <c r="J20" s="1858" t="e">
        <f ca="1">ROUND(M20*M21,0)</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t="e">
        <f ca="1">ROUND(J14*M22,0)</f>
        <v>#N/A</v>
      </c>
      <c r="K22" s="1853" t="s">
        <v>1278</v>
      </c>
      <c r="L22" s="1794" t="s">
        <v>1249</v>
      </c>
      <c r="M22" s="1865" t="e">
        <f ca="1">INDIRECT("'数据-取费表'!Ak"&amp;$G$1)</f>
        <v>#N/A</v>
      </c>
    </row>
    <row r="23" s="1760" customFormat="1" ht="18" customHeight="1" spans="1:37">
      <c r="A23" s="1826" t="s">
        <v>846</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t="e">
        <f ca="1">ROUND(J13*M23,0)</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t="e">
        <f ca="1">ROUND(J5*M24,0)</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879</v>
      </c>
      <c r="B25" s="1794" t="s">
        <v>1286</v>
      </c>
      <c r="C25" s="1831"/>
      <c r="D25" s="1838" t="s">
        <v>1287</v>
      </c>
      <c r="E25" s="1839"/>
      <c r="F25" s="1837"/>
      <c r="G25" s="688"/>
      <c r="H25" s="1821" t="s">
        <v>1288</v>
      </c>
      <c r="I25" s="1867" t="s">
        <v>1289</v>
      </c>
      <c r="J25" s="1823" t="e">
        <f ca="1">J5-J16</f>
        <v>#N/A</v>
      </c>
      <c r="K25" s="1868" t="s">
        <v>1290</v>
      </c>
      <c r="L25" s="1869"/>
      <c r="M25" s="1870"/>
    </row>
    <row r="26" ht="18" customHeight="1" spans="1:13">
      <c r="A26" s="1826" t="s">
        <v>846</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850</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823</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t="e">
        <f ca="1">IF(项目基本情况!B11="自然人","——",ROUND(C6*F32/(1+'数据-取费表'!C42),0))</f>
        <v>#N/A</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t="e">
        <f ca="1">IF(项目基本情况!B11="自然人","——",IF(D33="按租金收入计税",ROUND(C6*F33/(1+'数据-取费表'!C42),0),IF(D33="按房产原值计税",ROUND(C29*F33*0.7,0),INDIRECT("'数据-取费表'!Aj"&amp;$G$1))))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t="e">
        <f ca="1">IF(项目基本情况!B11="自然人","——",ROUND(F34*F35,))</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827</v>
      </c>
      <c r="B36" s="1794" t="s">
        <v>1277</v>
      </c>
      <c r="C36" s="1831" t="e">
        <f ca="1">ROUND(C29*F36,0)</f>
        <v>#N/A</v>
      </c>
      <c r="D36" s="1853" t="s">
        <v>1311</v>
      </c>
      <c r="E36" s="1794" t="s">
        <v>1249</v>
      </c>
      <c r="F36" s="1865" t="e">
        <f ca="1">INDIRECT("'数据-取费表'!Ak"&amp;$G$1)</f>
        <v>#N/A</v>
      </c>
      <c r="G36" s="688"/>
      <c r="H36" s="1857"/>
      <c r="I36" s="1961"/>
      <c r="J36" s="1962"/>
      <c r="K36" s="1969"/>
      <c r="L36" s="1857"/>
      <c r="M36" s="1857"/>
    </row>
    <row r="37" ht="18" customHeight="1" spans="1:13">
      <c r="A37" s="1826" t="s">
        <v>872</v>
      </c>
      <c r="B37" s="1794" t="s">
        <v>1281</v>
      </c>
      <c r="C37" s="1831" t="e">
        <f ca="1">ROUND(C13*F37,0)</f>
        <v>#N/A</v>
      </c>
      <c r="D37" s="1853" t="s">
        <v>1282</v>
      </c>
      <c r="E37" s="1794" t="s">
        <v>1249</v>
      </c>
      <c r="F37" s="1866" t="e">
        <f ca="1">INDIRECT("'数据-取费表'!Al"&amp;$G$1)</f>
        <v>#N/A</v>
      </c>
      <c r="G37" s="688"/>
      <c r="H37" s="1857"/>
      <c r="I37" s="1961"/>
      <c r="J37" s="1962"/>
      <c r="K37" s="1969"/>
      <c r="L37" s="1857"/>
      <c r="M37" s="1857"/>
    </row>
    <row r="38" ht="18" customHeight="1" spans="1:13">
      <c r="A38" s="1835" t="s">
        <v>875</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1412</v>
      </c>
      <c r="E45" s="1883"/>
      <c r="F45" s="1883"/>
      <c r="O45" s="1972" t="s">
        <v>1316</v>
      </c>
      <c r="P45" s="1872"/>
      <c r="Q45" s="1872"/>
      <c r="R45" s="1872"/>
    </row>
    <row r="46" s="688" customFormat="1" ht="13.95" spans="1:18">
      <c r="A46" s="1887" t="s">
        <v>1317</v>
      </c>
      <c r="C46" s="1888" t="e">
        <f ca="1">ROUND(C45/10000,0)</f>
        <v>#N/A</v>
      </c>
      <c r="D46" s="1889" t="str">
        <f>C2</f>
        <v>万元</v>
      </c>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1891" t="s">
        <v>1222</v>
      </c>
      <c r="D47" s="1891" t="s">
        <v>1223</v>
      </c>
      <c r="E47" s="1892" t="s">
        <v>1224</v>
      </c>
      <c r="F47" s="1893"/>
      <c r="G47" s="1894"/>
      <c r="I47" s="1979" t="s">
        <v>1323</v>
      </c>
      <c r="J47" s="1980"/>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ROUND(F49*F51*F50*(1-F52),0)</f>
        <v>#N/A</v>
      </c>
      <c r="D49" s="1904" t="s">
        <v>1413</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1910"/>
      <c r="D50" s="1911"/>
      <c r="E50" s="1912" t="s">
        <v>1231</v>
      </c>
      <c r="F50" s="1913" t="e">
        <f ca="1">F7</f>
        <v>#N/A</v>
      </c>
      <c r="H50" s="1900"/>
      <c r="I50" s="750" t="s">
        <v>1341</v>
      </c>
      <c r="J50" s="1992">
        <f>SUMPRODUCT((I63:I65=J47)*(J62:L62=J48)*(J63:L65))</f>
        <v>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0</v>
      </c>
      <c r="K51" s="1996" t="s">
        <v>1346</v>
      </c>
      <c r="L51" s="1997" t="e">
        <f ca="1">ROUND(-PV(INDIRECT("'数据-取费表'!h"&amp;$G$1),J51,(C39-C13*C76),0),0)</f>
        <v>#N/A</v>
      </c>
      <c r="M51" s="1998"/>
      <c r="O51" s="1991" t="s">
        <v>1347</v>
      </c>
      <c r="P51" s="1985" t="s">
        <v>1348</v>
      </c>
      <c r="Q51" s="2026">
        <f>J52</f>
        <v>0</v>
      </c>
      <c r="R51" s="2025"/>
    </row>
    <row r="52" s="688" customFormat="1" ht="13.95" spans="1:18">
      <c r="A52" s="1914"/>
      <c r="B52" s="1909"/>
      <c r="C52" s="1910"/>
      <c r="D52" s="1911"/>
      <c r="E52" s="1915" t="s">
        <v>1233</v>
      </c>
      <c r="F52" s="1916"/>
      <c r="I52" s="1999" t="s">
        <v>1349</v>
      </c>
      <c r="J52" s="2000"/>
      <c r="K52" s="1999" t="s">
        <v>1350</v>
      </c>
      <c r="L52" s="2000"/>
      <c r="O52" s="1991" t="s">
        <v>1351</v>
      </c>
      <c r="P52" s="1985" t="s">
        <v>1352</v>
      </c>
      <c r="Q52" s="2025" t="e">
        <f ca="1">J53</f>
        <v>#N/A</v>
      </c>
      <c r="R52" s="2025" t="s">
        <v>1353</v>
      </c>
    </row>
    <row r="53" s="688" customFormat="1" ht="30.75" customHeight="1" spans="1:18">
      <c r="A53" s="1917" t="s">
        <v>1354</v>
      </c>
      <c r="B53" s="1840" t="s">
        <v>1234</v>
      </c>
      <c r="C53" s="1806">
        <f ca="1">ROUND(IF(F53="押一",C49/12*F11,IF(F53="押二",C49/12*2*F11,IF(F53="押三",C49/12*3*F11,C54*F11))),0)</f>
        <v>0</v>
      </c>
      <c r="D53" s="1807" t="s">
        <v>1414</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13.95" spans="1:18">
      <c r="A54" s="1901"/>
      <c r="B54" s="1918" t="s">
        <v>1411</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872</v>
      </c>
      <c r="B55" s="1816" t="s">
        <v>1241</v>
      </c>
      <c r="C55" s="1817"/>
      <c r="D55" s="1807"/>
      <c r="E55" s="1919"/>
      <c r="F55" s="1920"/>
      <c r="I55" s="2008" t="s">
        <v>1360</v>
      </c>
      <c r="J55" s="2009" t="e">
        <f ca="1">ROUND(IF(J47="钢混",J57/J50,1-(1-2%)*(J50-J57)/J50),3)</f>
        <v>#N/A</v>
      </c>
      <c r="K55" s="2010" t="s">
        <v>1361</v>
      </c>
      <c r="L55" s="2011"/>
      <c r="O55" s="1977" t="s">
        <v>1319</v>
      </c>
      <c r="P55" s="1978" t="s">
        <v>1320</v>
      </c>
      <c r="Q55" s="2024" t="s">
        <v>1321</v>
      </c>
      <c r="R55" s="2024" t="s">
        <v>1322</v>
      </c>
    </row>
    <row r="56" s="688" customFormat="1" ht="36" customHeight="1" spans="1:18">
      <c r="A56" s="1921">
        <v>2</v>
      </c>
      <c r="B56" s="1922" t="s">
        <v>1242</v>
      </c>
      <c r="C56" s="192" t="e">
        <f ca="1">C13</f>
        <v>#N/A</v>
      </c>
      <c r="D56" s="1923"/>
      <c r="E56" s="1924"/>
      <c r="F56" s="1920"/>
      <c r="I56" s="2012" t="s">
        <v>1363</v>
      </c>
      <c r="J56" s="2013"/>
      <c r="K56" s="750" t="s">
        <v>1364</v>
      </c>
      <c r="L56" s="1988" t="e">
        <f ca="1">IF(L48&lt;J51,"——",L48-J51)</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1415</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1416</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823</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1343</v>
      </c>
      <c r="P59" s="1985" t="s">
        <v>1373</v>
      </c>
      <c r="Q59" s="2026">
        <f>L52</f>
        <v>0</v>
      </c>
      <c r="R59" s="2025"/>
    </row>
    <row r="60" s="688" customFormat="1" ht="17.55" spans="1:18">
      <c r="A60" s="1826" t="s">
        <v>846</v>
      </c>
      <c r="B60" s="1926" t="s">
        <v>1261</v>
      </c>
      <c r="C60" s="1831" t="e">
        <f ca="1">IF(项目基本情况!B11="自然人","——",ROUND(C48*F60/(1+'数据-取费表'!C42),0))</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850</v>
      </c>
      <c r="B61" s="1926" t="s">
        <v>1265</v>
      </c>
      <c r="C61" s="1831" t="e">
        <f ca="1">IF(项目基本情况!B11="自然人","——",IF(D61="按租金收入计税",ROUND(C49*F61/(1+'数据-取费表'!C42),0),IF(D61="按房产原值计税",ROUND(C57*F61*0.7,0),INDIRECT("'数据-取费表'!Aj"&amp;$G$1))))</f>
        <v>#N/A</v>
      </c>
      <c r="D61" s="1856" t="s">
        <v>1266</v>
      </c>
      <c r="E61" s="1926" t="s">
        <v>1249</v>
      </c>
      <c r="F61" s="1836">
        <f t="shared" si="0"/>
        <v>0.12</v>
      </c>
      <c r="I61" s="1872"/>
      <c r="J61" s="1872"/>
      <c r="K61" s="1872"/>
      <c r="L61" s="1872"/>
      <c r="O61" s="1991" t="s">
        <v>1351</v>
      </c>
      <c r="P61" s="1985" t="str">
        <f>K59</f>
        <v>建设期及建筑物耐用年限下的土地年期修正系数Kn</v>
      </c>
      <c r="Q61" s="2025" t="e">
        <f ca="1">L59</f>
        <v>#N/A</v>
      </c>
      <c r="R61" s="2025" t="s">
        <v>1378</v>
      </c>
    </row>
    <row r="62" s="688" customFormat="1" ht="13.95" spans="1:18">
      <c r="A62" s="1826" t="s">
        <v>853</v>
      </c>
      <c r="B62" s="1935" t="s">
        <v>1269</v>
      </c>
      <c r="C62" s="1858" t="e">
        <f ca="1">IF(项目基本情况!B11="自然人","——",ROUND(F62*F63,0))</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827</v>
      </c>
      <c r="B64" s="1926" t="s">
        <v>1277</v>
      </c>
      <c r="C64" s="1831" t="e">
        <f ca="1">ROUND(C57*F64,0)</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872</v>
      </c>
      <c r="B65" s="1926" t="s">
        <v>1281</v>
      </c>
      <c r="C65" s="1831" t="e">
        <f ca="1">ROUND(C56*F65,0)</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875</v>
      </c>
      <c r="B66" s="1926" t="s">
        <v>1267</v>
      </c>
      <c r="C66" s="1831" t="e">
        <f ca="1">ROUND(C48*F66,0)</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t="e">
        <f ca="1">F42</f>
        <v>#N/A</v>
      </c>
      <c r="O70" s="1991" t="s">
        <v>1393</v>
      </c>
      <c r="P70" s="2049" t="s">
        <v>1394</v>
      </c>
      <c r="Q70" s="2025" t="e">
        <f ca="1">C13</f>
        <v>#N/A</v>
      </c>
      <c r="R70" s="2025" t="s">
        <v>1327</v>
      </c>
    </row>
    <row r="71" s="688" customFormat="1" ht="13.95" spans="1:18">
      <c r="A71" s="2037" t="s">
        <v>1306</v>
      </c>
      <c r="B71" s="2038" t="s">
        <v>1313</v>
      </c>
      <c r="C71" s="1879" t="e">
        <f ca="1">ROUND(C68/F71,0)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建设期及建筑物耐用年限下的土地年期修正系数Kn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1417</v>
      </c>
      <c r="B1" s="1578"/>
      <c r="C1" s="1579"/>
      <c r="D1" s="1579"/>
      <c r="E1" s="1580"/>
      <c r="F1" s="1581"/>
      <c r="G1" s="1582"/>
      <c r="J1" s="1687" t="s">
        <v>1418</v>
      </c>
      <c r="K1" s="1688"/>
      <c r="L1" s="1688"/>
      <c r="M1" s="1688"/>
      <c r="N1" s="1688"/>
      <c r="O1" s="1688"/>
      <c r="P1" s="1688"/>
      <c r="Q1" s="1688"/>
      <c r="R1" s="1736"/>
      <c r="S1" s="1737"/>
      <c r="T1" s="1737"/>
      <c r="U1" s="1737"/>
    </row>
    <row r="2" s="1570" customFormat="1" customHeight="1" spans="1:22">
      <c r="A2" s="1583" t="s">
        <v>1215</v>
      </c>
      <c r="B2" s="1584" t="e">
        <f>C40</f>
        <v>#DIV/0!</v>
      </c>
      <c r="C2" s="1579" t="s">
        <v>1216</v>
      </c>
      <c r="D2" s="1579"/>
      <c r="E2" s="1585"/>
      <c r="F2" s="1586"/>
      <c r="G2" s="1587"/>
      <c r="H2" s="1588"/>
      <c r="I2" s="1689"/>
      <c r="J2" s="1690" t="s">
        <v>1419</v>
      </c>
      <c r="K2" s="1691"/>
      <c r="L2" s="1692" t="s">
        <v>1420</v>
      </c>
      <c r="M2" s="1692" t="s">
        <v>1421</v>
      </c>
      <c r="N2" s="1692" t="s">
        <v>1422</v>
      </c>
      <c r="O2" s="1692" t="s">
        <v>1423</v>
      </c>
      <c r="P2" s="1692" t="s">
        <v>1424</v>
      </c>
      <c r="Q2" s="1738" t="s">
        <v>1425</v>
      </c>
      <c r="R2" s="1739" t="s">
        <v>1426</v>
      </c>
      <c r="S2" s="1737"/>
      <c r="T2" s="1737"/>
      <c r="U2" s="1737"/>
      <c r="V2" s="1689"/>
    </row>
    <row r="3" s="1570" customFormat="1" customHeight="1" spans="1:22">
      <c r="A3" s="1589" t="s">
        <v>1217</v>
      </c>
      <c r="B3" s="1590" t="e">
        <f>ROUND(B2*10000/B4,0)</f>
        <v>#DIV/0!</v>
      </c>
      <c r="C3" s="1579" t="s">
        <v>1218</v>
      </c>
      <c r="D3" s="1579"/>
      <c r="E3" s="1585"/>
      <c r="F3" s="1586"/>
      <c r="G3" s="1587"/>
      <c r="H3" s="1588"/>
      <c r="I3" s="1689"/>
      <c r="J3" s="1693" t="s">
        <v>1427</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1428</v>
      </c>
      <c r="K4" s="1694"/>
      <c r="L4" s="1696"/>
      <c r="M4" s="1696"/>
      <c r="N4" s="1696"/>
      <c r="O4" s="1696"/>
      <c r="P4" s="1696"/>
      <c r="Q4" s="1742"/>
      <c r="R4" s="1743">
        <f>SUM(L4:Q4)</f>
        <v>0</v>
      </c>
      <c r="S4" s="1737"/>
      <c r="T4" s="1737"/>
      <c r="U4" s="1737"/>
      <c r="V4" s="1689"/>
    </row>
    <row r="5" s="1570" customFormat="1" customHeight="1" spans="1:22">
      <c r="A5" s="1593" t="s">
        <v>1429</v>
      </c>
      <c r="B5" s="1594"/>
      <c r="C5" s="1579"/>
      <c r="D5" s="1595"/>
      <c r="E5" s="1586"/>
      <c r="F5" s="1586"/>
      <c r="G5" s="1587"/>
      <c r="H5" s="1588"/>
      <c r="I5" s="1689"/>
      <c r="J5" s="1697" t="s">
        <v>1430</v>
      </c>
      <c r="K5" s="1698"/>
      <c r="L5" s="1698"/>
      <c r="M5" s="1699"/>
      <c r="N5" s="1699"/>
      <c r="O5" s="1699"/>
      <c r="P5" s="1699"/>
      <c r="Q5" s="1699"/>
      <c r="R5" s="1739">
        <f>SUM(R14,R19,R24,R25,R27,R28)</f>
        <v>0</v>
      </c>
      <c r="S5" s="1737"/>
      <c r="T5" s="1737" t="s">
        <v>1431</v>
      </c>
      <c r="U5" s="1737" t="e">
        <f>ROUND(R5*10000/365/R3,1)</f>
        <v>#DIV/0!</v>
      </c>
      <c r="V5" s="1689"/>
    </row>
    <row r="6" s="1570" customFormat="1" customHeight="1" spans="1:22">
      <c r="A6" s="1596" t="s">
        <v>1432</v>
      </c>
      <c r="B6" s="1597"/>
      <c r="C6" s="1598"/>
      <c r="D6" s="1599"/>
      <c r="E6" s="1600"/>
      <c r="F6" s="1601"/>
      <c r="G6" s="1602"/>
      <c r="H6" s="1588"/>
      <c r="I6" s="1689"/>
      <c r="J6" s="1700">
        <v>1</v>
      </c>
      <c r="K6" s="1701" t="s">
        <v>1433</v>
      </c>
      <c r="L6" s="1702" t="s">
        <v>1434</v>
      </c>
      <c r="M6" s="1703" t="s">
        <v>1435</v>
      </c>
      <c r="N6" s="1703" t="s">
        <v>1436</v>
      </c>
      <c r="O6" s="1703" t="s">
        <v>1437</v>
      </c>
      <c r="P6" s="1703" t="s">
        <v>1438</v>
      </c>
      <c r="Q6" s="1703" t="s">
        <v>1439</v>
      </c>
      <c r="R6" s="1741" t="s">
        <v>1440</v>
      </c>
      <c r="S6" s="1737"/>
      <c r="T6" s="1737" t="s">
        <v>1441</v>
      </c>
      <c r="U6" s="1737"/>
      <c r="V6" s="1689"/>
    </row>
    <row r="7" s="1570" customFormat="1" customHeight="1" spans="1:22">
      <c r="A7" s="1603" t="s">
        <v>1442</v>
      </c>
      <c r="B7" s="1604"/>
      <c r="C7" s="1605"/>
      <c r="D7" s="1606">
        <f>SUM(D9,D10,D11,D17,0)</f>
        <v>0</v>
      </c>
      <c r="E7" s="1607" t="e">
        <f>E9+E10+E11+E17</f>
        <v>#DIV/0!</v>
      </c>
      <c r="F7" s="1608"/>
      <c r="G7" s="1609"/>
      <c r="H7" s="1588"/>
      <c r="I7" s="1689"/>
      <c r="J7" s="1700"/>
      <c r="K7" s="1704"/>
      <c r="L7" s="1705" t="s">
        <v>1443</v>
      </c>
      <c r="M7" s="1706"/>
      <c r="N7" s="1592"/>
      <c r="O7" s="1707"/>
      <c r="P7" s="1707"/>
      <c r="Q7" s="1628">
        <v>365</v>
      </c>
      <c r="R7" s="1744">
        <f>ROUND(M7*N7*O7*P7*Q7/10000,0)</f>
        <v>0</v>
      </c>
      <c r="S7" s="1737"/>
      <c r="T7" s="1737" t="s">
        <v>1444</v>
      </c>
      <c r="U7" s="1737"/>
      <c r="V7" s="1689"/>
    </row>
    <row r="8" s="1570" customFormat="1" customHeight="1" spans="1:22">
      <c r="A8" s="1610" t="s">
        <v>1445</v>
      </c>
      <c r="B8" s="1611" t="s">
        <v>1446</v>
      </c>
      <c r="C8" s="1612"/>
      <c r="D8" s="1613" t="s">
        <v>1447</v>
      </c>
      <c r="E8" s="1614" t="s">
        <v>1448</v>
      </c>
      <c r="F8" s="1615" t="s">
        <v>1449</v>
      </c>
      <c r="G8" s="1616"/>
      <c r="H8" s="1588"/>
      <c r="I8" s="1689"/>
      <c r="J8" s="1700"/>
      <c r="K8" s="1704"/>
      <c r="L8" s="1705" t="s">
        <v>1450</v>
      </c>
      <c r="M8" s="1706"/>
      <c r="N8" s="1592"/>
      <c r="O8" s="1707"/>
      <c r="P8" s="1707"/>
      <c r="Q8" s="1628">
        <v>365</v>
      </c>
      <c r="R8" s="1744">
        <f t="shared" ref="R8:R13" si="0">ROUND(M8*N8*O8*P8*Q8/10000,0)</f>
        <v>0</v>
      </c>
      <c r="S8" s="1737"/>
      <c r="T8" s="1737" t="s">
        <v>1451</v>
      </c>
      <c r="U8" s="1737"/>
      <c r="V8" s="1689"/>
    </row>
    <row r="9" s="1570" customFormat="1" customHeight="1" spans="1:22">
      <c r="A9" s="1610">
        <v>1</v>
      </c>
      <c r="B9" s="1611" t="s">
        <v>1452</v>
      </c>
      <c r="C9" s="1612"/>
      <c r="D9" s="1613">
        <f>ROUND(D6*E9,0)</f>
        <v>0</v>
      </c>
      <c r="E9" s="1617"/>
      <c r="F9" s="1618" t="s">
        <v>1453</v>
      </c>
      <c r="G9" s="1602"/>
      <c r="H9" s="1588"/>
      <c r="I9" s="1689"/>
      <c r="J9" s="1700"/>
      <c r="K9" s="1704"/>
      <c r="L9" s="1705" t="s">
        <v>1454</v>
      </c>
      <c r="M9" s="1706"/>
      <c r="N9" s="1592"/>
      <c r="O9" s="1707"/>
      <c r="P9" s="1707"/>
      <c r="Q9" s="1628">
        <v>365</v>
      </c>
      <c r="R9" s="1744">
        <f t="shared" si="0"/>
        <v>0</v>
      </c>
      <c r="S9" s="1737"/>
      <c r="T9" s="1737"/>
      <c r="U9" s="1737"/>
      <c r="V9" s="1689"/>
    </row>
    <row r="10" s="1570" customFormat="1" customHeight="1" spans="1:22">
      <c r="A10" s="1610">
        <v>2</v>
      </c>
      <c r="B10" s="1611" t="s">
        <v>1455</v>
      </c>
      <c r="C10" s="1612"/>
      <c r="D10" s="1613">
        <f>ROUND(D6*E10,0)</f>
        <v>0</v>
      </c>
      <c r="E10" s="1617"/>
      <c r="F10" s="1618" t="s">
        <v>1456</v>
      </c>
      <c r="G10" s="1602"/>
      <c r="H10" s="1588"/>
      <c r="I10" s="1689"/>
      <c r="J10" s="1700"/>
      <c r="K10" s="1704"/>
      <c r="L10" s="1705" t="s">
        <v>1457</v>
      </c>
      <c r="M10" s="1706"/>
      <c r="N10" s="1592"/>
      <c r="O10" s="1707"/>
      <c r="P10" s="1707"/>
      <c r="Q10" s="1628">
        <v>365</v>
      </c>
      <c r="R10" s="1744">
        <f t="shared" si="0"/>
        <v>0</v>
      </c>
      <c r="S10" s="1737"/>
      <c r="T10" s="1737"/>
      <c r="U10" s="1737"/>
      <c r="V10" s="1689"/>
    </row>
    <row r="11" s="1570" customFormat="1" customHeight="1" spans="1:22">
      <c r="A11" s="1610">
        <v>3</v>
      </c>
      <c r="B11" s="1611" t="s">
        <v>1458</v>
      </c>
      <c r="C11" s="1612"/>
      <c r="D11" s="1613">
        <f>D12+D14+D15+D16</f>
        <v>0</v>
      </c>
      <c r="E11" s="1619" t="e">
        <f>D11/D6</f>
        <v>#DIV/0!</v>
      </c>
      <c r="F11" s="1615"/>
      <c r="G11" s="1616"/>
      <c r="H11" s="1588"/>
      <c r="I11" s="1689"/>
      <c r="J11" s="1700"/>
      <c r="K11" s="1704"/>
      <c r="L11" s="1705" t="s">
        <v>1459</v>
      </c>
      <c r="M11" s="1706"/>
      <c r="N11" s="1592"/>
      <c r="O11" s="1707"/>
      <c r="P11" s="1707"/>
      <c r="Q11" s="1628">
        <v>365</v>
      </c>
      <c r="R11" s="1744">
        <f t="shared" si="0"/>
        <v>0</v>
      </c>
      <c r="S11" s="1737"/>
      <c r="T11" s="1737"/>
      <c r="U11" s="1737"/>
      <c r="V11" s="1689"/>
    </row>
    <row r="12" s="1570" customFormat="1" customHeight="1" spans="1:22">
      <c r="A12" s="1620" t="s">
        <v>1460</v>
      </c>
      <c r="B12" s="1621" t="s">
        <v>1461</v>
      </c>
      <c r="C12" s="1622"/>
      <c r="D12" s="1623">
        <f>ROUND(D13*1.2%*(1-30%),0)</f>
        <v>0</v>
      </c>
      <c r="E12" s="1624">
        <v>0.012</v>
      </c>
      <c r="F12" s="1615" t="s">
        <v>1462</v>
      </c>
      <c r="G12" s="1616"/>
      <c r="H12" s="1588"/>
      <c r="I12" s="1689"/>
      <c r="J12" s="1700"/>
      <c r="K12" s="1704"/>
      <c r="L12" s="1705" t="s">
        <v>1463</v>
      </c>
      <c r="M12" s="1706"/>
      <c r="N12" s="1592"/>
      <c r="O12" s="1707"/>
      <c r="P12" s="1707"/>
      <c r="Q12" s="1628">
        <v>365</v>
      </c>
      <c r="R12" s="1744">
        <f t="shared" si="0"/>
        <v>0</v>
      </c>
      <c r="S12" s="1737"/>
      <c r="T12" s="1737"/>
      <c r="U12" s="1737"/>
      <c r="V12" s="1689"/>
    </row>
    <row r="13" s="1570" customFormat="1" customHeight="1" spans="1:22">
      <c r="A13" s="1620"/>
      <c r="B13" s="1621"/>
      <c r="C13" s="1625" t="s">
        <v>1464</v>
      </c>
      <c r="D13" s="1626"/>
      <c r="E13" s="1627"/>
      <c r="F13" s="1615"/>
      <c r="G13" s="1616"/>
      <c r="H13" s="1588"/>
      <c r="I13" s="1689"/>
      <c r="J13" s="1700"/>
      <c r="K13" s="1704"/>
      <c r="L13" s="1705" t="s">
        <v>1465</v>
      </c>
      <c r="M13" s="1706"/>
      <c r="N13" s="1592"/>
      <c r="O13" s="1707"/>
      <c r="P13" s="1707"/>
      <c r="Q13" s="1628">
        <v>365</v>
      </c>
      <c r="R13" s="1744">
        <f t="shared" si="0"/>
        <v>0</v>
      </c>
      <c r="S13" s="1737"/>
      <c r="T13" s="1737"/>
      <c r="U13" s="1737"/>
      <c r="V13" s="1689"/>
    </row>
    <row r="14" s="1570" customFormat="1" customHeight="1" spans="1:22">
      <c r="A14" s="1620" t="s">
        <v>1466</v>
      </c>
      <c r="B14" s="1621" t="s">
        <v>1467</v>
      </c>
      <c r="C14" s="1622"/>
      <c r="D14" s="1623">
        <f>ROUND(E14*B5/10000,0)</f>
        <v>0</v>
      </c>
      <c r="E14" s="1628"/>
      <c r="F14" s="1615" t="s">
        <v>1468</v>
      </c>
      <c r="G14" s="1616"/>
      <c r="H14" s="1588"/>
      <c r="I14" s="1689"/>
      <c r="J14" s="1700"/>
      <c r="K14" s="1708"/>
      <c r="L14" s="1709" t="s">
        <v>1469</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1470</v>
      </c>
      <c r="B15" s="1621" t="s">
        <v>1471</v>
      </c>
      <c r="C15" s="1622"/>
      <c r="D15" s="1623">
        <f>ROUND(D6*E15,0)</f>
        <v>0</v>
      </c>
      <c r="E15" s="1624">
        <v>0.055</v>
      </c>
      <c r="F15" s="1615" t="s">
        <v>1472</v>
      </c>
      <c r="G15" s="1602"/>
      <c r="H15" s="1588"/>
      <c r="I15" s="1689"/>
      <c r="J15" s="1700">
        <v>2</v>
      </c>
      <c r="K15" s="1701" t="s">
        <v>1473</v>
      </c>
      <c r="L15" s="1705" t="s">
        <v>1474</v>
      </c>
      <c r="M15" s="1706" t="s">
        <v>1475</v>
      </c>
      <c r="N15" s="1706" t="s">
        <v>1476</v>
      </c>
      <c r="O15" s="1707" t="s">
        <v>1477</v>
      </c>
      <c r="P15" s="1707" t="s">
        <v>1439</v>
      </c>
      <c r="Q15" s="1592" t="s">
        <v>124</v>
      </c>
      <c r="R15" s="1746" t="s">
        <v>1440</v>
      </c>
      <c r="S15" s="1737"/>
      <c r="T15" s="1737"/>
      <c r="U15" s="1737"/>
      <c r="V15" s="1689"/>
    </row>
    <row r="16" s="1570" customFormat="1" customHeight="1" spans="1:22">
      <c r="A16" s="1620" t="s">
        <v>1478</v>
      </c>
      <c r="B16" s="1621" t="s">
        <v>1479</v>
      </c>
      <c r="C16" s="1622"/>
      <c r="D16" s="1629">
        <f>D6*E16</f>
        <v>0</v>
      </c>
      <c r="E16" s="1630"/>
      <c r="F16" s="1618" t="s">
        <v>1480</v>
      </c>
      <c r="G16" s="1602"/>
      <c r="H16" s="1588"/>
      <c r="I16" s="1689"/>
      <c r="J16" s="1700"/>
      <c r="K16" s="1704"/>
      <c r="L16" s="1705" t="s">
        <v>1481</v>
      </c>
      <c r="M16" s="1706"/>
      <c r="N16" s="1706"/>
      <c r="O16" s="1707"/>
      <c r="P16" s="1628">
        <v>365</v>
      </c>
      <c r="Q16" s="1592"/>
      <c r="R16" s="1746">
        <f>ROUND(M16*N16*O16*P16/10000,0)</f>
        <v>0</v>
      </c>
      <c r="S16" s="1737"/>
      <c r="T16" s="1737"/>
      <c r="U16" s="1737"/>
      <c r="V16" s="1689"/>
    </row>
    <row r="17" s="1570" customFormat="1" customHeight="1" spans="1:22">
      <c r="A17" s="1631">
        <v>4</v>
      </c>
      <c r="B17" s="1632" t="s">
        <v>1482</v>
      </c>
      <c r="C17" s="1633"/>
      <c r="D17" s="1634">
        <f>ROUND(D6*E17,0)</f>
        <v>0</v>
      </c>
      <c r="E17" s="1635"/>
      <c r="F17" s="1636" t="s">
        <v>1483</v>
      </c>
      <c r="G17" s="1602"/>
      <c r="H17" s="1588"/>
      <c r="I17" s="1689"/>
      <c r="J17" s="1700"/>
      <c r="K17" s="1704"/>
      <c r="L17" s="1705" t="s">
        <v>1484</v>
      </c>
      <c r="M17" s="1706"/>
      <c r="N17" s="1706"/>
      <c r="O17" s="1707"/>
      <c r="P17" s="1628">
        <v>365</v>
      </c>
      <c r="Q17" s="1592"/>
      <c r="R17" s="1746">
        <f>ROUND(M17*N17*O17*P17/10000,0)</f>
        <v>0</v>
      </c>
      <c r="S17" s="1737"/>
      <c r="T17" s="1737"/>
      <c r="U17" s="1737"/>
      <c r="V17" s="1689"/>
    </row>
    <row r="18" s="1570" customFormat="1" customHeight="1" spans="1:22">
      <c r="A18" s="1603" t="s">
        <v>1485</v>
      </c>
      <c r="B18" s="1604"/>
      <c r="C18" s="1604"/>
      <c r="D18" s="1637">
        <f>ROUND(D6*E18,0)</f>
        <v>0</v>
      </c>
      <c r="E18" s="1638"/>
      <c r="F18" s="1639" t="s">
        <v>1486</v>
      </c>
      <c r="G18" s="1602"/>
      <c r="H18" s="1588"/>
      <c r="I18" s="1689"/>
      <c r="J18" s="1700"/>
      <c r="K18" s="1704"/>
      <c r="L18" s="1705" t="s">
        <v>1487</v>
      </c>
      <c r="M18" s="1706"/>
      <c r="N18" s="1706"/>
      <c r="O18" s="1707"/>
      <c r="P18" s="1628">
        <v>365</v>
      </c>
      <c r="Q18" s="1592"/>
      <c r="R18" s="1746">
        <f>ROUND(M18*N18*O18*P18/10000,0)</f>
        <v>0</v>
      </c>
      <c r="S18" s="1737"/>
      <c r="T18" s="1737"/>
      <c r="U18" s="1737"/>
      <c r="V18" s="1689"/>
    </row>
    <row r="19" s="1570" customFormat="1" customHeight="1" spans="1:22">
      <c r="A19" s="1640" t="s">
        <v>1488</v>
      </c>
      <c r="B19" s="1600"/>
      <c r="C19" s="1600"/>
      <c r="D19" s="1600"/>
      <c r="E19" s="1600"/>
      <c r="F19" s="1601"/>
      <c r="G19" s="1616"/>
      <c r="H19" s="1588"/>
      <c r="I19" s="1689"/>
      <c r="J19" s="1700"/>
      <c r="K19" s="1708"/>
      <c r="L19" s="1709" t="s">
        <v>1469</v>
      </c>
      <c r="M19" s="1710"/>
      <c r="N19" s="1710">
        <f>SUM(N16:N18)</f>
        <v>0</v>
      </c>
      <c r="O19" s="1711"/>
      <c r="P19" s="1712" t="s">
        <v>1489</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1490</v>
      </c>
      <c r="L20" s="1705" t="s">
        <v>1491</v>
      </c>
      <c r="M20" s="1706" t="s">
        <v>1492</v>
      </c>
      <c r="N20" s="1713" t="s">
        <v>1493</v>
      </c>
      <c r="O20" s="1707" t="s">
        <v>1494</v>
      </c>
      <c r="P20" s="1628" t="s">
        <v>1439</v>
      </c>
      <c r="Q20" s="1592" t="s">
        <v>124</v>
      </c>
      <c r="R20" s="1746" t="s">
        <v>1440</v>
      </c>
      <c r="S20" s="1734"/>
      <c r="T20" s="1734"/>
      <c r="U20" s="1734"/>
      <c r="V20" s="1689"/>
    </row>
    <row r="21" s="1570" customFormat="1" customHeight="1" spans="1:22">
      <c r="A21" s="1603"/>
      <c r="B21" s="1604"/>
      <c r="C21" s="1611" t="s">
        <v>1495</v>
      </c>
      <c r="D21" s="1642" t="s">
        <v>1496</v>
      </c>
      <c r="E21" s="1612" t="s">
        <v>1497</v>
      </c>
      <c r="F21" s="1641"/>
      <c r="G21" s="1616"/>
      <c r="H21" s="1588"/>
      <c r="I21" s="1689"/>
      <c r="J21" s="1700"/>
      <c r="K21" s="1704"/>
      <c r="L21" s="1705" t="s">
        <v>1498</v>
      </c>
      <c r="M21" s="1706"/>
      <c r="N21" s="1706"/>
      <c r="O21" s="1707"/>
      <c r="P21" s="1628">
        <v>365</v>
      </c>
      <c r="Q21" s="1592"/>
      <c r="R21" s="1748">
        <f>ROUND(M21*N21*O21*P21/10000,0)</f>
        <v>0</v>
      </c>
      <c r="S21" s="1734"/>
      <c r="T21" s="1734"/>
      <c r="U21" s="1734"/>
      <c r="V21" s="1689"/>
    </row>
    <row r="22" s="1570" customFormat="1" customHeight="1" spans="1:22">
      <c r="A22" s="1603"/>
      <c r="B22" s="1604"/>
      <c r="C22" s="1643" t="s">
        <v>1499</v>
      </c>
      <c r="D22" s="1644" t="s">
        <v>1500</v>
      </c>
      <c r="E22" s="1645" t="s">
        <v>1501</v>
      </c>
      <c r="F22" s="1641"/>
      <c r="G22" s="1646"/>
      <c r="H22" s="1588"/>
      <c r="I22" s="1689"/>
      <c r="J22" s="1700"/>
      <c r="K22" s="1704"/>
      <c r="L22" s="1705" t="s">
        <v>1502</v>
      </c>
      <c r="M22" s="1706"/>
      <c r="N22" s="1706"/>
      <c r="O22" s="1707"/>
      <c r="P22" s="1628">
        <v>365</v>
      </c>
      <c r="Q22" s="1592"/>
      <c r="R22" s="1748">
        <f>ROUND(M22*N22*O22*P22/10000,0)</f>
        <v>0</v>
      </c>
      <c r="S22" s="1734"/>
      <c r="T22" s="1734"/>
      <c r="U22" s="1734"/>
      <c r="V22" s="1689"/>
    </row>
    <row r="23" s="1570" customFormat="1" customHeight="1" spans="1:22">
      <c r="A23" s="1647">
        <v>1</v>
      </c>
      <c r="B23" s="1648" t="s">
        <v>1503</v>
      </c>
      <c r="C23" s="1649">
        <f>D6</f>
        <v>0</v>
      </c>
      <c r="D23" s="1650">
        <f>C23*(1+D24)</f>
        <v>0</v>
      </c>
      <c r="E23" s="1651">
        <f>D23*(1+E24)</f>
        <v>0</v>
      </c>
      <c r="F23" s="1652"/>
      <c r="G23" s="1653"/>
      <c r="H23" s="1588"/>
      <c r="I23" s="1689"/>
      <c r="J23" s="1700"/>
      <c r="K23" s="1704"/>
      <c r="L23" s="1705" t="s">
        <v>1504</v>
      </c>
      <c r="M23" s="1706"/>
      <c r="N23" s="1706"/>
      <c r="O23" s="1707"/>
      <c r="P23" s="1628">
        <v>365</v>
      </c>
      <c r="Q23" s="1592"/>
      <c r="R23" s="1748">
        <f>ROUND(M23*N23*O23*P23/10000,0)</f>
        <v>0</v>
      </c>
      <c r="S23" s="1737"/>
      <c r="T23" s="1737"/>
      <c r="U23" s="1737"/>
      <c r="V23" s="1689"/>
    </row>
    <row r="24" s="1570" customFormat="1" customHeight="1" spans="1:22">
      <c r="A24" s="1654"/>
      <c r="B24" s="1655" t="s">
        <v>1505</v>
      </c>
      <c r="C24" s="1656"/>
      <c r="D24" s="1657"/>
      <c r="E24" s="1658"/>
      <c r="F24" s="1659"/>
      <c r="G24" s="1653"/>
      <c r="H24" s="1588"/>
      <c r="I24" s="1689"/>
      <c r="J24" s="1700"/>
      <c r="K24" s="1708"/>
      <c r="L24" s="1709" t="s">
        <v>1469</v>
      </c>
      <c r="M24" s="1710">
        <f>SUM(M21:M23)</f>
        <v>0</v>
      </c>
      <c r="N24" s="1710"/>
      <c r="O24" s="1711"/>
      <c r="P24" s="1712" t="s">
        <v>1489</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1506</v>
      </c>
      <c r="L25" s="1715"/>
      <c r="M25" s="1715"/>
      <c r="N25" s="1715"/>
      <c r="O25" s="1715"/>
      <c r="P25" s="1716"/>
      <c r="Q25" s="1749">
        <v>0</v>
      </c>
      <c r="R25" s="1747">
        <f>ROUND(R14*Q25,0)</f>
        <v>0</v>
      </c>
      <c r="S25" s="1737"/>
      <c r="T25" s="1737"/>
      <c r="U25" s="1737"/>
      <c r="V25" s="1723"/>
    </row>
    <row r="26" s="1571" customFormat="1" customHeight="1" spans="1:22">
      <c r="A26" s="1647">
        <v>2</v>
      </c>
      <c r="B26" s="1648" t="s">
        <v>1507</v>
      </c>
      <c r="C26" s="1649">
        <f>D7</f>
        <v>0</v>
      </c>
      <c r="D26" s="1650">
        <f>D23*D27</f>
        <v>0</v>
      </c>
      <c r="E26" s="1651">
        <f>E23*E27</f>
        <v>0</v>
      </c>
      <c r="F26" s="1652"/>
      <c r="G26" s="1653"/>
      <c r="H26" s="1588"/>
      <c r="I26" s="1689"/>
      <c r="J26" s="1717">
        <v>5</v>
      </c>
      <c r="K26" s="1718" t="s">
        <v>1508</v>
      </c>
      <c r="L26" s="1719"/>
      <c r="M26" s="1720"/>
      <c r="N26" s="1721" t="s">
        <v>363</v>
      </c>
      <c r="O26" s="1721" t="s">
        <v>1509</v>
      </c>
      <c r="P26" s="1722" t="s">
        <v>1510</v>
      </c>
      <c r="Q26" s="1722" t="s">
        <v>1511</v>
      </c>
      <c r="R26" s="1741" t="s">
        <v>1440</v>
      </c>
      <c r="S26" s="1750"/>
      <c r="T26" s="1750"/>
      <c r="U26" s="1750"/>
      <c r="V26" s="1723"/>
    </row>
    <row r="27" s="1570" customFormat="1" customHeight="1" spans="1:22">
      <c r="A27" s="1654"/>
      <c r="B27" s="1655" t="s">
        <v>1512</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1513</v>
      </c>
      <c r="F28" s="1659"/>
      <c r="G28" s="1646"/>
      <c r="H28" s="1661"/>
      <c r="I28" s="1723"/>
      <c r="J28" s="1729">
        <v>6</v>
      </c>
      <c r="K28" s="1730" t="s">
        <v>1514</v>
      </c>
      <c r="L28" s="1731" t="s">
        <v>1515</v>
      </c>
      <c r="M28" s="1732"/>
      <c r="N28" s="1731" t="s">
        <v>1516</v>
      </c>
      <c r="O28" s="1733"/>
      <c r="P28" s="1731" t="s">
        <v>1517</v>
      </c>
      <c r="Q28" s="1752">
        <v>0.015</v>
      </c>
      <c r="R28" s="1753"/>
      <c r="S28" s="1734"/>
      <c r="T28" s="1734"/>
      <c r="U28" s="1734"/>
      <c r="V28" s="1723"/>
    </row>
    <row r="29" s="1571" customFormat="1" customHeight="1" spans="1:22">
      <c r="A29" s="1647">
        <v>3</v>
      </c>
      <c r="B29" s="1648" t="s">
        <v>1518</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1512</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1519</v>
      </c>
      <c r="K31" s="1688"/>
      <c r="L31" s="1688"/>
      <c r="M31" s="1688"/>
      <c r="N31" s="1688"/>
      <c r="O31" s="1688"/>
      <c r="P31" s="1688"/>
      <c r="Q31" s="1688"/>
      <c r="R31" s="1736"/>
      <c r="S31" s="1734"/>
      <c r="T31" s="1737"/>
      <c r="U31" s="1737"/>
      <c r="V31" s="1723"/>
    </row>
    <row r="32" s="1571" customFormat="1" customHeight="1" spans="1:22">
      <c r="A32" s="1647">
        <v>4</v>
      </c>
      <c r="B32" s="1648" t="s">
        <v>1520</v>
      </c>
      <c r="C32" s="1649">
        <f>C23-C26-C29</f>
        <v>0</v>
      </c>
      <c r="D32" s="1650">
        <f>D23-D26-D29</f>
        <v>0</v>
      </c>
      <c r="E32" s="1651">
        <f>E23-E26-E29</f>
        <v>0</v>
      </c>
      <c r="F32" s="1652"/>
      <c r="G32" s="1646"/>
      <c r="H32" s="1588"/>
      <c r="I32" s="1689"/>
      <c r="J32" s="1690" t="s">
        <v>1419</v>
      </c>
      <c r="K32" s="1691"/>
      <c r="L32" s="1692" t="s">
        <v>1420</v>
      </c>
      <c r="M32" s="1692" t="s">
        <v>1421</v>
      </c>
      <c r="N32" s="1692" t="s">
        <v>1422</v>
      </c>
      <c r="O32" s="1692" t="s">
        <v>1423</v>
      </c>
      <c r="P32" s="1692" t="s">
        <v>1424</v>
      </c>
      <c r="Q32" s="1738" t="s">
        <v>1425</v>
      </c>
      <c r="R32" s="1754" t="s">
        <v>1426</v>
      </c>
      <c r="S32" s="1734"/>
      <c r="T32" s="1737"/>
      <c r="U32" s="1737"/>
      <c r="V32" s="1723"/>
    </row>
    <row r="33" s="1570" customFormat="1" customHeight="1" spans="1:22">
      <c r="A33" s="1647"/>
      <c r="B33" s="1648"/>
      <c r="C33" s="1649"/>
      <c r="D33" s="1664"/>
      <c r="E33" s="1622"/>
      <c r="F33" s="1652"/>
      <c r="G33" s="1646"/>
      <c r="H33" s="1661"/>
      <c r="I33" s="1723"/>
      <c r="J33" s="1693" t="s">
        <v>1427</v>
      </c>
      <c r="K33" s="1694"/>
      <c r="L33" s="1695"/>
      <c r="M33" s="1695"/>
      <c r="N33" s="1695"/>
      <c r="O33" s="1695"/>
      <c r="P33" s="1695"/>
      <c r="Q33" s="1740"/>
      <c r="R33" s="1755">
        <f>SUM(L33:Q33)</f>
        <v>0</v>
      </c>
      <c r="S33" s="1734"/>
      <c r="T33" s="1737"/>
      <c r="U33" s="1737"/>
      <c r="V33" s="1689"/>
    </row>
    <row r="34" s="1570" customFormat="1" customHeight="1" spans="1:22">
      <c r="A34" s="1647">
        <v>5</v>
      </c>
      <c r="B34" s="1648" t="s">
        <v>1521</v>
      </c>
      <c r="C34" s="1665"/>
      <c r="D34" s="1666"/>
      <c r="E34" s="1667"/>
      <c r="F34" s="1652"/>
      <c r="G34" s="1646"/>
      <c r="H34" s="1661"/>
      <c r="I34" s="1723"/>
      <c r="J34" s="1693" t="s">
        <v>1428</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1522</v>
      </c>
      <c r="C35" s="1668"/>
      <c r="D35" s="1669"/>
      <c r="E35" s="1670"/>
      <c r="F35" s="1652"/>
      <c r="G35" s="1671"/>
      <c r="H35" s="1588"/>
      <c r="I35" s="1723"/>
      <c r="J35" s="1697" t="s">
        <v>1430</v>
      </c>
      <c r="K35" s="1698"/>
      <c r="L35" s="1698"/>
      <c r="M35" s="1699"/>
      <c r="N35" s="1699"/>
      <c r="O35" s="1699"/>
      <c r="P35" s="1699"/>
      <c r="Q35" s="1699"/>
      <c r="R35" s="1757">
        <f>R40+R41+R43</f>
        <v>0</v>
      </c>
      <c r="S35" s="1734"/>
      <c r="T35" s="1737" t="s">
        <v>1431</v>
      </c>
      <c r="U35" s="1737"/>
      <c r="V35" s="1689"/>
    </row>
    <row r="36" s="1570" customFormat="1" customHeight="1" spans="1:22">
      <c r="A36" s="1647">
        <v>7</v>
      </c>
      <c r="B36" s="1672" t="s">
        <v>1523</v>
      </c>
      <c r="C36" s="1673"/>
      <c r="D36" s="1674"/>
      <c r="E36" s="1675"/>
      <c r="F36" s="1676">
        <f>C36+D36+E36</f>
        <v>0</v>
      </c>
      <c r="G36" s="1646"/>
      <c r="H36" s="1588"/>
      <c r="I36" s="1689"/>
      <c r="J36" s="1700">
        <v>1</v>
      </c>
      <c r="K36" s="1701" t="s">
        <v>1524</v>
      </c>
      <c r="L36" s="1702"/>
      <c r="M36" s="1703"/>
      <c r="N36" s="1703"/>
      <c r="O36" s="1703"/>
      <c r="P36" s="1703"/>
      <c r="Q36" s="1703"/>
      <c r="R36" s="1741" t="s">
        <v>1440</v>
      </c>
      <c r="S36" s="1734"/>
      <c r="T36" s="1737" t="s">
        <v>1441</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1444</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1451</v>
      </c>
      <c r="U38" s="1737"/>
      <c r="V38" s="1689"/>
    </row>
    <row r="39" s="1570" customFormat="1" customHeight="1" spans="1:22">
      <c r="A39" s="1647">
        <v>9</v>
      </c>
      <c r="B39" s="1648" t="s">
        <v>1525</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1526</v>
      </c>
      <c r="C40" s="1679" t="e">
        <f>C39+D39+E39</f>
        <v>#DIV/0!</v>
      </c>
      <c r="D40" s="1680"/>
      <c r="E40" s="1680"/>
      <c r="F40" s="1681"/>
      <c r="G40" s="1646"/>
      <c r="H40" s="1588"/>
      <c r="I40" s="1689"/>
      <c r="J40" s="1700"/>
      <c r="K40" s="1708"/>
      <c r="L40" s="1709" t="s">
        <v>1469</v>
      </c>
      <c r="M40" s="1710"/>
      <c r="N40" s="1710"/>
      <c r="O40" s="1711"/>
      <c r="P40" s="1711"/>
      <c r="Q40" s="1745"/>
      <c r="R40" s="1739">
        <f>SUM(R37:R39)</f>
        <v>0</v>
      </c>
      <c r="S40" s="1734"/>
      <c r="T40" s="1737"/>
      <c r="U40" s="1737"/>
      <c r="V40" s="1689"/>
    </row>
    <row r="41" s="1570" customFormat="1" customHeight="1" spans="1:22">
      <c r="A41" s="1682">
        <v>11</v>
      </c>
      <c r="B41" s="1683" t="s">
        <v>1527</v>
      </c>
      <c r="C41" s="1683" t="e">
        <f>ROUND(C40*10000/B4,0)</f>
        <v>#DIV/0!</v>
      </c>
      <c r="D41" s="1684"/>
      <c r="E41" s="1684"/>
      <c r="F41" s="1685"/>
      <c r="G41" s="1686"/>
      <c r="H41" s="1588"/>
      <c r="I41" s="1689"/>
      <c r="J41" s="1700">
        <v>2</v>
      </c>
      <c r="K41" s="1714" t="s">
        <v>1506</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1508</v>
      </c>
      <c r="L42" s="1719"/>
      <c r="M42" s="1720"/>
      <c r="N42" s="1721" t="s">
        <v>363</v>
      </c>
      <c r="O42" s="1721" t="s">
        <v>1509</v>
      </c>
      <c r="P42" s="1722" t="s">
        <v>1510</v>
      </c>
      <c r="Q42" s="1722" t="s">
        <v>1511</v>
      </c>
      <c r="R42" s="1741" t="s">
        <v>1440</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1514</v>
      </c>
      <c r="L44" s="1735" t="s">
        <v>1515</v>
      </c>
      <c r="M44" s="1732"/>
      <c r="N44" s="1735" t="s">
        <v>1516</v>
      </c>
      <c r="O44" s="1732"/>
      <c r="P44" s="1735" t="s">
        <v>1517</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3" customWidth="1"/>
    <col min="2" max="2" width="12" style="383" customWidth="1"/>
    <col min="3" max="3" width="9" style="383"/>
    <col min="4" max="4" width="14.1111111111111" style="383" customWidth="1"/>
    <col min="5" max="5" width="9" style="383"/>
    <col min="6" max="6" width="12.8888888888889" style="383" customWidth="1"/>
    <col min="7" max="16384" width="9" style="383"/>
  </cols>
  <sheetData>
    <row r="1" ht="20.4" spans="1:19">
      <c r="A1" s="384" t="s">
        <v>1528</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7340</v>
      </c>
      <c r="C2" s="1551" t="s">
        <v>1529</v>
      </c>
      <c r="D2" s="1552" t="s">
        <v>1530</v>
      </c>
      <c r="E2" s="1553">
        <f>SUM(E6:E13)</f>
        <v>2791.88</v>
      </c>
      <c r="F2" s="1547"/>
      <c r="G2" s="1548"/>
      <c r="H2" s="1548"/>
      <c r="I2" s="1548"/>
      <c r="J2" s="1548"/>
      <c r="K2" s="1548"/>
      <c r="L2" s="1548"/>
      <c r="M2" s="1548"/>
      <c r="N2" s="1548"/>
      <c r="O2" s="1548"/>
      <c r="P2" s="1548"/>
      <c r="Q2" s="1548"/>
      <c r="R2" s="1548"/>
      <c r="S2" s="1548"/>
    </row>
    <row r="3" ht="15.6" spans="1:19">
      <c r="A3" s="1549" t="s">
        <v>918</v>
      </c>
      <c r="B3" s="1554">
        <f ca="1">ROUND(B2*10000/E2,0)</f>
        <v>26291</v>
      </c>
      <c r="C3" s="1551" t="s">
        <v>1531</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1532</v>
      </c>
      <c r="B5" s="1559" t="s">
        <v>1533</v>
      </c>
      <c r="C5" s="1560"/>
      <c r="D5" s="1561"/>
      <c r="E5" s="1562" t="s">
        <v>1534</v>
      </c>
      <c r="F5" s="1563" t="s">
        <v>1535</v>
      </c>
      <c r="G5" s="1548"/>
      <c r="H5" s="1548"/>
      <c r="I5" s="1548"/>
      <c r="J5" s="1548"/>
      <c r="K5" s="1548"/>
      <c r="L5" s="1548"/>
      <c r="M5" s="1548"/>
      <c r="N5" s="1548"/>
      <c r="O5" s="1548"/>
      <c r="P5" s="1548"/>
      <c r="Q5" s="1548"/>
      <c r="R5" s="1548"/>
      <c r="S5" s="1548"/>
    </row>
    <row r="6" ht="14.4" spans="1:19">
      <c r="A6" s="1564" t="str">
        <f>'数据-取费表'!AN6</f>
        <v>收益法</v>
      </c>
      <c r="B6" s="388">
        <f ca="1">IF(F6="是",'数据-取费表'!AO6,0)</f>
        <v>7340</v>
      </c>
      <c r="C6" s="1551" t="s">
        <v>1529</v>
      </c>
      <c r="D6" s="1555"/>
      <c r="E6" s="1565">
        <f>IF(OR(A6=0,F6="否"),0,'数据-取费表'!K6+'数据-取费表'!S6)</f>
        <v>2791.88</v>
      </c>
      <c r="F6" s="1566" t="s">
        <v>1536</v>
      </c>
      <c r="G6" s="1548"/>
      <c r="H6" s="1548"/>
      <c r="I6" s="1548"/>
      <c r="J6" s="1548"/>
      <c r="K6" s="1548"/>
      <c r="L6" s="1548"/>
      <c r="M6" s="1548"/>
      <c r="N6" s="1548"/>
      <c r="O6" s="1548"/>
      <c r="P6" s="1548"/>
      <c r="Q6" s="1548"/>
      <c r="R6" s="1548"/>
      <c r="S6" s="1548"/>
    </row>
    <row r="7" ht="14.4" spans="1:19">
      <c r="A7" s="1564">
        <f>'数据-取费表'!AN7</f>
        <v>0</v>
      </c>
      <c r="B7" s="388" t="e">
        <f ca="1">IF(F7="是",'数据-取费表'!AO7,0)</f>
        <v>#REF!</v>
      </c>
      <c r="C7" s="1551" t="s">
        <v>1529</v>
      </c>
      <c r="D7" s="1555"/>
      <c r="E7" s="1565">
        <f>IF(OR(A7=0,F7="否"),0,'数据-取费表'!K7+'数据-取费表'!S7)</f>
        <v>0</v>
      </c>
      <c r="F7" s="1566" t="s">
        <v>1536</v>
      </c>
      <c r="G7" s="1548"/>
      <c r="H7" s="1548"/>
      <c r="I7" s="1548"/>
      <c r="J7" s="1548"/>
      <c r="K7" s="1548"/>
      <c r="L7" s="1548"/>
      <c r="M7" s="1548"/>
      <c r="N7" s="1548"/>
      <c r="O7" s="1548"/>
      <c r="P7" s="1548"/>
      <c r="Q7" s="1548"/>
      <c r="R7" s="1548"/>
      <c r="S7" s="1548"/>
    </row>
    <row r="8" ht="14.4" spans="1:19">
      <c r="A8" s="1564">
        <f>'数据-取费表'!AN8</f>
        <v>0</v>
      </c>
      <c r="B8" s="388" t="e">
        <f ca="1">IF(F8="是",'数据-取费表'!AO8,0)</f>
        <v>#REF!</v>
      </c>
      <c r="C8" s="1551" t="s">
        <v>1529</v>
      </c>
      <c r="D8" s="1555"/>
      <c r="E8" s="1565">
        <f>IF(OR(A8=0,F8="否"),0,'数据-取费表'!K8+'数据-取费表'!S8)</f>
        <v>0</v>
      </c>
      <c r="F8" s="1566" t="s">
        <v>1536</v>
      </c>
      <c r="G8" s="1548"/>
      <c r="H8" s="1548"/>
      <c r="I8" s="1548"/>
      <c r="J8" s="1548"/>
      <c r="K8" s="1548"/>
      <c r="L8" s="1548"/>
      <c r="M8" s="1548"/>
      <c r="N8" s="1548"/>
      <c r="O8" s="1548"/>
      <c r="P8" s="1548"/>
      <c r="Q8" s="1548"/>
      <c r="R8" s="1548"/>
      <c r="S8" s="1548"/>
    </row>
    <row r="9" ht="14.4" spans="1:19">
      <c r="A9" s="1564">
        <f>'数据-取费表'!AN9</f>
        <v>0</v>
      </c>
      <c r="B9" s="388" t="e">
        <f ca="1">IF(F9="是",'数据-取费表'!AO9,0)</f>
        <v>#REF!</v>
      </c>
      <c r="C9" s="1551" t="s">
        <v>1529</v>
      </c>
      <c r="D9" s="1555"/>
      <c r="E9" s="1565">
        <f>IF(OR(A9=0,F9="否"),0,'数据-取费表'!K9+'数据-取费表'!S9)</f>
        <v>0</v>
      </c>
      <c r="F9" s="1566" t="s">
        <v>1536</v>
      </c>
      <c r="G9" s="1548"/>
      <c r="H9" s="1548"/>
      <c r="I9" s="1548"/>
      <c r="J9" s="1548"/>
      <c r="K9" s="1548"/>
      <c r="L9" s="1548"/>
      <c r="M9" s="1548"/>
      <c r="N9" s="1548"/>
      <c r="O9" s="1548"/>
      <c r="P9" s="1548"/>
      <c r="Q9" s="1548"/>
      <c r="R9" s="1548"/>
      <c r="S9" s="1548"/>
    </row>
    <row r="10" ht="14.4" spans="1:19">
      <c r="A10" s="1564">
        <f>'数据-取费表'!AN10</f>
        <v>0</v>
      </c>
      <c r="B10" s="388" t="e">
        <f ca="1">IF(F10="是",'数据-取费表'!AO10,0)</f>
        <v>#REF!</v>
      </c>
      <c r="C10" s="1551" t="s">
        <v>1529</v>
      </c>
      <c r="D10" s="1555"/>
      <c r="E10" s="1565">
        <f>IF(OR(A10=0,F10="否"),0,'数据-取费表'!K10+'数据-取费表'!S10)</f>
        <v>0</v>
      </c>
      <c r="F10" s="1566" t="s">
        <v>1536</v>
      </c>
      <c r="G10" s="1548"/>
      <c r="H10" s="1548"/>
      <c r="I10" s="1548"/>
      <c r="J10" s="1548"/>
      <c r="K10" s="1548"/>
      <c r="L10" s="1548"/>
      <c r="M10" s="1548"/>
      <c r="N10" s="1548"/>
      <c r="O10" s="1548"/>
      <c r="P10" s="1548"/>
      <c r="Q10" s="1548"/>
      <c r="R10" s="1548"/>
      <c r="S10" s="1548"/>
    </row>
    <row r="11" ht="14.4" spans="1:19">
      <c r="A11" s="1564">
        <f>'数据-取费表'!AN11</f>
        <v>0</v>
      </c>
      <c r="B11" s="388" t="e">
        <f ca="1">IF(F11="是",'数据-取费表'!AO11,0)</f>
        <v>#REF!</v>
      </c>
      <c r="C11" s="1551" t="s">
        <v>1529</v>
      </c>
      <c r="D11" s="1555"/>
      <c r="E11" s="1565">
        <f>IF(OR(A11=0,F11="否"),0,'数据-取费表'!K11+'数据-取费表'!S11)</f>
        <v>0</v>
      </c>
      <c r="F11" s="1566" t="s">
        <v>1536</v>
      </c>
      <c r="G11" s="1548"/>
      <c r="H11" s="1548"/>
      <c r="I11" s="1548"/>
      <c r="J11" s="1548"/>
      <c r="K11" s="1548"/>
      <c r="L11" s="1548"/>
      <c r="M11" s="1548"/>
      <c r="N11" s="1548"/>
      <c r="O11" s="1548"/>
      <c r="P11" s="1548"/>
      <c r="Q11" s="1548"/>
      <c r="R11" s="1548"/>
      <c r="S11" s="1548"/>
    </row>
    <row r="12" ht="14.4" spans="1:19">
      <c r="A12" s="1564">
        <f>'数据-取费表'!AN12</f>
        <v>0</v>
      </c>
      <c r="B12" s="388" t="e">
        <f ca="1">IF(F12="是",'数据-取费表'!AO12,0)</f>
        <v>#REF!</v>
      </c>
      <c r="C12" s="1551" t="s">
        <v>1529</v>
      </c>
      <c r="D12" s="1555"/>
      <c r="E12" s="1565">
        <f>IF(OR(A12=0,F12="否"),0,'数据-取费表'!K12+'数据-取费表'!S12)</f>
        <v>0</v>
      </c>
      <c r="F12" s="1566" t="s">
        <v>1536</v>
      </c>
      <c r="G12" s="1548"/>
      <c r="H12" s="1548"/>
      <c r="I12" s="1548"/>
      <c r="J12" s="1548"/>
      <c r="K12" s="1548"/>
      <c r="L12" s="1548"/>
      <c r="M12" s="1548"/>
      <c r="N12" s="1548"/>
      <c r="O12" s="1548"/>
      <c r="P12" s="1548"/>
      <c r="Q12" s="1548"/>
      <c r="R12" s="1548"/>
      <c r="S12" s="1548"/>
    </row>
    <row r="13" ht="15.15" spans="1:19">
      <c r="A13" s="1567">
        <f>'数据-取费表'!AN13</f>
        <v>0</v>
      </c>
      <c r="B13" s="388" t="e">
        <f ca="1">IF(F13="是",'数据-取费表'!AO13,0)</f>
        <v>#REF!</v>
      </c>
      <c r="C13" s="1568" t="s">
        <v>1529</v>
      </c>
      <c r="D13" s="1569"/>
      <c r="E13" s="1565">
        <f>IF(OR(A13=0,F13="否"),0,'数据-取费表'!K13+'数据-取费表'!S13)</f>
        <v>0</v>
      </c>
      <c r="F13" s="1566" t="s">
        <v>1536</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1537</v>
      </c>
      <c r="C1" s="1305" t="s">
        <v>914</v>
      </c>
      <c r="D1" s="1249"/>
      <c r="E1" s="1461"/>
      <c r="F1" s="1251" t="s">
        <v>1538</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4.4"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spans="1:29">
      <c r="A5" s="852"/>
      <c r="B5" s="853"/>
      <c r="C5" s="854" t="s">
        <v>927</v>
      </c>
      <c r="D5" s="855"/>
      <c r="E5" s="856" t="s">
        <v>1539</v>
      </c>
      <c r="F5" s="857"/>
      <c r="G5" s="854" t="s">
        <v>1540</v>
      </c>
      <c r="H5" s="855"/>
      <c r="I5" s="854" t="s">
        <v>1541</v>
      </c>
      <c r="J5" s="855"/>
      <c r="K5" s="1478"/>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ht="14.4"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1542</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1544</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965</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966</v>
      </c>
      <c r="B32" s="873" t="s">
        <v>967</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968</v>
      </c>
      <c r="Q32" s="591" t="str">
        <f t="shared" si="11"/>
        <v>建筑类型</v>
      </c>
      <c r="R32" s="1074" t="s">
        <v>936</v>
      </c>
      <c r="S32" s="1075">
        <f t="shared" si="12"/>
        <v>100</v>
      </c>
      <c r="T32" s="1074" t="s">
        <v>936</v>
      </c>
      <c r="U32" s="1075">
        <f t="shared" si="13"/>
        <v>100</v>
      </c>
      <c r="V32" s="1074" t="s">
        <v>936</v>
      </c>
      <c r="W32" s="1075">
        <f t="shared" si="14"/>
        <v>100</v>
      </c>
      <c r="X32" s="1061"/>
      <c r="Y32" s="1036" t="s">
        <v>968</v>
      </c>
      <c r="Z32" s="1048" t="str">
        <f t="shared" si="18"/>
        <v>建筑类型</v>
      </c>
      <c r="AA32" s="1090">
        <f t="shared" si="15"/>
        <v>1</v>
      </c>
      <c r="AB32" s="1090">
        <f t="shared" si="16"/>
        <v>1</v>
      </c>
      <c r="AC32" s="1090">
        <f t="shared" si="17"/>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970</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1545</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972</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975</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968</v>
      </c>
      <c r="Q38" s="591" t="str">
        <f t="shared" si="11"/>
        <v>物业管理</v>
      </c>
      <c r="R38" s="1074" t="s">
        <v>936</v>
      </c>
      <c r="S38" s="1075">
        <f t="shared" si="12"/>
        <v>100</v>
      </c>
      <c r="T38" s="1074" t="s">
        <v>936</v>
      </c>
      <c r="U38" s="1075">
        <f t="shared" si="13"/>
        <v>100</v>
      </c>
      <c r="V38" s="1074" t="s">
        <v>936</v>
      </c>
      <c r="W38" s="1075">
        <f t="shared" si="14"/>
        <v>100</v>
      </c>
      <c r="X38" s="1061"/>
      <c r="Y38" s="1036" t="s">
        <v>968</v>
      </c>
      <c r="Z38" s="1048" t="str">
        <f t="shared" si="18"/>
        <v>物业管理</v>
      </c>
      <c r="AA38" s="1090">
        <f t="shared" si="15"/>
        <v>1</v>
      </c>
      <c r="AB38" s="1090">
        <f t="shared" si="16"/>
        <v>1</v>
      </c>
      <c r="AC38" s="1090">
        <f t="shared" si="17"/>
        <v>1</v>
      </c>
    </row>
    <row r="39" ht="15" spans="1:29">
      <c r="A39" s="931"/>
      <c r="B39" s="877" t="s">
        <v>977</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1546</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8.8" spans="1:29">
      <c r="A41" s="936"/>
      <c r="B41" s="877" t="s">
        <v>1547</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981</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28.8" spans="1:29">
      <c r="A43" s="931"/>
      <c r="B43" s="877" t="s">
        <v>983</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4.4" spans="1:29">
      <c r="A47" s="938" t="s">
        <v>985</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15" spans="1:17">
      <c r="A57" s="995" t="s">
        <v>993</v>
      </c>
      <c r="B57" s="996"/>
      <c r="C57" s="997"/>
      <c r="D57" s="997"/>
      <c r="E57" s="997"/>
      <c r="F57" s="998"/>
      <c r="G57" s="998"/>
      <c r="H57" s="997"/>
      <c r="I57" s="997"/>
      <c r="J57" s="997"/>
      <c r="K57" s="1241"/>
      <c r="L57" s="1242"/>
      <c r="M57" s="1056"/>
      <c r="N57" s="1056"/>
      <c r="O57" s="1056"/>
      <c r="P57" s="1489"/>
      <c r="Q57" s="1407"/>
    </row>
    <row r="58" s="832" customFormat="1" ht="14.4"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spans="1:16">
      <c r="A59" s="1301"/>
      <c r="B59" s="1471"/>
      <c r="C59" s="1302">
        <v>100</v>
      </c>
      <c r="D59" s="1436"/>
      <c r="E59" s="1108"/>
      <c r="F59" s="1108"/>
      <c r="G59" s="1108"/>
      <c r="H59" s="1108"/>
      <c r="I59" s="1108"/>
      <c r="J59" s="1108"/>
      <c r="K59" s="1108"/>
      <c r="L59" s="1108"/>
      <c r="M59" s="1309"/>
      <c r="N59" s="1108"/>
      <c r="O59" s="1309"/>
      <c r="P59" s="1491"/>
    </row>
    <row r="60" s="827" customFormat="1" ht="15.15" spans="1:17">
      <c r="A60" s="1099" t="s">
        <v>994</v>
      </c>
      <c r="B60" s="1100"/>
      <c r="C60" s="1101"/>
      <c r="D60" s="1102"/>
      <c r="E60" s="1102"/>
      <c r="F60" s="1102"/>
      <c r="G60" s="1102"/>
      <c r="H60" s="1102"/>
      <c r="I60" s="1102"/>
      <c r="J60" s="1102"/>
      <c r="K60" s="1102"/>
      <c r="L60" s="1102"/>
      <c r="M60" s="1150"/>
      <c r="N60" s="1102"/>
      <c r="O60" s="1150"/>
      <c r="P60" s="1491"/>
      <c r="Q60" s="1407"/>
    </row>
    <row r="61" s="827" customFormat="1" ht="14.4"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4.55" spans="1:17">
      <c r="A62" s="1103"/>
      <c r="B62" s="1104"/>
      <c r="C62" s="1436">
        <v>100</v>
      </c>
      <c r="D62" s="1108"/>
      <c r="E62" s="1108"/>
      <c r="F62" s="1108"/>
      <c r="G62" s="1108"/>
      <c r="H62" s="1108"/>
      <c r="I62" s="1108"/>
      <c r="J62" s="1108"/>
      <c r="K62" s="1108"/>
      <c r="L62" s="1108"/>
      <c r="M62" s="1156"/>
      <c r="N62" s="1410"/>
      <c r="O62" s="1410"/>
      <c r="P62" s="1491"/>
      <c r="Q62" s="1407"/>
    </row>
    <row r="63" ht="14.4" spans="1:17">
      <c r="A63" s="1109" t="s">
        <v>995</v>
      </c>
      <c r="B63" s="1110" t="s">
        <v>942</v>
      </c>
      <c r="C63" s="1132">
        <f>C9</f>
        <v>0</v>
      </c>
      <c r="D63" s="1037"/>
      <c r="E63" s="1037"/>
      <c r="F63" s="1037"/>
      <c r="G63" s="1037"/>
      <c r="H63" s="1037"/>
      <c r="I63" s="1037"/>
      <c r="J63" s="1037"/>
      <c r="K63" s="1157"/>
      <c r="L63" s="1158"/>
      <c r="M63" s="1159"/>
      <c r="N63" s="1412"/>
      <c r="O63" s="1412"/>
      <c r="P63" s="1493"/>
      <c r="Q63" s="1407"/>
    </row>
    <row r="64" ht="14.55" spans="1:17">
      <c r="A64" s="1111"/>
      <c r="B64" s="1112"/>
      <c r="C64" s="1113">
        <v>100</v>
      </c>
      <c r="D64" s="1113"/>
      <c r="E64" s="1113"/>
      <c r="F64" s="1113"/>
      <c r="G64" s="1113"/>
      <c r="H64" s="1113"/>
      <c r="I64" s="1113"/>
      <c r="J64" s="1113"/>
      <c r="K64" s="1113"/>
      <c r="L64" s="1113"/>
      <c r="M64" s="1162"/>
      <c r="N64" s="1414"/>
      <c r="O64" s="1414"/>
      <c r="P64" s="1493"/>
      <c r="Q64" s="1407"/>
    </row>
    <row r="65" ht="29.55" spans="1:17">
      <c r="A65" s="1111"/>
      <c r="B65" s="1114" t="s">
        <v>945</v>
      </c>
      <c r="C65" s="1115" t="s">
        <v>996</v>
      </c>
      <c r="D65" s="1115" t="s">
        <v>997</v>
      </c>
      <c r="E65" s="1115" t="s">
        <v>998</v>
      </c>
      <c r="F65" s="1115" t="s">
        <v>999</v>
      </c>
      <c r="G65" s="1115" t="s">
        <v>1000</v>
      </c>
      <c r="H65" s="1115" t="s">
        <v>1001</v>
      </c>
      <c r="I65" s="1115" t="s">
        <v>1002</v>
      </c>
      <c r="J65" s="1115"/>
      <c r="K65" s="1164"/>
      <c r="L65" s="1165"/>
      <c r="M65" s="1166"/>
      <c r="N65" s="1412"/>
      <c r="O65" s="1412"/>
      <c r="P65" s="1493"/>
      <c r="Q65" s="1407"/>
    </row>
    <row r="66" ht="14.5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15" spans="1:17">
      <c r="A67" s="1111"/>
      <c r="B67" s="1118" t="s">
        <v>948</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spans="1:17">
      <c r="A68" s="1111"/>
      <c r="B68" s="1120"/>
      <c r="C68" s="886"/>
      <c r="D68" s="886"/>
      <c r="E68" s="886"/>
      <c r="F68" s="886"/>
      <c r="G68" s="886"/>
      <c r="H68" s="886"/>
      <c r="I68" s="886"/>
      <c r="J68" s="886"/>
      <c r="K68" s="1168"/>
      <c r="L68" s="1169"/>
      <c r="M68" s="1170"/>
      <c r="N68" s="1412"/>
      <c r="O68" s="1412"/>
      <c r="P68" s="1493"/>
      <c r="Q68" s="1407"/>
    </row>
    <row r="69" ht="14.5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4.5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4.55" spans="1:17">
      <c r="A71" s="1121"/>
      <c r="B71" s="1116"/>
      <c r="C71" s="1124"/>
      <c r="D71" s="1113"/>
      <c r="E71" s="1113"/>
      <c r="F71" s="1113"/>
      <c r="G71" s="1113"/>
      <c r="H71" s="1113"/>
      <c r="I71" s="1113"/>
      <c r="J71" s="1113"/>
      <c r="K71" s="1113"/>
      <c r="L71" s="1113"/>
      <c r="M71" s="1162"/>
      <c r="N71" s="1414"/>
      <c r="O71" s="1414"/>
      <c r="P71" s="1497"/>
      <c r="Q71" s="1418"/>
    </row>
    <row r="72" s="829" customFormat="1" ht="14.5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4.55" spans="1:17">
      <c r="A73" s="1121"/>
      <c r="B73" s="1116"/>
      <c r="C73" s="1124"/>
      <c r="D73" s="1124"/>
      <c r="E73" s="1124"/>
      <c r="F73" s="1124"/>
      <c r="G73" s="1124"/>
      <c r="H73" s="1125"/>
      <c r="I73" s="1125"/>
      <c r="J73" s="1125"/>
      <c r="K73" s="1125"/>
      <c r="L73" s="1125"/>
      <c r="M73" s="1175"/>
      <c r="N73" s="1415"/>
      <c r="O73" s="1415"/>
      <c r="P73" s="1497"/>
      <c r="Q73" s="1418"/>
    </row>
    <row r="74" s="829" customFormat="1" ht="14.5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4.55" spans="1:17">
      <c r="A75" s="1127"/>
      <c r="B75" s="1128"/>
      <c r="C75" s="1129"/>
      <c r="D75" s="1129"/>
      <c r="E75" s="1129"/>
      <c r="F75" s="1129"/>
      <c r="G75" s="1129"/>
      <c r="H75" s="1130"/>
      <c r="I75" s="1130"/>
      <c r="J75" s="1130"/>
      <c r="K75" s="1130"/>
      <c r="L75" s="1130"/>
      <c r="M75" s="1179"/>
      <c r="N75" s="1415"/>
      <c r="O75" s="1415"/>
      <c r="P75" s="1497"/>
      <c r="Q75" s="1418"/>
    </row>
    <row r="76" ht="14.4" spans="1:17">
      <c r="A76" s="1109" t="s">
        <v>951</v>
      </c>
      <c r="B76" s="1110" t="s">
        <v>1542</v>
      </c>
      <c r="C76" s="1131" t="s">
        <v>1004</v>
      </c>
      <c r="D76" s="1131" t="s">
        <v>1005</v>
      </c>
      <c r="E76" s="1131" t="s">
        <v>1006</v>
      </c>
      <c r="F76" s="1131" t="s">
        <v>1007</v>
      </c>
      <c r="G76" s="1131" t="s">
        <v>1008</v>
      </c>
      <c r="H76" s="1132"/>
      <c r="I76" s="1132"/>
      <c r="J76" s="1132"/>
      <c r="K76" s="1180"/>
      <c r="L76" s="1181"/>
      <c r="M76" s="1182"/>
      <c r="N76" s="1412"/>
      <c r="O76" s="1412"/>
      <c r="P76" s="1500"/>
      <c r="Q76" s="1407"/>
    </row>
    <row r="77" ht="14.5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15" spans="1:17">
      <c r="A78" s="1111"/>
      <c r="B78" s="1114" t="s">
        <v>955</v>
      </c>
      <c r="C78" s="1133" t="s">
        <v>1004</v>
      </c>
      <c r="D78" s="1133" t="s">
        <v>1005</v>
      </c>
      <c r="E78" s="1133" t="s">
        <v>1006</v>
      </c>
      <c r="F78" s="1133" t="s">
        <v>1007</v>
      </c>
      <c r="G78" s="1133" t="s">
        <v>1008</v>
      </c>
      <c r="H78" s="1115"/>
      <c r="I78" s="1115"/>
      <c r="J78" s="1115"/>
      <c r="K78" s="1164"/>
      <c r="L78" s="1165"/>
      <c r="M78" s="1166"/>
      <c r="N78" s="1412"/>
      <c r="O78" s="1412"/>
      <c r="P78" s="1493"/>
      <c r="Q78" s="1407"/>
    </row>
    <row r="79" ht="14.5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15" spans="1:17">
      <c r="A80" s="1111"/>
      <c r="B80" s="1114" t="s">
        <v>956</v>
      </c>
      <c r="C80" s="1133" t="s">
        <v>1004</v>
      </c>
      <c r="D80" s="1133" t="s">
        <v>1005</v>
      </c>
      <c r="E80" s="1133" t="s">
        <v>1006</v>
      </c>
      <c r="F80" s="1133" t="s">
        <v>1007</v>
      </c>
      <c r="G80" s="1133" t="s">
        <v>1008</v>
      </c>
      <c r="H80" s="1115"/>
      <c r="I80" s="1115"/>
      <c r="J80" s="1115"/>
      <c r="K80" s="1164"/>
      <c r="L80" s="1165"/>
      <c r="M80" s="1166"/>
      <c r="N80" s="1412"/>
      <c r="O80" s="1412"/>
      <c r="P80" s="1493"/>
      <c r="Q80" s="1407"/>
    </row>
    <row r="81" ht="14.5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15" spans="1:17">
      <c r="A82" s="1111"/>
      <c r="B82" s="1118" t="s">
        <v>957</v>
      </c>
      <c r="C82" s="1115" t="s">
        <v>1009</v>
      </c>
      <c r="D82" s="1115" t="s">
        <v>1010</v>
      </c>
      <c r="E82" s="1115" t="s">
        <v>1011</v>
      </c>
      <c r="F82" s="1115" t="s">
        <v>1012</v>
      </c>
      <c r="G82" s="1115" t="s">
        <v>1013</v>
      </c>
      <c r="H82" s="1115"/>
      <c r="I82" s="1115"/>
      <c r="J82" s="1115"/>
      <c r="K82" s="1115"/>
      <c r="L82" s="1115"/>
      <c r="M82" s="1315"/>
      <c r="N82" s="1414"/>
      <c r="O82" s="1414"/>
      <c r="P82" s="1493"/>
      <c r="Q82" s="1407"/>
    </row>
    <row r="83" ht="14.5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15" spans="1:17">
      <c r="A84" s="1111"/>
      <c r="B84" s="1114" t="s">
        <v>1543</v>
      </c>
      <c r="C84" s="1133" t="s">
        <v>1004</v>
      </c>
      <c r="D84" s="1133" t="s">
        <v>1005</v>
      </c>
      <c r="E84" s="1133" t="s">
        <v>1006</v>
      </c>
      <c r="F84" s="1133" t="s">
        <v>1007</v>
      </c>
      <c r="G84" s="1133" t="s">
        <v>1008</v>
      </c>
      <c r="H84" s="1115"/>
      <c r="I84" s="1115"/>
      <c r="J84" s="1115"/>
      <c r="K84" s="1164"/>
      <c r="L84" s="1165"/>
      <c r="M84" s="1166"/>
      <c r="N84" s="1412"/>
      <c r="O84" s="1412"/>
      <c r="P84" s="1493"/>
      <c r="Q84" s="1407"/>
    </row>
    <row r="85" ht="14.5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15" spans="1:17">
      <c r="A86" s="1134"/>
      <c r="B86" s="1114" t="s">
        <v>1544</v>
      </c>
      <c r="C86" s="1122"/>
      <c r="D86" s="1122"/>
      <c r="E86" s="1122"/>
      <c r="F86" s="1122"/>
      <c r="G86" s="1122"/>
      <c r="H86" s="1122"/>
      <c r="I86" s="1122"/>
      <c r="J86" s="1122"/>
      <c r="K86" s="1122"/>
      <c r="L86" s="1316"/>
      <c r="M86" s="1317"/>
      <c r="N86" s="1410"/>
      <c r="O86" s="1410"/>
      <c r="P86" s="1493"/>
      <c r="Q86" s="1407"/>
    </row>
    <row r="87" s="827" customFormat="1" ht="14.5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15" spans="1:17">
      <c r="A88" s="1134"/>
      <c r="B88" s="1114" t="s">
        <v>965</v>
      </c>
      <c r="C88" s="1122"/>
      <c r="D88" s="1122"/>
      <c r="E88" s="1122"/>
      <c r="F88" s="1454"/>
      <c r="G88" s="1122"/>
      <c r="H88" s="1122"/>
      <c r="I88" s="1122"/>
      <c r="J88" s="1122"/>
      <c r="K88" s="1122"/>
      <c r="L88" s="1122"/>
      <c r="M88" s="1317"/>
      <c r="N88" s="1410"/>
      <c r="O88" s="1410"/>
      <c r="P88" s="1493"/>
      <c r="Q88" s="1407"/>
    </row>
    <row r="89" s="827" customFormat="1" ht="14.5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4.5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4.55" spans="1:17">
      <c r="A91" s="1121"/>
      <c r="B91" s="1116"/>
      <c r="C91" s="1124"/>
      <c r="D91" s="1124"/>
      <c r="E91" s="1124"/>
      <c r="F91" s="1124"/>
      <c r="G91" s="1124"/>
      <c r="H91" s="1125"/>
      <c r="I91" s="1125"/>
      <c r="J91" s="1125"/>
      <c r="K91" s="1125"/>
      <c r="L91" s="1125"/>
      <c r="M91" s="1175"/>
      <c r="N91" s="1415"/>
      <c r="O91" s="1415"/>
      <c r="P91" s="1497"/>
      <c r="Q91" s="1418"/>
    </row>
    <row r="92" ht="14.55" spans="1:17">
      <c r="A92" s="1111"/>
      <c r="B92" s="1114">
        <f>B28</f>
        <v>111</v>
      </c>
      <c r="C92" s="1122"/>
      <c r="D92" s="1122"/>
      <c r="E92" s="1122"/>
      <c r="F92" s="1122"/>
      <c r="G92" s="1139"/>
      <c r="H92" s="1139"/>
      <c r="I92" s="1139"/>
      <c r="J92" s="1139"/>
      <c r="K92" s="1190"/>
      <c r="L92" s="1191"/>
      <c r="M92" s="1192"/>
      <c r="N92" s="1412"/>
      <c r="O92" s="1412"/>
      <c r="P92" s="1493"/>
      <c r="Q92" s="1407"/>
    </row>
    <row r="93" ht="14.55" spans="1:17">
      <c r="A93" s="1111"/>
      <c r="B93" s="1116"/>
      <c r="C93" s="1124"/>
      <c r="D93" s="1113"/>
      <c r="E93" s="1113"/>
      <c r="F93" s="1113"/>
      <c r="G93" s="1113"/>
      <c r="H93" s="1113"/>
      <c r="I93" s="1113"/>
      <c r="J93" s="1113"/>
      <c r="K93" s="1113"/>
      <c r="L93" s="1113"/>
      <c r="M93" s="1162"/>
      <c r="N93" s="1414"/>
      <c r="O93" s="1414"/>
      <c r="P93" s="1493"/>
      <c r="Q93" s="1407"/>
    </row>
    <row r="94" ht="14.55" spans="1:17">
      <c r="A94" s="1111"/>
      <c r="B94" s="1114">
        <f>B29</f>
        <v>111</v>
      </c>
      <c r="C94" s="1122"/>
      <c r="D94" s="1122"/>
      <c r="E94" s="1122"/>
      <c r="F94" s="1122"/>
      <c r="G94" s="1139"/>
      <c r="H94" s="1139"/>
      <c r="I94" s="1139"/>
      <c r="J94" s="1139"/>
      <c r="K94" s="1190"/>
      <c r="L94" s="1191"/>
      <c r="M94" s="1192"/>
      <c r="N94" s="1412"/>
      <c r="O94" s="1412"/>
      <c r="P94" s="1493"/>
      <c r="Q94" s="1407"/>
    </row>
    <row r="95" ht="14.55" spans="1:17">
      <c r="A95" s="1111"/>
      <c r="B95" s="1116"/>
      <c r="C95" s="1124"/>
      <c r="D95" s="1124"/>
      <c r="E95" s="1124"/>
      <c r="F95" s="1124"/>
      <c r="G95" s="1113"/>
      <c r="H95" s="1113"/>
      <c r="I95" s="1113"/>
      <c r="J95" s="1113"/>
      <c r="K95" s="1113"/>
      <c r="L95" s="1113"/>
      <c r="M95" s="1162"/>
      <c r="N95" s="1414"/>
      <c r="O95" s="1414"/>
      <c r="P95" s="1493"/>
      <c r="Q95" s="1407"/>
    </row>
    <row r="96" ht="14.55" spans="1:17">
      <c r="A96" s="1111"/>
      <c r="B96" s="1114">
        <f>B30</f>
        <v>111</v>
      </c>
      <c r="C96" s="1122"/>
      <c r="D96" s="1122"/>
      <c r="E96" s="1122"/>
      <c r="F96" s="1122"/>
      <c r="G96" s="1139"/>
      <c r="H96" s="1139"/>
      <c r="I96" s="1139"/>
      <c r="J96" s="1139"/>
      <c r="K96" s="1190"/>
      <c r="L96" s="1191"/>
      <c r="M96" s="1192"/>
      <c r="N96" s="1412"/>
      <c r="O96" s="1412"/>
      <c r="P96" s="1493"/>
      <c r="Q96" s="1407"/>
    </row>
    <row r="97" ht="14.55" spans="1:17">
      <c r="A97" s="1111"/>
      <c r="B97" s="1116"/>
      <c r="C97" s="1129"/>
      <c r="D97" s="1129"/>
      <c r="E97" s="1129"/>
      <c r="F97" s="1129"/>
      <c r="G97" s="1113"/>
      <c r="H97" s="1113"/>
      <c r="I97" s="1113"/>
      <c r="J97" s="1113"/>
      <c r="K97" s="1113"/>
      <c r="L97" s="1113"/>
      <c r="M97" s="1162"/>
      <c r="N97" s="1414"/>
      <c r="O97" s="1414"/>
      <c r="P97" s="1493"/>
      <c r="Q97" s="1407"/>
    </row>
    <row r="98" ht="14.55" spans="1:17">
      <c r="A98" s="1111"/>
      <c r="B98" s="1118">
        <f>B31</f>
        <v>111</v>
      </c>
      <c r="C98" s="1140"/>
      <c r="D98" s="1140"/>
      <c r="E98" s="1140"/>
      <c r="F98" s="1140"/>
      <c r="G98" s="1140"/>
      <c r="H98" s="1140"/>
      <c r="I98" s="1140"/>
      <c r="J98" s="1140"/>
      <c r="K98" s="1193"/>
      <c r="L98" s="1194"/>
      <c r="M98" s="1195"/>
      <c r="N98" s="1412"/>
      <c r="O98" s="1412"/>
      <c r="P98" s="1493"/>
      <c r="Q98" s="1407"/>
    </row>
    <row r="99" ht="14.55" spans="1:17">
      <c r="A99" s="1419"/>
      <c r="B99" s="1128"/>
      <c r="C99" s="1141"/>
      <c r="D99" s="1141"/>
      <c r="E99" s="1141"/>
      <c r="F99" s="1141"/>
      <c r="G99" s="1141"/>
      <c r="H99" s="1141"/>
      <c r="I99" s="1141"/>
      <c r="J99" s="1141"/>
      <c r="K99" s="1141"/>
      <c r="L99" s="1141"/>
      <c r="M99" s="1196"/>
      <c r="N99" s="1414"/>
      <c r="O99" s="1414"/>
      <c r="P99" s="1493"/>
      <c r="Q99" s="1407"/>
    </row>
    <row r="100" ht="14.4" spans="1:17">
      <c r="A100" s="1109" t="s">
        <v>966</v>
      </c>
      <c r="B100" s="1110" t="s">
        <v>967</v>
      </c>
      <c r="C100" s="1037"/>
      <c r="D100" s="1037"/>
      <c r="E100" s="1037"/>
      <c r="F100" s="1037"/>
      <c r="G100" s="1037"/>
      <c r="H100" s="1037"/>
      <c r="I100" s="1037"/>
      <c r="J100" s="1037"/>
      <c r="K100" s="1157"/>
      <c r="L100" s="1158"/>
      <c r="M100" s="1159"/>
      <c r="N100" s="1412"/>
      <c r="O100" s="1412"/>
      <c r="P100" s="1493"/>
      <c r="Q100" s="1407"/>
    </row>
    <row r="101" ht="14.5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15" spans="1:17">
      <c r="A102" s="1111"/>
      <c r="B102" s="1114" t="s">
        <v>969</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4.55" spans="1:17">
      <c r="A104" s="1121"/>
      <c r="B104" s="1116"/>
      <c r="C104" s="1124"/>
      <c r="D104" s="1113"/>
      <c r="E104" s="1113"/>
      <c r="F104" s="1113"/>
      <c r="G104" s="1113"/>
      <c r="H104" s="1113"/>
      <c r="I104" s="1113"/>
      <c r="J104" s="1113"/>
      <c r="K104" s="1113"/>
      <c r="L104" s="1113"/>
      <c r="M104" s="1113"/>
      <c r="N104" s="1414"/>
      <c r="O104" s="1414"/>
      <c r="P104" s="1497"/>
      <c r="Q104" s="1418"/>
    </row>
    <row r="105" ht="15.15" spans="1:17">
      <c r="A105" s="1145"/>
      <c r="B105" s="1114" t="s">
        <v>970</v>
      </c>
      <c r="C105" s="1122"/>
      <c r="D105" s="1122"/>
      <c r="E105" s="1139"/>
      <c r="F105" s="1139"/>
      <c r="G105" s="1139"/>
      <c r="H105" s="1139"/>
      <c r="I105" s="1139"/>
      <c r="J105" s="1139"/>
      <c r="K105" s="1190"/>
      <c r="L105" s="1191"/>
      <c r="M105" s="1192"/>
      <c r="N105" s="1412"/>
      <c r="O105" s="1412"/>
      <c r="P105" s="1493"/>
      <c r="Q105" s="1407"/>
    </row>
    <row r="106" ht="14.5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15" spans="1:17">
      <c r="A107" s="1145"/>
      <c r="B107" s="1114" t="s">
        <v>1545</v>
      </c>
      <c r="C107" s="1139"/>
      <c r="D107" s="1139"/>
      <c r="E107" s="1139"/>
      <c r="F107" s="1139"/>
      <c r="G107" s="1139"/>
      <c r="H107" s="1139"/>
      <c r="I107" s="1139"/>
      <c r="J107" s="1139"/>
      <c r="K107" s="1190"/>
      <c r="L107" s="1191"/>
      <c r="M107" s="1192"/>
      <c r="N107" s="1412"/>
      <c r="O107" s="1412"/>
      <c r="P107" s="1493"/>
      <c r="Q107" s="1407"/>
    </row>
    <row r="108" ht="14.5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15" spans="1:17">
      <c r="A109" s="1145"/>
      <c r="B109" s="1114" t="s">
        <v>972</v>
      </c>
      <c r="C109" s="1122"/>
      <c r="D109" s="1122"/>
      <c r="E109" s="1122"/>
      <c r="F109" s="1139"/>
      <c r="G109" s="1139"/>
      <c r="H109" s="1139"/>
      <c r="I109" s="1139"/>
      <c r="J109" s="1139"/>
      <c r="K109" s="1190"/>
      <c r="L109" s="1191"/>
      <c r="M109" s="1192"/>
      <c r="N109" s="1412"/>
      <c r="O109" s="1412"/>
      <c r="P109" s="1493"/>
      <c r="Q109" s="1407"/>
    </row>
    <row r="110" ht="14.5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1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4.5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15" spans="1:17">
      <c r="A114" s="1145"/>
      <c r="B114" s="1114" t="s">
        <v>975</v>
      </c>
      <c r="C114" s="1122"/>
      <c r="D114" s="1122"/>
      <c r="E114" s="1139"/>
      <c r="F114" s="1139"/>
      <c r="G114" s="1139"/>
      <c r="H114" s="1139"/>
      <c r="I114" s="1139"/>
      <c r="J114" s="1139"/>
      <c r="K114" s="1190"/>
      <c r="L114" s="1191"/>
      <c r="M114" s="1192"/>
      <c r="N114" s="1412"/>
      <c r="O114" s="1412"/>
      <c r="P114" s="1493"/>
      <c r="Q114" s="1407"/>
    </row>
    <row r="115" ht="14.5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15" spans="1:17">
      <c r="A116" s="1145"/>
      <c r="B116" s="1114" t="s">
        <v>977</v>
      </c>
      <c r="C116" s="1122"/>
      <c r="D116" s="1122"/>
      <c r="E116" s="1122"/>
      <c r="F116" s="1122"/>
      <c r="G116" s="1122"/>
      <c r="H116" s="1139"/>
      <c r="I116" s="1139"/>
      <c r="J116" s="1139"/>
      <c r="K116" s="1190"/>
      <c r="L116" s="1191"/>
      <c r="M116" s="1192"/>
      <c r="N116" s="1412"/>
      <c r="O116" s="1412"/>
      <c r="P116" s="1493"/>
      <c r="Q116" s="1407"/>
    </row>
    <row r="117" ht="14.5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15" spans="1:17">
      <c r="A118" s="1145"/>
      <c r="B118" s="1114" t="s">
        <v>1546</v>
      </c>
      <c r="C118" s="1139"/>
      <c r="D118" s="1139"/>
      <c r="E118" s="1139"/>
      <c r="F118" s="1139"/>
      <c r="G118" s="1139"/>
      <c r="H118" s="1139"/>
      <c r="I118" s="1139"/>
      <c r="J118" s="1139"/>
      <c r="K118" s="1190"/>
      <c r="L118" s="1191"/>
      <c r="M118" s="1192"/>
      <c r="N118" s="1412"/>
      <c r="O118" s="1412"/>
      <c r="P118" s="1493"/>
      <c r="Q118" s="1407"/>
    </row>
    <row r="119" ht="14.5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9.55" spans="1:17">
      <c r="A120" s="1142"/>
      <c r="B120" s="1114" t="s">
        <v>1547</v>
      </c>
      <c r="C120" s="1122"/>
      <c r="D120" s="1122"/>
      <c r="E120" s="1122"/>
      <c r="F120" s="1122"/>
      <c r="G120" s="1122"/>
      <c r="H120" s="1122"/>
      <c r="I120" s="1122"/>
      <c r="J120" s="1122"/>
      <c r="K120" s="1122"/>
      <c r="L120" s="1316"/>
      <c r="M120" s="1317"/>
      <c r="N120" s="1415"/>
      <c r="O120" s="1415"/>
      <c r="P120" s="1497"/>
      <c r="Q120" s="1418"/>
    </row>
    <row r="121" s="829" customFormat="1" ht="14.55" spans="1:17">
      <c r="A121" s="1121"/>
      <c r="B121" s="1112"/>
      <c r="C121" s="1124"/>
      <c r="D121" s="1113"/>
      <c r="E121" s="1113"/>
      <c r="F121" s="1113"/>
      <c r="G121" s="1113"/>
      <c r="H121" s="1113"/>
      <c r="I121" s="1113"/>
      <c r="J121" s="1113"/>
      <c r="K121" s="1113"/>
      <c r="L121" s="1113"/>
      <c r="M121" s="1113"/>
      <c r="N121" s="1415"/>
      <c r="O121" s="1415"/>
      <c r="P121" s="1497"/>
      <c r="Q121" s="1418"/>
    </row>
    <row r="122" ht="15.15" spans="1:17">
      <c r="A122" s="1145"/>
      <c r="B122" s="1114" t="s">
        <v>981</v>
      </c>
      <c r="C122" s="1122"/>
      <c r="D122" s="1122"/>
      <c r="E122" s="1122"/>
      <c r="F122" s="1139"/>
      <c r="G122" s="1139"/>
      <c r="H122" s="1139"/>
      <c r="I122" s="1139"/>
      <c r="J122" s="1139"/>
      <c r="K122" s="1190"/>
      <c r="L122" s="1191"/>
      <c r="M122" s="1192"/>
      <c r="N122" s="1412"/>
      <c r="O122" s="1412"/>
      <c r="P122" s="1493"/>
      <c r="Q122" s="1407"/>
    </row>
    <row r="123" ht="14.5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29.55" spans="1:17">
      <c r="A124" s="1145"/>
      <c r="B124" s="1114" t="s">
        <v>983</v>
      </c>
      <c r="C124" s="1133" t="s">
        <v>1004</v>
      </c>
      <c r="D124" s="1133" t="s">
        <v>1005</v>
      </c>
      <c r="E124" s="1133" t="s">
        <v>1006</v>
      </c>
      <c r="F124" s="1133" t="s">
        <v>1007</v>
      </c>
      <c r="G124" s="1133" t="s">
        <v>1008</v>
      </c>
      <c r="H124" s="1115"/>
      <c r="I124" s="1115"/>
      <c r="J124" s="1115"/>
      <c r="K124" s="1164"/>
      <c r="L124" s="1165"/>
      <c r="M124" s="1166"/>
      <c r="N124" s="1412"/>
      <c r="O124" s="1412"/>
      <c r="P124" s="1497"/>
      <c r="Q124" s="1407"/>
    </row>
    <row r="125" ht="14.5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4.5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4.55" spans="1:17">
      <c r="A127" s="1121"/>
      <c r="B127" s="1116"/>
      <c r="C127" s="1124"/>
      <c r="D127" s="1113"/>
      <c r="E127" s="1113"/>
      <c r="F127" s="1113"/>
      <c r="G127" s="1124"/>
      <c r="H127" s="1125"/>
      <c r="I127" s="1125"/>
      <c r="J127" s="1125"/>
      <c r="K127" s="1125"/>
      <c r="L127" s="1125"/>
      <c r="M127" s="1175"/>
      <c r="N127" s="1415"/>
      <c r="O127" s="1415"/>
      <c r="P127" s="1497"/>
      <c r="Q127" s="1418"/>
    </row>
    <row r="128" ht="14.55" spans="1:17">
      <c r="A128" s="1145"/>
      <c r="B128" s="1114">
        <f>B45</f>
        <v>111</v>
      </c>
      <c r="C128" s="1122"/>
      <c r="D128" s="1122"/>
      <c r="E128" s="1122"/>
      <c r="F128" s="1122"/>
      <c r="G128" s="1139"/>
      <c r="H128" s="1139"/>
      <c r="I128" s="1139"/>
      <c r="J128" s="1139"/>
      <c r="K128" s="1190"/>
      <c r="L128" s="1191"/>
      <c r="M128" s="1192"/>
      <c r="N128" s="1412"/>
      <c r="O128" s="1412"/>
      <c r="P128" s="1493"/>
      <c r="Q128" s="1407"/>
    </row>
    <row r="129" ht="14.55" spans="1:17">
      <c r="A129" s="1111"/>
      <c r="B129" s="1116"/>
      <c r="C129" s="1124"/>
      <c r="D129" s="1124"/>
      <c r="E129" s="1124"/>
      <c r="F129" s="1124"/>
      <c r="G129" s="1113"/>
      <c r="H129" s="1113"/>
      <c r="I129" s="1113"/>
      <c r="J129" s="1113"/>
      <c r="K129" s="1113"/>
      <c r="L129" s="1113"/>
      <c r="M129" s="1162"/>
      <c r="N129" s="1414"/>
      <c r="O129" s="1414"/>
      <c r="P129" s="1493"/>
      <c r="Q129" s="1407"/>
    </row>
    <row r="130" ht="14.55" spans="1:17">
      <c r="A130" s="1145"/>
      <c r="B130" s="1118">
        <f>B46</f>
        <v>111</v>
      </c>
      <c r="C130" s="1122"/>
      <c r="D130" s="1122"/>
      <c r="E130" s="1122"/>
      <c r="F130" s="1122"/>
      <c r="G130" s="1140"/>
      <c r="H130" s="1140"/>
      <c r="I130" s="1140"/>
      <c r="J130" s="1140"/>
      <c r="K130" s="1106"/>
      <c r="L130" s="1152"/>
      <c r="M130" s="1195"/>
      <c r="N130" s="1412"/>
      <c r="O130" s="1412"/>
      <c r="P130" s="1493"/>
      <c r="Q130" s="1407"/>
    </row>
    <row r="131" ht="14.55" spans="1:17">
      <c r="A131" s="1419"/>
      <c r="B131" s="1128"/>
      <c r="C131" s="1129"/>
      <c r="D131" s="1129"/>
      <c r="E131" s="1129"/>
      <c r="F131" s="1129"/>
      <c r="G131" s="1141"/>
      <c r="H131" s="1141"/>
      <c r="I131" s="1141"/>
      <c r="J131" s="1141"/>
      <c r="K131" s="1141"/>
      <c r="L131" s="1141"/>
      <c r="M131" s="1196"/>
      <c r="N131" s="1414"/>
      <c r="O131" s="1414"/>
      <c r="P131" s="1493"/>
      <c r="Q131" s="1407"/>
    </row>
    <row r="136" ht="15.15" spans="2:2">
      <c r="B136" s="1504" t="s">
        <v>1548</v>
      </c>
    </row>
    <row r="137" ht="15" spans="2:11">
      <c r="B137" s="1505" t="s">
        <v>1549</v>
      </c>
      <c r="C137" s="1506"/>
      <c r="D137" s="1506"/>
      <c r="E137" s="1506"/>
      <c r="F137" s="1506"/>
      <c r="G137" s="1507"/>
      <c r="H137" s="1508"/>
      <c r="I137" s="1533" t="s">
        <v>1550</v>
      </c>
      <c r="J137" s="1506"/>
      <c r="K137" s="1534"/>
    </row>
    <row r="138" ht="15" spans="2:11">
      <c r="B138" s="1509"/>
      <c r="C138" s="1510" t="s">
        <v>1551</v>
      </c>
      <c r="D138" s="1510" t="s">
        <v>1552</v>
      </c>
      <c r="E138" s="1511" t="s">
        <v>1553</v>
      </c>
      <c r="F138" s="1512" t="s">
        <v>1554</v>
      </c>
      <c r="G138" s="1510" t="s">
        <v>1552</v>
      </c>
      <c r="H138" s="1513" t="s">
        <v>1553</v>
      </c>
      <c r="I138" s="1535"/>
      <c r="J138" s="1510" t="s">
        <v>1555</v>
      </c>
      <c r="K138" s="1513" t="s">
        <v>1556</v>
      </c>
    </row>
    <row r="139" ht="15" spans="2:11">
      <c r="B139" s="1514">
        <v>6</v>
      </c>
      <c r="C139" s="1515">
        <v>96</v>
      </c>
      <c r="D139" s="1516" t="s">
        <v>1557</v>
      </c>
      <c r="E139" s="1517">
        <v>100</v>
      </c>
      <c r="F139" s="1518">
        <v>102.5</v>
      </c>
      <c r="G139" s="1516" t="s">
        <v>1557</v>
      </c>
      <c r="H139" s="1519">
        <v>105</v>
      </c>
      <c r="I139" s="1536" t="s">
        <v>1558</v>
      </c>
      <c r="J139" s="1515">
        <v>20</v>
      </c>
      <c r="K139" s="1537">
        <f>C145/(J139-2)</f>
        <v>0.00405555555555556</v>
      </c>
    </row>
    <row r="140" ht="15" spans="2:11">
      <c r="B140" s="1520">
        <v>5</v>
      </c>
      <c r="C140" s="1521">
        <v>100</v>
      </c>
      <c r="D140" s="1521"/>
      <c r="E140" s="1522"/>
      <c r="F140" s="1523">
        <v>102</v>
      </c>
      <c r="G140" s="1521"/>
      <c r="H140" s="1524"/>
      <c r="I140" s="1538" t="s">
        <v>1559</v>
      </c>
      <c r="J140" s="236">
        <f>ROUNDUP((J139-1)/2,0)</f>
        <v>10</v>
      </c>
      <c r="K140" s="1539">
        <v>100</v>
      </c>
    </row>
    <row r="141" ht="15" spans="2:11">
      <c r="B141" s="1520">
        <v>4</v>
      </c>
      <c r="C141" s="1521">
        <v>102</v>
      </c>
      <c r="D141" s="1521"/>
      <c r="E141" s="1522"/>
      <c r="F141" s="1523">
        <v>101.5</v>
      </c>
      <c r="G141" s="1521"/>
      <c r="H141" s="1524"/>
      <c r="I141" s="1538" t="s">
        <v>1560</v>
      </c>
      <c r="J141" s="236">
        <v>1</v>
      </c>
      <c r="K141" s="1540">
        <f>ROUND(100+(J141-J140)*K139*100,1)</f>
        <v>96.4</v>
      </c>
    </row>
    <row r="142" ht="15" spans="2:11">
      <c r="B142" s="1520">
        <v>3</v>
      </c>
      <c r="C142" s="1521">
        <v>103</v>
      </c>
      <c r="D142" s="1521"/>
      <c r="E142" s="1522"/>
      <c r="F142" s="1523">
        <v>101</v>
      </c>
      <c r="G142" s="1521"/>
      <c r="H142" s="1524"/>
      <c r="I142" s="1538" t="s">
        <v>1561</v>
      </c>
      <c r="J142" s="236">
        <f>J139</f>
        <v>20</v>
      </c>
      <c r="K142" s="1541">
        <v>95</v>
      </c>
    </row>
    <row r="143" ht="15" spans="2:11">
      <c r="B143" s="1520">
        <v>2</v>
      </c>
      <c r="C143" s="1521">
        <v>100</v>
      </c>
      <c r="D143" s="1521"/>
      <c r="E143" s="1522"/>
      <c r="F143" s="1523">
        <v>100.5</v>
      </c>
      <c r="G143" s="1521"/>
      <c r="H143" s="1524"/>
      <c r="I143" s="1538" t="s">
        <v>1562</v>
      </c>
      <c r="J143" s="1521">
        <v>15</v>
      </c>
      <c r="K143" s="1540">
        <f>ROUND(100+(J143-J140)*K139*100,1)</f>
        <v>102</v>
      </c>
    </row>
    <row r="144" ht="15" spans="2:11">
      <c r="B144" s="1520">
        <v>1</v>
      </c>
      <c r="C144" s="1521">
        <v>98</v>
      </c>
      <c r="D144" s="1525" t="s">
        <v>1563</v>
      </c>
      <c r="E144" s="1522">
        <v>102</v>
      </c>
      <c r="F144" s="1526">
        <v>100</v>
      </c>
      <c r="G144" s="1525" t="s">
        <v>1563</v>
      </c>
      <c r="H144" s="1524">
        <v>105</v>
      </c>
      <c r="I144" s="1538" t="s">
        <v>1562</v>
      </c>
      <c r="J144" s="1521">
        <v>18</v>
      </c>
      <c r="K144" s="1540">
        <f>ROUND(100+(J144-J140)*K139*100,1)</f>
        <v>103.2</v>
      </c>
    </row>
    <row r="145" ht="16.35" spans="2:11">
      <c r="B145" s="1527" t="s">
        <v>1564</v>
      </c>
      <c r="C145" s="1528">
        <f>ROUND(MAX(C139:C144)/MIN(C139:C144)-1,3)</f>
        <v>0.073</v>
      </c>
      <c r="D145" s="1529"/>
      <c r="E145" s="1529"/>
      <c r="F145" s="1530" t="s">
        <v>1565</v>
      </c>
      <c r="G145" s="1531"/>
      <c r="H145" s="1532"/>
      <c r="I145" s="1542" t="s">
        <v>1562</v>
      </c>
      <c r="J145" s="1543">
        <v>8</v>
      </c>
      <c r="K145" s="1544">
        <f>ROUND(100+(J145-J140)*K139*100,1)</f>
        <v>99.2</v>
      </c>
    </row>
    <row r="147" ht="14.4" spans="2:2">
      <c r="B147" s="1504" t="s">
        <v>1566</v>
      </c>
    </row>
    <row r="148" ht="14.4" spans="2:2">
      <c r="B148" s="1504"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1568</v>
      </c>
      <c r="C1" s="1305" t="s">
        <v>914</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48"/>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ht="14.4"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1569</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953</v>
      </c>
      <c r="Q15" s="591" t="str">
        <f t="shared" si="6"/>
        <v>商业繁华度</v>
      </c>
      <c r="R15" s="1074" t="s">
        <v>936</v>
      </c>
      <c r="S15" s="1075">
        <f t="shared" si="0"/>
        <v>100</v>
      </c>
      <c r="T15" s="1074" t="s">
        <v>936</v>
      </c>
      <c r="U15" s="1075">
        <f t="shared" si="1"/>
        <v>100</v>
      </c>
      <c r="V15" s="1074" t="s">
        <v>936</v>
      </c>
      <c r="W15" s="1075">
        <f t="shared" si="2"/>
        <v>100</v>
      </c>
      <c r="X15" s="1061"/>
      <c r="Y15" s="1026" t="s">
        <v>953</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1570</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1571</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1572</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962</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966</v>
      </c>
      <c r="B32" s="873" t="s">
        <v>1573</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968</v>
      </c>
      <c r="Q32" s="591" t="str">
        <f t="shared" si="11"/>
        <v>商业类型</v>
      </c>
      <c r="R32" s="1074" t="s">
        <v>936</v>
      </c>
      <c r="S32" s="1075">
        <f t="shared" si="12"/>
        <v>100</v>
      </c>
      <c r="T32" s="1074" t="s">
        <v>936</v>
      </c>
      <c r="U32" s="1075">
        <f t="shared" si="13"/>
        <v>100</v>
      </c>
      <c r="V32" s="1074" t="s">
        <v>936</v>
      </c>
      <c r="W32" s="1075">
        <f t="shared" si="14"/>
        <v>100</v>
      </c>
      <c r="X32" s="1061"/>
      <c r="Y32" s="1036" t="s">
        <v>968</v>
      </c>
      <c r="Z32" s="1048" t="str">
        <f t="shared" si="15"/>
        <v>商业类型</v>
      </c>
      <c r="AA32" s="1090">
        <f t="shared" si="3"/>
        <v>1</v>
      </c>
      <c r="AB32" s="1090">
        <f t="shared" si="4"/>
        <v>1</v>
      </c>
      <c r="AC32" s="1090">
        <f t="shared" si="5"/>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970</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972</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977</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1574</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968</v>
      </c>
      <c r="Q38" s="591" t="str">
        <f t="shared" si="11"/>
        <v>业态</v>
      </c>
      <c r="R38" s="1074" t="s">
        <v>936</v>
      </c>
      <c r="S38" s="1075">
        <f t="shared" si="12"/>
        <v>100</v>
      </c>
      <c r="T38" s="1074" t="s">
        <v>936</v>
      </c>
      <c r="U38" s="1075">
        <f t="shared" si="13"/>
        <v>100</v>
      </c>
      <c r="V38" s="1074" t="s">
        <v>936</v>
      </c>
      <c r="W38" s="1075">
        <f t="shared" si="14"/>
        <v>100</v>
      </c>
      <c r="X38" s="1061"/>
      <c r="Y38" s="1036" t="s">
        <v>968</v>
      </c>
      <c r="Z38" s="1048" t="str">
        <f t="shared" si="15"/>
        <v>业态</v>
      </c>
      <c r="AA38" s="1090">
        <f t="shared" si="3"/>
        <v>1</v>
      </c>
      <c r="AB38" s="1090">
        <f t="shared" si="4"/>
        <v>1</v>
      </c>
      <c r="AC38" s="1090">
        <f t="shared" si="5"/>
        <v>1</v>
      </c>
    </row>
    <row r="39" ht="15" spans="1:29">
      <c r="A39" s="931"/>
      <c r="B39" s="877" t="s">
        <v>978</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1029</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1575</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981</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28.8" spans="1:29">
      <c r="A43" s="931"/>
      <c r="B43" s="877" t="s">
        <v>983</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4.4" spans="1:29">
      <c r="A47" s="938" t="s">
        <v>985</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15" spans="1:29">
      <c r="A57" s="995" t="s">
        <v>993</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4.4"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15" spans="1:29">
      <c r="A60" s="1099" t="s">
        <v>994</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4.4"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4.5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ht="14.4" spans="1:29">
      <c r="A63" s="1109" t="s">
        <v>995</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4.5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9.55" spans="1:29">
      <c r="A65" s="1111"/>
      <c r="B65" s="1114" t="s">
        <v>945</v>
      </c>
      <c r="C65" s="1115" t="s">
        <v>996</v>
      </c>
      <c r="D65" s="1115" t="s">
        <v>997</v>
      </c>
      <c r="E65" s="1115" t="s">
        <v>998</v>
      </c>
      <c r="F65" s="1115" t="s">
        <v>999</v>
      </c>
      <c r="G65" s="1115" t="s">
        <v>1000</v>
      </c>
      <c r="H65" s="1115" t="s">
        <v>1001</v>
      </c>
      <c r="I65" s="1115" t="s">
        <v>1002</v>
      </c>
      <c r="J65" s="1115"/>
      <c r="K65" s="1164"/>
      <c r="L65" s="1165"/>
      <c r="M65" s="1166"/>
      <c r="N65" s="1160"/>
      <c r="O65" s="1160"/>
      <c r="P65" s="1450"/>
      <c r="Q65" s="1082"/>
      <c r="R65" s="955"/>
      <c r="S65" s="955"/>
      <c r="T65" s="955"/>
      <c r="U65" s="955"/>
      <c r="V65" s="955"/>
      <c r="W65" s="955"/>
      <c r="X65" s="955"/>
      <c r="Y65" s="955"/>
      <c r="Z65" s="955"/>
      <c r="AA65" s="955"/>
      <c r="AB65" s="955"/>
      <c r="AC65" s="955"/>
    </row>
    <row r="66" ht="14.55" spans="1:29">
      <c r="A66" s="1111"/>
      <c r="B66" s="1116"/>
      <c r="C66" s="1117" t="s">
        <v>1003</v>
      </c>
      <c r="D66" s="1117" t="s">
        <v>1003</v>
      </c>
      <c r="E66" s="1117" t="s">
        <v>1003</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15" spans="1:29">
      <c r="A67" s="1111"/>
      <c r="B67" s="1118" t="s">
        <v>948</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4.5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4.5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4.5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4.5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4.5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4.5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4.5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ht="14.4" spans="1:29">
      <c r="A76" s="1109" t="s">
        <v>951</v>
      </c>
      <c r="B76" s="1110" t="s">
        <v>1542</v>
      </c>
      <c r="C76" s="1131" t="s">
        <v>1004</v>
      </c>
      <c r="D76" s="1131" t="s">
        <v>1005</v>
      </c>
      <c r="E76" s="1131" t="s">
        <v>1006</v>
      </c>
      <c r="F76" s="1131" t="s">
        <v>1007</v>
      </c>
      <c r="G76" s="1131" t="s">
        <v>1008</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4.5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15" spans="1:29">
      <c r="A78" s="1111"/>
      <c r="B78" s="1114" t="s">
        <v>955</v>
      </c>
      <c r="C78" s="1133" t="s">
        <v>1004</v>
      </c>
      <c r="D78" s="1133" t="s">
        <v>1005</v>
      </c>
      <c r="E78" s="1133" t="s">
        <v>1006</v>
      </c>
      <c r="F78" s="1133" t="s">
        <v>1007</v>
      </c>
      <c r="G78" s="1133" t="s">
        <v>1008</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4.5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15" spans="1:29">
      <c r="A80" s="1111"/>
      <c r="B80" s="1114" t="s">
        <v>956</v>
      </c>
      <c r="C80" s="1133" t="s">
        <v>1004</v>
      </c>
      <c r="D80" s="1133" t="s">
        <v>1005</v>
      </c>
      <c r="E80" s="1133" t="s">
        <v>1006</v>
      </c>
      <c r="F80" s="1133" t="s">
        <v>1007</v>
      </c>
      <c r="G80" s="1133" t="s">
        <v>1008</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4.5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15" spans="1:29">
      <c r="A82" s="1111"/>
      <c r="B82" s="1118" t="s">
        <v>957</v>
      </c>
      <c r="C82" s="1138" t="s">
        <v>1009</v>
      </c>
      <c r="D82" s="1138" t="s">
        <v>1010</v>
      </c>
      <c r="E82" s="1138" t="s">
        <v>1011</v>
      </c>
      <c r="F82" s="1138" t="s">
        <v>1012</v>
      </c>
      <c r="G82" s="1138" t="s">
        <v>1013</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4.5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15" spans="1:29">
      <c r="A84" s="1111"/>
      <c r="B84" s="1114" t="s">
        <v>1543</v>
      </c>
      <c r="C84" s="1133" t="s">
        <v>1004</v>
      </c>
      <c r="D84" s="1133" t="s">
        <v>1005</v>
      </c>
      <c r="E84" s="1133" t="s">
        <v>1006</v>
      </c>
      <c r="F84" s="1133" t="s">
        <v>1007</v>
      </c>
      <c r="G84" s="1133" t="s">
        <v>1008</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4.5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15" spans="1:29">
      <c r="A86" s="1134"/>
      <c r="B86" s="1114" t="s">
        <v>1570</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4.5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1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4.5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1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4.5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1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4.5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4.5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4.5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4.5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4.5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4.5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4.5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ht="14.4" spans="1:29">
      <c r="A100" s="1109" t="s">
        <v>966</v>
      </c>
      <c r="B100" s="1110" t="s">
        <v>1573</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4.5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15" spans="1:29">
      <c r="A102" s="1111"/>
      <c r="B102" s="1114" t="s">
        <v>969</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4.5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15" spans="1:29">
      <c r="A105" s="1145"/>
      <c r="B105" s="1114" t="s">
        <v>970</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15" spans="1:29">
      <c r="A107" s="1145"/>
      <c r="B107" s="1114" t="s">
        <v>972</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1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4.5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15" spans="1:29">
      <c r="A112" s="1142"/>
      <c r="B112" s="1114" t="s">
        <v>977</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4.5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15" spans="1:29">
      <c r="A114" s="1145"/>
      <c r="B114" s="1114" t="s">
        <v>1574</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4.5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15" spans="1:29">
      <c r="A116" s="1145"/>
      <c r="B116" s="1114" t="s">
        <v>978</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4.5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15" spans="1:29">
      <c r="A118" s="1145"/>
      <c r="B118" s="1114" t="s">
        <v>1029</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4.5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15" spans="1:29">
      <c r="A120" s="1142"/>
      <c r="B120" s="1114" t="s">
        <v>1576</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4.5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15" spans="1:29">
      <c r="A122" s="1145"/>
      <c r="B122" s="1114" t="s">
        <v>981</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4.5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29.55" spans="1:29">
      <c r="A124" s="1145"/>
      <c r="B124" s="1114" t="s">
        <v>983</v>
      </c>
      <c r="C124" s="1133" t="s">
        <v>1004</v>
      </c>
      <c r="D124" s="1133" t="s">
        <v>1005</v>
      </c>
      <c r="E124" s="1133" t="s">
        <v>1006</v>
      </c>
      <c r="F124" s="1133" t="s">
        <v>1007</v>
      </c>
      <c r="G124" s="1133" t="s">
        <v>1008</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4.5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4.5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4.5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4.5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4.5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4.5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4.5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3" customWidth="1"/>
    <col min="2" max="16384" width="9" style="383"/>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估价对象为北京市房地产，为所有。根据《国有土地使用证》[]，估价对象（分摊）出让国有建设用地使用权面积为0平方米，建筑面积为2791.88平方米。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估价对象为北京市房地产,属开发建设的，该项目尚在开发建设中。根据《国有土地使用证》[]，估价对象（分摊）出让国有建设用地使用权面积为0平方米，规划建筑面积为2791.88平方米。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2022年10月24日</v>
      </c>
    </row>
    <row r="16" ht="17.4" spans="1:1">
      <c r="A16" s="3481" t="s">
        <v>90</v>
      </c>
    </row>
    <row r="17" ht="69.6" spans="1:1">
      <c r="A17" s="3476" t="s">
        <v>91</v>
      </c>
    </row>
    <row r="18" ht="69.6"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本次评估采用的主估价方法为比较法和比较法。</v>
      </c>
    </row>
    <row r="25" ht="17.4" spans="1:1">
      <c r="A25" s="3428"/>
    </row>
    <row r="26" ht="17.4"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1577</v>
      </c>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388"/>
      <c r="M5" s="1389"/>
      <c r="N5" s="1389"/>
      <c r="O5" s="1389"/>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1578</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100.8" spans="1:29">
      <c r="A17" s="880"/>
      <c r="B17" s="1218" t="s">
        <v>955</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43.2" spans="1:29">
      <c r="A21" s="880"/>
      <c r="B21" s="1222" t="s">
        <v>957</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86.4" spans="1:29">
      <c r="A23" s="880"/>
      <c r="B23" s="1218" t="s">
        <v>958</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30.6" spans="1:29">
      <c r="A29" s="1275" t="s">
        <v>966</v>
      </c>
      <c r="B29" s="873" t="s">
        <v>967</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968</v>
      </c>
      <c r="Q29" s="591" t="str">
        <f t="shared" si="11"/>
        <v>建筑类型</v>
      </c>
      <c r="R29" s="1074" t="s">
        <v>936</v>
      </c>
      <c r="S29" s="1075">
        <f t="shared" si="12"/>
        <v>100</v>
      </c>
      <c r="T29" s="1074" t="s">
        <v>936</v>
      </c>
      <c r="U29" s="1075">
        <f t="shared" si="13"/>
        <v>100</v>
      </c>
      <c r="V29" s="1074" t="s">
        <v>936</v>
      </c>
      <c r="W29" s="1075">
        <f t="shared" si="14"/>
        <v>100</v>
      </c>
      <c r="X29" s="1061"/>
      <c r="Y29" s="1036" t="s">
        <v>968</v>
      </c>
      <c r="Z29" s="1048" t="str">
        <f t="shared" si="15"/>
        <v>建筑类型</v>
      </c>
      <c r="AA29" s="1090">
        <f t="shared" si="3"/>
        <v>1</v>
      </c>
      <c r="AB29" s="1090">
        <f t="shared" si="4"/>
        <v>1</v>
      </c>
      <c r="AC29" s="1090">
        <f t="shared" si="5"/>
        <v>1</v>
      </c>
    </row>
    <row r="30" s="829" customFormat="1" ht="15" spans="1:29">
      <c r="A30" s="936"/>
      <c r="B30" s="877" t="s">
        <v>969</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970</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972</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975</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977</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968</v>
      </c>
      <c r="Q35" s="591" t="str">
        <f t="shared" si="11"/>
        <v>市政基础设施</v>
      </c>
      <c r="R35" s="1074" t="s">
        <v>936</v>
      </c>
      <c r="S35" s="1075">
        <f t="shared" si="12"/>
        <v>100</v>
      </c>
      <c r="T35" s="1074" t="s">
        <v>936</v>
      </c>
      <c r="U35" s="1075">
        <f t="shared" si="13"/>
        <v>100</v>
      </c>
      <c r="V35" s="1074" t="s">
        <v>936</v>
      </c>
      <c r="W35" s="1075">
        <f t="shared" si="14"/>
        <v>100</v>
      </c>
      <c r="X35" s="1061"/>
      <c r="Y35" s="1036" t="s">
        <v>968</v>
      </c>
      <c r="Z35" s="1048" t="str">
        <f t="shared" si="15"/>
        <v>市政基础设施</v>
      </c>
      <c r="AA35" s="1090">
        <f t="shared" si="3"/>
        <v>1</v>
      </c>
      <c r="AB35" s="1090">
        <f t="shared" si="4"/>
        <v>1</v>
      </c>
      <c r="AC35" s="1090">
        <f t="shared" si="5"/>
        <v>1</v>
      </c>
    </row>
    <row r="36" ht="15" spans="1:29">
      <c r="A36" s="931"/>
      <c r="B36" s="877" t="s">
        <v>981</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1579</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4.4" spans="1:29">
      <c r="A41" s="938" t="s">
        <v>985</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15" spans="1:29">
      <c r="A42" s="946" t="s">
        <v>986</v>
      </c>
      <c r="B42" s="1292"/>
      <c r="C42" s="1293" t="e">
        <f>R43</f>
        <v>#DIV/0!</v>
      </c>
      <c r="D42" s="949" t="s">
        <v>987</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15" spans="1:29">
      <c r="A43" s="952" t="s">
        <v>988</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15" spans="1:17">
      <c r="A51" s="995" t="s">
        <v>993</v>
      </c>
      <c r="B51" s="996"/>
      <c r="C51" s="997"/>
      <c r="D51" s="997"/>
      <c r="E51" s="997"/>
      <c r="F51" s="998"/>
      <c r="G51" s="998"/>
      <c r="H51" s="997"/>
      <c r="I51" s="997"/>
      <c r="J51" s="997"/>
      <c r="K51" s="1241"/>
      <c r="L51" s="1242"/>
      <c r="M51" s="1056"/>
      <c r="N51" s="1056"/>
      <c r="O51" s="1056"/>
      <c r="P51" s="1405"/>
      <c r="Q51" s="1407"/>
    </row>
    <row r="52" s="832" customFormat="1" ht="14.4"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spans="1:16">
      <c r="A53" s="1301"/>
      <c r="B53" s="1104"/>
      <c r="C53" s="1302">
        <v>100</v>
      </c>
      <c r="D53" s="1108"/>
      <c r="E53" s="1108"/>
      <c r="F53" s="1108"/>
      <c r="G53" s="1108"/>
      <c r="H53" s="1108"/>
      <c r="I53" s="1108"/>
      <c r="J53" s="1108"/>
      <c r="K53" s="1108"/>
      <c r="L53" s="1108"/>
      <c r="M53" s="1309"/>
      <c r="N53" s="1108"/>
      <c r="O53" s="1156"/>
      <c r="P53" s="1407"/>
    </row>
    <row r="54" s="827" customFormat="1" ht="15.15" spans="1:17">
      <c r="A54" s="1099" t="s">
        <v>994</v>
      </c>
      <c r="B54" s="1100"/>
      <c r="C54" s="1101"/>
      <c r="D54" s="1102"/>
      <c r="E54" s="1102"/>
      <c r="F54" s="1102"/>
      <c r="G54" s="1102"/>
      <c r="H54" s="1102"/>
      <c r="I54" s="1102"/>
      <c r="J54" s="1102"/>
      <c r="K54" s="1102"/>
      <c r="L54" s="1102"/>
      <c r="M54" s="1150"/>
      <c r="N54" s="1408"/>
      <c r="O54" s="1409"/>
      <c r="P54" s="1407"/>
      <c r="Q54" s="1407"/>
    </row>
    <row r="55" s="827" customFormat="1" ht="14.4"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4.55" spans="1:17">
      <c r="A56" s="1103"/>
      <c r="B56" s="1104"/>
      <c r="C56" s="1107">
        <v>100</v>
      </c>
      <c r="D56" s="1108"/>
      <c r="E56" s="1108"/>
      <c r="F56" s="1108"/>
      <c r="G56" s="1108"/>
      <c r="H56" s="1108"/>
      <c r="I56" s="1108"/>
      <c r="J56" s="1108"/>
      <c r="K56" s="1108"/>
      <c r="L56" s="1108"/>
      <c r="M56" s="1156"/>
      <c r="N56" s="1410"/>
      <c r="O56" s="1410"/>
      <c r="P56" s="1407"/>
      <c r="Q56" s="1407"/>
    </row>
    <row r="57" ht="14.4" spans="1:17">
      <c r="A57" s="1109" t="s">
        <v>995</v>
      </c>
      <c r="B57" s="1110" t="s">
        <v>942</v>
      </c>
      <c r="C57" s="1132">
        <f>C9</f>
        <v>0</v>
      </c>
      <c r="D57" s="1037"/>
      <c r="E57" s="1037"/>
      <c r="F57" s="1037"/>
      <c r="G57" s="1037"/>
      <c r="H57" s="1037"/>
      <c r="I57" s="1037"/>
      <c r="J57" s="1037"/>
      <c r="K57" s="1157"/>
      <c r="L57" s="1158"/>
      <c r="M57" s="1159"/>
      <c r="N57" s="1412"/>
      <c r="O57" s="1412"/>
      <c r="P57" s="1413"/>
      <c r="Q57" s="1407"/>
    </row>
    <row r="58" ht="14.55" spans="1:17">
      <c r="A58" s="1111"/>
      <c r="B58" s="1112"/>
      <c r="C58" s="1113">
        <v>100</v>
      </c>
      <c r="D58" s="1113"/>
      <c r="E58" s="1113"/>
      <c r="F58" s="1113"/>
      <c r="G58" s="1113"/>
      <c r="H58" s="1113"/>
      <c r="I58" s="1113"/>
      <c r="J58" s="1113"/>
      <c r="K58" s="1113"/>
      <c r="L58" s="1113"/>
      <c r="M58" s="1162"/>
      <c r="N58" s="1414"/>
      <c r="O58" s="1414"/>
      <c r="P58" s="1413"/>
      <c r="Q58" s="1407"/>
    </row>
    <row r="59" ht="29.55" spans="1:17">
      <c r="A59" s="1111"/>
      <c r="B59" s="1114" t="s">
        <v>945</v>
      </c>
      <c r="C59" s="1115" t="s">
        <v>996</v>
      </c>
      <c r="D59" s="1115" t="s">
        <v>997</v>
      </c>
      <c r="E59" s="1115" t="s">
        <v>998</v>
      </c>
      <c r="F59" s="1115" t="s">
        <v>999</v>
      </c>
      <c r="G59" s="1115" t="s">
        <v>1000</v>
      </c>
      <c r="H59" s="1115" t="s">
        <v>1001</v>
      </c>
      <c r="I59" s="1115" t="s">
        <v>1002</v>
      </c>
      <c r="J59" s="1115"/>
      <c r="K59" s="1164"/>
      <c r="L59" s="1165"/>
      <c r="M59" s="1166"/>
      <c r="N59" s="1412"/>
      <c r="O59" s="1412"/>
      <c r="P59" s="1413"/>
      <c r="Q59" s="1407"/>
    </row>
    <row r="60" ht="14.55" spans="1:17">
      <c r="A60" s="1111"/>
      <c r="B60" s="1116"/>
      <c r="C60" s="1117" t="s">
        <v>1003</v>
      </c>
      <c r="D60" s="1117" t="s">
        <v>1003</v>
      </c>
      <c r="E60" s="1117">
        <v>100</v>
      </c>
      <c r="F60" s="1117">
        <f>E60-$K10</f>
        <v>100</v>
      </c>
      <c r="G60" s="1117">
        <f>F60-$K10</f>
        <v>100</v>
      </c>
      <c r="H60" s="1117">
        <f>G60-$K10</f>
        <v>100</v>
      </c>
      <c r="I60" s="1117">
        <f>H60-$K10</f>
        <v>100</v>
      </c>
      <c r="J60" s="1117"/>
      <c r="K60" s="1117"/>
      <c r="L60" s="1117"/>
      <c r="M60" s="1167"/>
      <c r="N60" s="1414"/>
      <c r="O60" s="1414"/>
      <c r="P60" s="1413"/>
      <c r="Q60" s="1407"/>
    </row>
    <row r="61" ht="15.15" spans="1:17">
      <c r="A61" s="1111"/>
      <c r="B61" s="1118" t="s">
        <v>948</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spans="1:17">
      <c r="A62" s="1111"/>
      <c r="B62" s="1120"/>
      <c r="C62" s="886"/>
      <c r="D62" s="886"/>
      <c r="E62" s="886"/>
      <c r="F62" s="886"/>
      <c r="G62" s="886"/>
      <c r="H62" s="886"/>
      <c r="I62" s="886"/>
      <c r="J62" s="886"/>
      <c r="K62" s="1168"/>
      <c r="L62" s="1169"/>
      <c r="M62" s="1170"/>
      <c r="N62" s="1412"/>
      <c r="O62" s="1412"/>
      <c r="P62" s="1413"/>
      <c r="Q62" s="1407"/>
    </row>
    <row r="63" ht="14.5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4.5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4.55" spans="1:17">
      <c r="A65" s="1121"/>
      <c r="B65" s="1116"/>
      <c r="C65" s="1124"/>
      <c r="D65" s="1113"/>
      <c r="E65" s="1113"/>
      <c r="F65" s="1113"/>
      <c r="G65" s="1113"/>
      <c r="H65" s="1113"/>
      <c r="I65" s="1113"/>
      <c r="J65" s="1113"/>
      <c r="K65" s="1113"/>
      <c r="L65" s="1113"/>
      <c r="M65" s="1162"/>
      <c r="N65" s="1414"/>
      <c r="O65" s="1414"/>
      <c r="P65" s="1416"/>
      <c r="Q65" s="1418"/>
    </row>
    <row r="66" s="829" customFormat="1" ht="14.5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4.55" spans="1:17">
      <c r="A67" s="1121"/>
      <c r="B67" s="1116"/>
      <c r="C67" s="1124"/>
      <c r="D67" s="1113"/>
      <c r="E67" s="1113"/>
      <c r="F67" s="1113"/>
      <c r="G67" s="1124"/>
      <c r="H67" s="1125"/>
      <c r="I67" s="1125"/>
      <c r="J67" s="1125"/>
      <c r="K67" s="1125"/>
      <c r="L67" s="1125"/>
      <c r="M67" s="1175"/>
      <c r="N67" s="1415"/>
      <c r="O67" s="1415"/>
      <c r="P67" s="1416"/>
      <c r="Q67" s="1418"/>
    </row>
    <row r="68" s="829" customFormat="1" ht="14.5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4.55" spans="1:17">
      <c r="A69" s="1127"/>
      <c r="B69" s="1128"/>
      <c r="C69" s="1129"/>
      <c r="D69" s="1129"/>
      <c r="E69" s="1129"/>
      <c r="F69" s="1129"/>
      <c r="G69" s="1129"/>
      <c r="H69" s="1130"/>
      <c r="I69" s="1130"/>
      <c r="J69" s="1130"/>
      <c r="K69" s="1130"/>
      <c r="L69" s="1130"/>
      <c r="M69" s="1179"/>
      <c r="N69" s="1415"/>
      <c r="O69" s="1415"/>
      <c r="P69" s="1416"/>
      <c r="Q69" s="1418"/>
    </row>
    <row r="70" ht="14.4" spans="1:17">
      <c r="A70" s="1109" t="s">
        <v>951</v>
      </c>
      <c r="B70" s="1110" t="s">
        <v>1578</v>
      </c>
      <c r="C70" s="1131" t="s">
        <v>1004</v>
      </c>
      <c r="D70" s="1131" t="s">
        <v>1005</v>
      </c>
      <c r="E70" s="1131" t="s">
        <v>1006</v>
      </c>
      <c r="F70" s="1131" t="s">
        <v>1007</v>
      </c>
      <c r="G70" s="1131" t="s">
        <v>1008</v>
      </c>
      <c r="H70" s="1132"/>
      <c r="I70" s="1132"/>
      <c r="J70" s="1132"/>
      <c r="K70" s="1180"/>
      <c r="L70" s="1181"/>
      <c r="M70" s="1182"/>
      <c r="N70" s="1412"/>
      <c r="O70" s="1412"/>
      <c r="P70" s="1422"/>
      <c r="Q70" s="1407"/>
    </row>
    <row r="71" ht="14.5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15" spans="1:17">
      <c r="A72" s="1111"/>
      <c r="B72" s="1114" t="s">
        <v>955</v>
      </c>
      <c r="C72" s="1133" t="s">
        <v>1004</v>
      </c>
      <c r="D72" s="1133" t="s">
        <v>1005</v>
      </c>
      <c r="E72" s="1133" t="s">
        <v>1006</v>
      </c>
      <c r="F72" s="1133" t="s">
        <v>1007</v>
      </c>
      <c r="G72" s="1133" t="s">
        <v>1008</v>
      </c>
      <c r="H72" s="1115"/>
      <c r="I72" s="1115"/>
      <c r="J72" s="1115"/>
      <c r="K72" s="1164"/>
      <c r="L72" s="1165"/>
      <c r="M72" s="1166"/>
      <c r="N72" s="1412"/>
      <c r="O72" s="1412"/>
      <c r="P72" s="1413"/>
      <c r="Q72" s="1407"/>
    </row>
    <row r="73" ht="14.5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15" spans="1:17">
      <c r="A74" s="1111"/>
      <c r="B74" s="1114" t="s">
        <v>956</v>
      </c>
      <c r="C74" s="1133" t="s">
        <v>1004</v>
      </c>
      <c r="D74" s="1133" t="s">
        <v>1005</v>
      </c>
      <c r="E74" s="1133" t="s">
        <v>1006</v>
      </c>
      <c r="F74" s="1133" t="s">
        <v>1007</v>
      </c>
      <c r="G74" s="1133" t="s">
        <v>1008</v>
      </c>
      <c r="H74" s="1115"/>
      <c r="I74" s="1115"/>
      <c r="J74" s="1115"/>
      <c r="K74" s="1164"/>
      <c r="L74" s="1165"/>
      <c r="M74" s="1166"/>
      <c r="N74" s="1412"/>
      <c r="O74" s="1412"/>
      <c r="P74" s="1413"/>
      <c r="Q74" s="1407"/>
    </row>
    <row r="75" ht="14.5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15" spans="1:17">
      <c r="A76" s="1111"/>
      <c r="B76" s="1118" t="s">
        <v>957</v>
      </c>
      <c r="C76" s="1138" t="s">
        <v>1009</v>
      </c>
      <c r="D76" s="1138" t="s">
        <v>1010</v>
      </c>
      <c r="E76" s="1138" t="s">
        <v>1011</v>
      </c>
      <c r="F76" s="1138" t="s">
        <v>1012</v>
      </c>
      <c r="G76" s="1138" t="s">
        <v>1013</v>
      </c>
      <c r="H76" s="1115"/>
      <c r="I76" s="1115"/>
      <c r="J76" s="1115"/>
      <c r="K76" s="1115"/>
      <c r="L76" s="1115"/>
      <c r="M76" s="1315"/>
      <c r="N76" s="1414"/>
      <c r="O76" s="1414"/>
      <c r="P76" s="1413"/>
      <c r="Q76" s="1407"/>
    </row>
    <row r="77" ht="14.5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15" spans="1:17">
      <c r="A78" s="1111"/>
      <c r="B78" s="1114" t="s">
        <v>958</v>
      </c>
      <c r="C78" s="1133" t="s">
        <v>1004</v>
      </c>
      <c r="D78" s="1133" t="s">
        <v>1005</v>
      </c>
      <c r="E78" s="1133" t="s">
        <v>1006</v>
      </c>
      <c r="F78" s="1133" t="s">
        <v>1007</v>
      </c>
      <c r="G78" s="1133" t="s">
        <v>1008</v>
      </c>
      <c r="H78" s="1115"/>
      <c r="I78" s="1115"/>
      <c r="J78" s="1115"/>
      <c r="K78" s="1164"/>
      <c r="L78" s="1165"/>
      <c r="M78" s="1166"/>
      <c r="N78" s="1412"/>
      <c r="O78" s="1412"/>
      <c r="P78" s="1413"/>
      <c r="Q78" s="1407"/>
    </row>
    <row r="79" ht="14.5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4.5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4.55" spans="1:17">
      <c r="A81" s="1134"/>
      <c r="B81" s="1116"/>
      <c r="C81" s="1124"/>
      <c r="D81" s="1113"/>
      <c r="E81" s="1113"/>
      <c r="F81" s="1113"/>
      <c r="G81" s="1113"/>
      <c r="H81" s="1113"/>
      <c r="I81" s="1113"/>
      <c r="J81" s="1113"/>
      <c r="K81" s="1113"/>
      <c r="L81" s="1113"/>
      <c r="M81" s="1162"/>
      <c r="N81" s="1414"/>
      <c r="O81" s="1414"/>
      <c r="P81" s="1413"/>
      <c r="Q81" s="1407"/>
    </row>
    <row r="82" s="827" customFormat="1" ht="14.5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4.55" spans="1:17">
      <c r="A83" s="1134"/>
      <c r="B83" s="1116"/>
      <c r="C83" s="1124"/>
      <c r="D83" s="1113"/>
      <c r="E83" s="1113"/>
      <c r="F83" s="1113"/>
      <c r="G83" s="1113"/>
      <c r="H83" s="1113"/>
      <c r="I83" s="1113"/>
      <c r="J83" s="1113"/>
      <c r="K83" s="1113"/>
      <c r="L83" s="1113"/>
      <c r="M83" s="1162"/>
      <c r="N83" s="1414"/>
      <c r="O83" s="1414"/>
      <c r="P83" s="1413"/>
      <c r="Q83" s="1407"/>
    </row>
    <row r="84" s="829" customFormat="1" ht="14.5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4.55" spans="1:17">
      <c r="A85" s="1121"/>
      <c r="B85" s="1116"/>
      <c r="C85" s="1124"/>
      <c r="D85" s="1113"/>
      <c r="E85" s="1113"/>
      <c r="F85" s="1113"/>
      <c r="G85" s="1113"/>
      <c r="H85" s="1113"/>
      <c r="I85" s="1113"/>
      <c r="J85" s="1113"/>
      <c r="K85" s="1113"/>
      <c r="L85" s="1113"/>
      <c r="M85" s="1162"/>
      <c r="N85" s="1415"/>
      <c r="O85" s="1415"/>
      <c r="P85" s="1416"/>
      <c r="Q85" s="1418"/>
    </row>
    <row r="86" ht="14.55" spans="1:17">
      <c r="A86" s="1111"/>
      <c r="B86" s="1118">
        <f>B28</f>
        <v>111</v>
      </c>
      <c r="C86" s="1106"/>
      <c r="D86" s="1106"/>
      <c r="E86" s="1106"/>
      <c r="F86" s="1106"/>
      <c r="G86" s="1140"/>
      <c r="H86" s="1140"/>
      <c r="I86" s="1140"/>
      <c r="J86" s="1140"/>
      <c r="K86" s="1193"/>
      <c r="L86" s="1194"/>
      <c r="M86" s="1195"/>
      <c r="N86" s="1412"/>
      <c r="O86" s="1412"/>
      <c r="P86" s="1413"/>
      <c r="Q86" s="1407"/>
    </row>
    <row r="87" ht="14.55" spans="1:17">
      <c r="A87" s="1419"/>
      <c r="B87" s="1128"/>
      <c r="C87" s="1129"/>
      <c r="D87" s="1129"/>
      <c r="E87" s="1129"/>
      <c r="F87" s="1129"/>
      <c r="G87" s="1141"/>
      <c r="H87" s="1141"/>
      <c r="I87" s="1141"/>
      <c r="J87" s="1141"/>
      <c r="K87" s="1141"/>
      <c r="L87" s="1141"/>
      <c r="M87" s="1196"/>
      <c r="N87" s="1414"/>
      <c r="O87" s="1414"/>
      <c r="P87" s="1413"/>
      <c r="Q87" s="1407"/>
    </row>
    <row r="88" ht="14.4" spans="1:17">
      <c r="A88" s="1109" t="s">
        <v>966</v>
      </c>
      <c r="B88" s="1110" t="s">
        <v>967</v>
      </c>
      <c r="C88" s="1037"/>
      <c r="D88" s="1037"/>
      <c r="E88" s="1037"/>
      <c r="F88" s="1037"/>
      <c r="G88" s="1037"/>
      <c r="H88" s="1037"/>
      <c r="I88" s="1037"/>
      <c r="J88" s="1037"/>
      <c r="K88" s="1157"/>
      <c r="L88" s="1158"/>
      <c r="M88" s="1159"/>
      <c r="N88" s="1412"/>
      <c r="O88" s="1412"/>
      <c r="P88" s="1413"/>
      <c r="Q88" s="1407"/>
    </row>
    <row r="89" ht="14.5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15" spans="1:17">
      <c r="A90" s="1111"/>
      <c r="B90" s="1114" t="s">
        <v>969</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spans="1:17">
      <c r="A91" s="1142"/>
      <c r="B91" s="1143"/>
      <c r="C91" s="1098"/>
      <c r="D91" s="1098"/>
      <c r="E91" s="1098"/>
      <c r="F91" s="1098"/>
      <c r="G91" s="1098"/>
      <c r="H91" s="1098"/>
      <c r="I91" s="1098"/>
      <c r="J91" s="1197"/>
      <c r="K91" s="1197"/>
      <c r="L91" s="1198"/>
      <c r="M91" s="1199"/>
      <c r="N91" s="1415"/>
      <c r="O91" s="1415"/>
      <c r="P91" s="1416"/>
      <c r="Q91" s="1418"/>
    </row>
    <row r="92" s="829" customFormat="1" ht="14.55" spans="1:17">
      <c r="A92" s="1121"/>
      <c r="B92" s="1116"/>
      <c r="C92" s="1124"/>
      <c r="D92" s="1113"/>
      <c r="E92" s="1113"/>
      <c r="F92" s="1113"/>
      <c r="G92" s="1113"/>
      <c r="H92" s="1113"/>
      <c r="I92" s="1113"/>
      <c r="J92" s="1113"/>
      <c r="K92" s="1113"/>
      <c r="L92" s="1113"/>
      <c r="M92" s="1162"/>
      <c r="N92" s="1414"/>
      <c r="O92" s="1414"/>
      <c r="P92" s="1416"/>
      <c r="Q92" s="1418"/>
    </row>
    <row r="93" ht="15.15" spans="1:17">
      <c r="A93" s="1145"/>
      <c r="B93" s="1114" t="s">
        <v>970</v>
      </c>
      <c r="C93" s="1122"/>
      <c r="D93" s="1122"/>
      <c r="E93" s="1139"/>
      <c r="F93" s="1139"/>
      <c r="G93" s="1139"/>
      <c r="H93" s="1139"/>
      <c r="I93" s="1139"/>
      <c r="J93" s="1139"/>
      <c r="K93" s="1190"/>
      <c r="L93" s="1191"/>
      <c r="M93" s="1192"/>
      <c r="N93" s="1412"/>
      <c r="O93" s="1412"/>
      <c r="P93" s="1413"/>
      <c r="Q93" s="1407"/>
    </row>
    <row r="94" ht="14.5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15" spans="1:17">
      <c r="A95" s="1145"/>
      <c r="B95" s="1114" t="s">
        <v>972</v>
      </c>
      <c r="C95" s="1122"/>
      <c r="D95" s="1122"/>
      <c r="E95" s="1122"/>
      <c r="F95" s="1139"/>
      <c r="G95" s="1139"/>
      <c r="H95" s="1139"/>
      <c r="I95" s="1139"/>
      <c r="J95" s="1139"/>
      <c r="K95" s="1190"/>
      <c r="L95" s="1191"/>
      <c r="M95" s="1192"/>
      <c r="N95" s="1412"/>
      <c r="O95" s="1412"/>
      <c r="P95" s="1413"/>
      <c r="Q95" s="1407"/>
    </row>
    <row r="96" ht="14.5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1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4.5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15" spans="1:17">
      <c r="A100" s="1142"/>
      <c r="B100" s="1114" t="s">
        <v>975</v>
      </c>
      <c r="C100" s="1122"/>
      <c r="D100" s="1122"/>
      <c r="E100" s="1122"/>
      <c r="F100" s="1122"/>
      <c r="G100" s="1122"/>
      <c r="H100" s="1139"/>
      <c r="I100" s="1139"/>
      <c r="J100" s="1139"/>
      <c r="K100" s="1190"/>
      <c r="L100" s="1191"/>
      <c r="M100" s="1192"/>
      <c r="N100" s="1415"/>
      <c r="O100" s="1415"/>
      <c r="P100" s="1416"/>
      <c r="Q100" s="1418"/>
    </row>
    <row r="101" s="829" customFormat="1" ht="14.5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15" spans="1:17">
      <c r="A102" s="1145"/>
      <c r="B102" s="1114" t="s">
        <v>977</v>
      </c>
      <c r="C102" s="1122"/>
      <c r="D102" s="1122"/>
      <c r="E102" s="1122"/>
      <c r="F102" s="1122"/>
      <c r="G102" s="1122"/>
      <c r="H102" s="1139"/>
      <c r="I102" s="1139"/>
      <c r="J102" s="1139"/>
      <c r="K102" s="1190"/>
      <c r="L102" s="1191"/>
      <c r="M102" s="1192"/>
      <c r="N102" s="1412"/>
      <c r="O102" s="1412"/>
      <c r="P102" s="1413"/>
      <c r="Q102" s="1407"/>
    </row>
    <row r="103" ht="14.5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15" spans="1:17">
      <c r="A104" s="1145"/>
      <c r="B104" s="1114" t="s">
        <v>981</v>
      </c>
      <c r="C104" s="1122"/>
      <c r="D104" s="1122"/>
      <c r="E104" s="1122"/>
      <c r="F104" s="1122"/>
      <c r="G104" s="1122"/>
      <c r="H104" s="1139"/>
      <c r="I104" s="1139"/>
      <c r="J104" s="1139"/>
      <c r="K104" s="1190"/>
      <c r="L104" s="1191"/>
      <c r="M104" s="1192"/>
      <c r="N104" s="1412"/>
      <c r="O104" s="1412"/>
      <c r="P104" s="1413"/>
      <c r="Q104" s="1407"/>
    </row>
    <row r="105" ht="14.5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29.55" spans="1:17">
      <c r="A106" s="1145"/>
      <c r="B106" s="1313" t="s">
        <v>1580</v>
      </c>
      <c r="C106" s="1133" t="s">
        <v>1004</v>
      </c>
      <c r="D106" s="1133" t="s">
        <v>1005</v>
      </c>
      <c r="E106" s="1133" t="s">
        <v>1006</v>
      </c>
      <c r="F106" s="1133" t="s">
        <v>1007</v>
      </c>
      <c r="G106" s="1133" t="s">
        <v>1008</v>
      </c>
      <c r="H106" s="1115"/>
      <c r="I106" s="1115"/>
      <c r="J106" s="1115"/>
      <c r="K106" s="1164"/>
      <c r="L106" s="1165"/>
      <c r="M106" s="1166"/>
      <c r="N106" s="1414"/>
      <c r="O106" s="1414"/>
      <c r="P106" s="1423"/>
      <c r="Q106" s="1425"/>
    </row>
    <row r="107" ht="14.5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4.5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4.55" spans="1:17">
      <c r="A109" s="1121"/>
      <c r="B109" s="1112"/>
      <c r="C109" s="1124"/>
      <c r="D109" s="1113"/>
      <c r="E109" s="1113"/>
      <c r="F109" s="1113"/>
      <c r="G109" s="1124"/>
      <c r="H109" s="1125"/>
      <c r="I109" s="1125"/>
      <c r="J109" s="1125"/>
      <c r="K109" s="1125"/>
      <c r="L109" s="1125"/>
      <c r="M109" s="1175"/>
      <c r="N109" s="1415"/>
      <c r="O109" s="1415"/>
      <c r="P109" s="1416"/>
      <c r="Q109" s="1418"/>
    </row>
    <row r="110" ht="14.55" spans="1:17">
      <c r="A110" s="1145"/>
      <c r="B110" s="1114">
        <f>B39</f>
        <v>111</v>
      </c>
      <c r="C110" s="1122"/>
      <c r="D110" s="1122"/>
      <c r="E110" s="1122"/>
      <c r="F110" s="1122"/>
      <c r="G110" s="1122"/>
      <c r="H110" s="1123"/>
      <c r="I110" s="1123"/>
      <c r="J110" s="1123"/>
      <c r="K110" s="1123"/>
      <c r="L110" s="1171"/>
      <c r="M110" s="1172"/>
      <c r="N110" s="1412"/>
      <c r="O110" s="1412"/>
      <c r="P110" s="1413"/>
      <c r="Q110" s="1407"/>
    </row>
    <row r="111" ht="14.55" spans="1:17">
      <c r="A111" s="1111"/>
      <c r="B111" s="1116"/>
      <c r="C111" s="1124"/>
      <c r="D111" s="1113"/>
      <c r="E111" s="1113"/>
      <c r="F111" s="1113"/>
      <c r="G111" s="1124"/>
      <c r="H111" s="1125"/>
      <c r="I111" s="1125"/>
      <c r="J111" s="1125"/>
      <c r="K111" s="1125"/>
      <c r="L111" s="1125"/>
      <c r="M111" s="1175"/>
      <c r="N111" s="1414"/>
      <c r="O111" s="1414"/>
      <c r="P111" s="1413"/>
      <c r="Q111" s="1407"/>
    </row>
    <row r="112" ht="14.55" spans="1:17">
      <c r="A112" s="1145"/>
      <c r="B112" s="1118">
        <f>B40</f>
        <v>111</v>
      </c>
      <c r="C112" s="1106"/>
      <c r="D112" s="1106"/>
      <c r="E112" s="1106"/>
      <c r="F112" s="1106"/>
      <c r="G112" s="1140"/>
      <c r="H112" s="1140"/>
      <c r="I112" s="1140"/>
      <c r="J112" s="1140"/>
      <c r="K112" s="1106"/>
      <c r="L112" s="1152"/>
      <c r="M112" s="1195"/>
      <c r="N112" s="1412"/>
      <c r="O112" s="1412"/>
      <c r="P112" s="1413"/>
      <c r="Q112" s="1407"/>
    </row>
    <row r="113" ht="14.5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5.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914</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1582</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ht="14.4"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46" t="s">
        <v>951</v>
      </c>
      <c r="B14" s="895" t="s">
        <v>955</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3.2" spans="1:29">
      <c r="A16" s="852"/>
      <c r="B16" s="904" t="s">
        <v>956</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43.2" spans="1:29">
      <c r="A18" s="852"/>
      <c r="B18" s="911" t="s">
        <v>957</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7.6" spans="1:29">
      <c r="A20" s="852"/>
      <c r="B20" s="904" t="s">
        <v>1543</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962</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344" t="s">
        <v>966</v>
      </c>
      <c r="B26" s="1345" t="s">
        <v>1583</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968</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968</v>
      </c>
      <c r="Z26" s="1048" t="str">
        <f t="shared" ref="Z26:Z36" si="15">Q26</f>
        <v>配套类型</v>
      </c>
      <c r="AA26" s="1090">
        <f t="shared" si="3"/>
        <v>1</v>
      </c>
      <c r="AB26" s="1090">
        <f t="shared" si="4"/>
        <v>1</v>
      </c>
      <c r="AC26" s="1090">
        <f t="shared" si="5"/>
        <v>1</v>
      </c>
    </row>
    <row r="27" s="829" customFormat="1" ht="15" spans="1:29">
      <c r="A27" s="1347"/>
      <c r="B27" s="917" t="s">
        <v>1584</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972</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1585</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1586</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1587</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1588</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968</v>
      </c>
      <c r="Q32" s="591" t="str">
        <f t="shared" si="11"/>
        <v>车位类型</v>
      </c>
      <c r="R32" s="1074" t="s">
        <v>936</v>
      </c>
      <c r="S32" s="1075">
        <f t="shared" si="12"/>
        <v>100</v>
      </c>
      <c r="T32" s="1074" t="s">
        <v>936</v>
      </c>
      <c r="U32" s="1075">
        <f t="shared" si="13"/>
        <v>100</v>
      </c>
      <c r="V32" s="1074" t="s">
        <v>936</v>
      </c>
      <c r="W32" s="1075">
        <f t="shared" si="14"/>
        <v>100</v>
      </c>
      <c r="X32" s="1061"/>
      <c r="Y32" s="1036" t="s">
        <v>968</v>
      </c>
      <c r="Z32" s="1048" t="str">
        <f t="shared" si="15"/>
        <v>车位类型</v>
      </c>
      <c r="AA32" s="1090">
        <f t="shared" si="3"/>
        <v>1</v>
      </c>
      <c r="AB32" s="1090">
        <f t="shared" si="4"/>
        <v>1</v>
      </c>
      <c r="AC32" s="1090">
        <f t="shared" si="5"/>
        <v>1</v>
      </c>
    </row>
    <row r="33" ht="15" spans="1:29">
      <c r="A33" s="1349"/>
      <c r="B33" s="917" t="s">
        <v>1589</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4.4" spans="1:29">
      <c r="A37" s="938" t="s">
        <v>1590</v>
      </c>
      <c r="B37" s="1352" t="s">
        <v>1591</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15" spans="1:29">
      <c r="A38" s="946" t="s">
        <v>986</v>
      </c>
      <c r="B38" s="1292" t="str">
        <f>B37</f>
        <v>元/车位</v>
      </c>
      <c r="C38" s="1293" t="e">
        <f>R39</f>
        <v>#DIV/0!</v>
      </c>
      <c r="D38" s="949" t="s">
        <v>987</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15" spans="1:29">
      <c r="A39" s="952" t="s">
        <v>1592</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990</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991</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992</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15" spans="1:29">
      <c r="A47" s="1353" t="s">
        <v>993</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4.4"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15" spans="1:29">
      <c r="A50" s="1099" t="s">
        <v>994</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4.4"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4.5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ht="14.4" spans="1:29">
      <c r="A53" s="1109" t="s">
        <v>995</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4.5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9.55" spans="1:29">
      <c r="A55" s="1111"/>
      <c r="B55" s="1114" t="s">
        <v>945</v>
      </c>
      <c r="C55" s="1115" t="s">
        <v>996</v>
      </c>
      <c r="D55" s="1115" t="s">
        <v>997</v>
      </c>
      <c r="E55" s="1115" t="s">
        <v>998</v>
      </c>
      <c r="F55" s="1115" t="s">
        <v>999</v>
      </c>
      <c r="G55" s="1115" t="s">
        <v>1000</v>
      </c>
      <c r="H55" s="1115" t="s">
        <v>1001</v>
      </c>
      <c r="I55" s="1115" t="s">
        <v>1002</v>
      </c>
      <c r="J55" s="1115"/>
      <c r="K55" s="1164"/>
      <c r="L55" s="1165"/>
      <c r="M55" s="1166"/>
      <c r="N55" s="1160"/>
      <c r="O55" s="1160"/>
      <c r="P55" s="1369"/>
      <c r="Q55" s="1082"/>
      <c r="R55" s="955"/>
      <c r="S55" s="955"/>
      <c r="T55" s="955"/>
      <c r="U55" s="955"/>
      <c r="V55" s="955"/>
      <c r="W55" s="955"/>
      <c r="X55" s="955"/>
      <c r="Y55" s="955"/>
      <c r="Z55" s="955"/>
      <c r="AA55" s="955"/>
      <c r="AB55" s="955"/>
      <c r="AC55" s="955"/>
    </row>
    <row r="56" ht="14.55" spans="1:29">
      <c r="A56" s="1111"/>
      <c r="B56" s="1116"/>
      <c r="C56" s="1117" t="s">
        <v>1003</v>
      </c>
      <c r="D56" s="1117" t="s">
        <v>1003</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4.5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4.5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4.5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4.5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4.5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4.5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15" spans="1:29">
      <c r="A63" s="1109" t="s">
        <v>951</v>
      </c>
      <c r="B63" s="1110" t="s">
        <v>955</v>
      </c>
      <c r="C63" s="1131" t="s">
        <v>1004</v>
      </c>
      <c r="D63" s="1131" t="s">
        <v>1005</v>
      </c>
      <c r="E63" s="1131" t="s">
        <v>1006</v>
      </c>
      <c r="F63" s="1131" t="s">
        <v>1007</v>
      </c>
      <c r="G63" s="1131" t="s">
        <v>1008</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4.5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15" spans="1:29">
      <c r="A65" s="1111"/>
      <c r="B65" s="1114" t="s">
        <v>956</v>
      </c>
      <c r="C65" s="1133" t="s">
        <v>1004</v>
      </c>
      <c r="D65" s="1133" t="s">
        <v>1005</v>
      </c>
      <c r="E65" s="1133" t="s">
        <v>1006</v>
      </c>
      <c r="F65" s="1133" t="s">
        <v>1007</v>
      </c>
      <c r="G65" s="1133" t="s">
        <v>1008</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4.5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15" spans="1:29">
      <c r="A67" s="1111"/>
      <c r="B67" s="1118" t="s">
        <v>957</v>
      </c>
      <c r="C67" s="1138" t="s">
        <v>1009</v>
      </c>
      <c r="D67" s="1138" t="s">
        <v>1010</v>
      </c>
      <c r="E67" s="1138" t="s">
        <v>1011</v>
      </c>
      <c r="F67" s="1138" t="s">
        <v>1012</v>
      </c>
      <c r="G67" s="1138" t="s">
        <v>1013</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4.5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15" spans="1:29">
      <c r="A69" s="1111"/>
      <c r="B69" s="1114" t="s">
        <v>1543</v>
      </c>
      <c r="C69" s="1133" t="s">
        <v>1004</v>
      </c>
      <c r="D69" s="1133" t="s">
        <v>1005</v>
      </c>
      <c r="E69" s="1133" t="s">
        <v>1006</v>
      </c>
      <c r="F69" s="1133" t="s">
        <v>1007</v>
      </c>
      <c r="G69" s="1133" t="s">
        <v>1008</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4.5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15" spans="1:29">
      <c r="A71" s="1111"/>
      <c r="B71" s="1114" t="s">
        <v>962</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4.5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4.5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4.5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4.5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4.5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4.5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4.5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9.55" spans="1:29">
      <c r="A79" s="1109" t="s">
        <v>966</v>
      </c>
      <c r="B79" s="1110" t="s">
        <v>1593</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15" spans="1:29">
      <c r="A81" s="1111"/>
      <c r="B81" s="1114" t="s">
        <v>1584</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4.5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15" spans="1:29">
      <c r="A83" s="1145"/>
      <c r="B83" s="1114" t="s">
        <v>972</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4.5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15" spans="1:29">
      <c r="A85" s="1145"/>
      <c r="B85" s="1114" t="s">
        <v>1585</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4.5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15" spans="1:29">
      <c r="A88" s="1145"/>
      <c r="B88" s="1118" t="s">
        <v>1586</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4.5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15" spans="1:29">
      <c r="A90" s="1142"/>
      <c r="B90" s="1114" t="s">
        <v>1587</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15" spans="1:29">
      <c r="A93" s="1145"/>
      <c r="B93" s="1114" t="s">
        <v>1588</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4.5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15" spans="1:29">
      <c r="A95" s="1145"/>
      <c r="B95" s="1114" t="s">
        <v>1589</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4.5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4.5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4.5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4.5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4.5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4.5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4.5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ht="14.4"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94" t="s">
        <v>951</v>
      </c>
      <c r="B14" s="1215" t="s">
        <v>955</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3.2" spans="1:29">
      <c r="A16" s="880"/>
      <c r="B16" s="1218" t="s">
        <v>956</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43.2" spans="1:29">
      <c r="A18" s="880"/>
      <c r="B18" s="1222" t="s">
        <v>957</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7.6" spans="1:29">
      <c r="A20" s="880"/>
      <c r="B20" s="1218" t="s">
        <v>1543</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962</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275" t="s">
        <v>966</v>
      </c>
      <c r="B26" s="873" t="s">
        <v>972</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968</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968</v>
      </c>
      <c r="Z26" s="1048" t="str">
        <f t="shared" ref="Z26:Z34" si="15">Q26</f>
        <v>公共部分装修</v>
      </c>
      <c r="AA26" s="1090">
        <f t="shared" si="3"/>
        <v>1</v>
      </c>
      <c r="AB26" s="1090">
        <f t="shared" si="4"/>
        <v>1</v>
      </c>
      <c r="AC26" s="1090">
        <f t="shared" si="5"/>
        <v>1</v>
      </c>
    </row>
    <row r="27" s="829" customFormat="1" ht="15" spans="1:29">
      <c r="A27" s="936"/>
      <c r="B27" s="877" t="s">
        <v>1585</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1586</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1594</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1595</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968</v>
      </c>
      <c r="Q32" s="591">
        <f t="shared" si="11"/>
        <v>111</v>
      </c>
      <c r="R32" s="1074" t="s">
        <v>936</v>
      </c>
      <c r="S32" s="1075">
        <f t="shared" si="12"/>
        <v>100</v>
      </c>
      <c r="T32" s="1074" t="s">
        <v>936</v>
      </c>
      <c r="U32" s="1075">
        <f t="shared" si="13"/>
        <v>100</v>
      </c>
      <c r="V32" s="1074" t="s">
        <v>936</v>
      </c>
      <c r="W32" s="1075">
        <f t="shared" si="14"/>
        <v>100</v>
      </c>
      <c r="X32" s="1061"/>
      <c r="Y32" s="1036" t="s">
        <v>968</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4.4" spans="1:29">
      <c r="A35" s="938" t="s">
        <v>985</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15" spans="1:29">
      <c r="A36" s="946" t="s">
        <v>986</v>
      </c>
      <c r="B36" s="1292"/>
      <c r="C36" s="1293" t="e">
        <f>R37</f>
        <v>#DIV/0!</v>
      </c>
      <c r="D36" s="949" t="s">
        <v>987</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15" spans="1:29">
      <c r="A37" s="952" t="s">
        <v>988</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990</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991</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992</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15" spans="1:30">
      <c r="A45" s="995" t="s">
        <v>993</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4.4"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15" spans="1:30">
      <c r="A48" s="1099" t="s">
        <v>994</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4.4"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4.5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ht="14.4" spans="1:30">
      <c r="A51" s="1109" t="s">
        <v>995</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4.5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9.55" spans="1:30">
      <c r="A53" s="1111"/>
      <c r="B53" s="1114" t="s">
        <v>945</v>
      </c>
      <c r="C53" s="1115" t="s">
        <v>996</v>
      </c>
      <c r="D53" s="1115" t="s">
        <v>997</v>
      </c>
      <c r="E53" s="1115" t="s">
        <v>998</v>
      </c>
      <c r="F53" s="1115" t="s">
        <v>999</v>
      </c>
      <c r="G53" s="1115" t="s">
        <v>1000</v>
      </c>
      <c r="H53" s="1115" t="s">
        <v>1001</v>
      </c>
      <c r="I53" s="1115" t="s">
        <v>1002</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4.55" spans="1:30">
      <c r="A54" s="1111"/>
      <c r="B54" s="1116"/>
      <c r="C54" s="1117" t="s">
        <v>1003</v>
      </c>
      <c r="D54" s="1117" t="s">
        <v>1003</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4.5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4.5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4.5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4.5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4.5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4.5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15" spans="1:30">
      <c r="A61" s="1109" t="s">
        <v>951</v>
      </c>
      <c r="B61" s="1110" t="s">
        <v>955</v>
      </c>
      <c r="C61" s="1131" t="s">
        <v>1004</v>
      </c>
      <c r="D61" s="1131" t="s">
        <v>1005</v>
      </c>
      <c r="E61" s="1131" t="s">
        <v>1006</v>
      </c>
      <c r="F61" s="1131" t="s">
        <v>1007</v>
      </c>
      <c r="G61" s="1131" t="s">
        <v>1008</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4.5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9.55" spans="1:30">
      <c r="A63" s="1111"/>
      <c r="B63" s="1114" t="s">
        <v>1596</v>
      </c>
      <c r="C63" s="1133" t="s">
        <v>1004</v>
      </c>
      <c r="D63" s="1133" t="s">
        <v>1005</v>
      </c>
      <c r="E63" s="1133" t="s">
        <v>1006</v>
      </c>
      <c r="F63" s="1133" t="s">
        <v>1007</v>
      </c>
      <c r="G63" s="1133" t="s">
        <v>1008</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4.5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15" spans="1:30">
      <c r="A65" s="1111"/>
      <c r="B65" s="1118" t="s">
        <v>957</v>
      </c>
      <c r="C65" s="1138" t="s">
        <v>1009</v>
      </c>
      <c r="D65" s="1138" t="s">
        <v>1010</v>
      </c>
      <c r="E65" s="1138" t="s">
        <v>1011</v>
      </c>
      <c r="F65" s="1138" t="s">
        <v>1012</v>
      </c>
      <c r="G65" s="1138" t="s">
        <v>1013</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4.5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15" spans="1:30">
      <c r="A67" s="1111"/>
      <c r="B67" s="1114" t="s">
        <v>1543</v>
      </c>
      <c r="C67" s="1133" t="s">
        <v>1004</v>
      </c>
      <c r="D67" s="1133" t="s">
        <v>1005</v>
      </c>
      <c r="E67" s="1133" t="s">
        <v>1006</v>
      </c>
      <c r="F67" s="1133" t="s">
        <v>1007</v>
      </c>
      <c r="G67" s="1133" t="s">
        <v>1008</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4.5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15" spans="1:30">
      <c r="A69" s="1111"/>
      <c r="B69" s="1114" t="s">
        <v>962</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4.5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4.5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4.5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4.5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4.5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4.5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4.5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15" spans="1:30">
      <c r="A77" s="1109" t="s">
        <v>966</v>
      </c>
      <c r="B77" s="1110" t="s">
        <v>972</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4.5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15" spans="1:30">
      <c r="A79" s="1111"/>
      <c r="B79" s="1114" t="s">
        <v>1585</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4.5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15" spans="1:30">
      <c r="A82" s="1145"/>
      <c r="B82" s="1118" t="s">
        <v>1586</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4.5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15" spans="1:30">
      <c r="A84" s="1145"/>
      <c r="B84" s="1114" t="s">
        <v>1594</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4.5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1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4.5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15" spans="1:30">
      <c r="A89" s="1142"/>
      <c r="B89" s="1114" t="s">
        <v>1595</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4.5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4.5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4.5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4.5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4.5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4.5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4.5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4.5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833" customWidth="1"/>
    <col min="2" max="2" width="15.7777777777778" style="833" customWidth="1"/>
    <col min="3" max="3" width="14.3333333333333" style="833" customWidth="1"/>
    <col min="4" max="4" width="14.1111111111111"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30">
      <c r="A1" s="836" t="s">
        <v>1597</v>
      </c>
      <c r="B1" s="837"/>
      <c r="C1" s="838" t="s">
        <v>1598</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ht="14.4"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1213"/>
      <c r="F10" s="879">
        <f>ROUND(100/'数据-取费表'!G16,0)</f>
        <v>118</v>
      </c>
      <c r="G10" s="1214"/>
      <c r="H10" s="879">
        <f>ROUND(100/'数据-取费表'!G16,0)</f>
        <v>118</v>
      </c>
      <c r="I10" s="1214"/>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1599</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1542</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6.4" spans="1:29">
      <c r="A17" s="880"/>
      <c r="B17" s="1218" t="s">
        <v>1569</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86.4" spans="1:29">
      <c r="A19" s="880"/>
      <c r="B19" s="1218" t="s">
        <v>952</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100.8" spans="1:29">
      <c r="A21" s="880"/>
      <c r="B21" s="1218" t="s">
        <v>955</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28.8" spans="1:29">
      <c r="A23" s="852"/>
      <c r="B23" s="1218" t="s">
        <v>1600</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7.6" spans="1:29">
      <c r="A25" s="852"/>
      <c r="B25" s="1222" t="s">
        <v>1601</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3.2" spans="1:29">
      <c r="A27" s="910"/>
      <c r="B27" s="1222" t="s">
        <v>956</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43.2" spans="1:29">
      <c r="A29" s="910"/>
      <c r="B29" s="1222" t="s">
        <v>957</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1570</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8.8" spans="1:29">
      <c r="A32" s="880"/>
      <c r="B32" s="1222" t="s">
        <v>959</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1602</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968</v>
      </c>
      <c r="Q36" s="591">
        <f t="shared" si="8"/>
        <v>111</v>
      </c>
      <c r="R36" s="1074" t="s">
        <v>936</v>
      </c>
      <c r="S36" s="1075">
        <f t="shared" si="10"/>
        <v>100</v>
      </c>
      <c r="T36" s="1074" t="s">
        <v>936</v>
      </c>
      <c r="U36" s="1075">
        <f t="shared" si="11"/>
        <v>100</v>
      </c>
      <c r="V36" s="1074" t="s">
        <v>936</v>
      </c>
      <c r="W36" s="1075">
        <f t="shared" si="12"/>
        <v>100</v>
      </c>
      <c r="X36" s="1061"/>
      <c r="Y36" s="1036" t="s">
        <v>968</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6.2" spans="1:29">
      <c r="A38" s="931" t="s">
        <v>966</v>
      </c>
      <c r="B38" s="928" t="s">
        <v>1603</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1604</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1605</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1606</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1607</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968</v>
      </c>
      <c r="Q42" s="591" t="str">
        <f t="shared" si="14"/>
        <v>工程地质条件</v>
      </c>
      <c r="R42" s="1074" t="s">
        <v>936</v>
      </c>
      <c r="S42" s="1075">
        <f t="shared" si="10"/>
        <v>100</v>
      </c>
      <c r="T42" s="1074" t="s">
        <v>936</v>
      </c>
      <c r="U42" s="1075">
        <f t="shared" si="11"/>
        <v>100</v>
      </c>
      <c r="V42" s="1074" t="s">
        <v>936</v>
      </c>
      <c r="W42" s="1075">
        <f t="shared" si="12"/>
        <v>100</v>
      </c>
      <c r="X42" s="1061"/>
      <c r="Y42" s="1036" t="s">
        <v>968</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4.4" spans="1:29">
      <c r="A46" s="938" t="s">
        <v>1590</v>
      </c>
      <c r="B46" s="939" t="s">
        <v>1608</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15" spans="1:29">
      <c r="A47" s="946" t="s">
        <v>986</v>
      </c>
      <c r="B47" s="947"/>
      <c r="C47" s="948" t="e">
        <f>R48</f>
        <v>#DIV/0!</v>
      </c>
      <c r="D47" s="949" t="s">
        <v>987</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15" spans="1:29">
      <c r="A48" s="952" t="s">
        <v>1609</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990</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991</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992</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4.5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1610</v>
      </c>
      <c r="B55" s="965" t="s">
        <v>1611</v>
      </c>
      <c r="C55" s="966" t="s">
        <v>1612</v>
      </c>
      <c r="D55" s="967" t="s">
        <v>1613</v>
      </c>
      <c r="E55" s="968" t="s">
        <v>1614</v>
      </c>
      <c r="F55" s="1226" t="s">
        <v>1615</v>
      </c>
      <c r="G55" s="848" t="s">
        <v>1616</v>
      </c>
      <c r="H55" s="587"/>
      <c r="I55" s="1230" t="s">
        <v>1617</v>
      </c>
      <c r="J55" s="1231">
        <f>项目基本情况!F35</f>
        <v>0</v>
      </c>
      <c r="K55" s="1049" t="s">
        <v>1618</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1619</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1620</v>
      </c>
      <c r="B57" s="173" t="e">
        <f>ROUND($C$48*C57*D57,0)</f>
        <v>#DIV/0!</v>
      </c>
      <c r="C57" s="532">
        <f t="shared" ref="C57:C64" si="16">IF($C$55="北京市系数",I57,J57)</f>
        <v>0</v>
      </c>
      <c r="D57" s="977">
        <v>0.25</v>
      </c>
      <c r="E57" s="978"/>
      <c r="F57" s="1227" t="e">
        <f t="shared" si="15"/>
        <v>#DIV/0!</v>
      </c>
      <c r="G57" s="979" t="s">
        <v>1621</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1622</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1623</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1624</v>
      </c>
      <c r="B60" s="173" t="e">
        <f t="shared" si="17"/>
        <v>#DIV/0!</v>
      </c>
      <c r="C60" s="532">
        <f t="shared" si="16"/>
        <v>0.3</v>
      </c>
      <c r="D60" s="977">
        <v>0.25</v>
      </c>
      <c r="E60" s="172">
        <f>'数据-汇总表'!E11</f>
        <v>0</v>
      </c>
      <c r="F60" s="1227" t="e">
        <f t="shared" si="15"/>
        <v>#DIV/0!</v>
      </c>
      <c r="G60" s="983" t="s">
        <v>1625</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1626</v>
      </c>
      <c r="B61" s="173" t="e">
        <f t="shared" si="17"/>
        <v>#DIV/0!</v>
      </c>
      <c r="C61" s="532">
        <f t="shared" si="16"/>
        <v>0.3</v>
      </c>
      <c r="D61" s="977">
        <v>0.25</v>
      </c>
      <c r="E61" s="172">
        <f>'数据-汇总表'!E12</f>
        <v>0</v>
      </c>
      <c r="F61" s="1227" t="e">
        <f t="shared" si="15"/>
        <v>#DIV/0!</v>
      </c>
      <c r="G61" s="984" t="s">
        <v>1627</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1628</v>
      </c>
      <c r="B62" s="173" t="e">
        <f t="shared" si="17"/>
        <v>#DIV/0!</v>
      </c>
      <c r="C62" s="532">
        <f t="shared" si="16"/>
        <v>0</v>
      </c>
      <c r="D62" s="977">
        <v>0.25</v>
      </c>
      <c r="E62" s="172">
        <f>'数据-汇总表'!E13</f>
        <v>0</v>
      </c>
      <c r="F62" s="1227" t="e">
        <f t="shared" si="15"/>
        <v>#DIV/0!</v>
      </c>
      <c r="G62" s="984" t="s">
        <v>1629</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1630</v>
      </c>
      <c r="B63" s="173" t="e">
        <f t="shared" si="17"/>
        <v>#DIV/0!</v>
      </c>
      <c r="C63" s="532">
        <f t="shared" si="16"/>
        <v>0</v>
      </c>
      <c r="D63" s="977">
        <v>0.25</v>
      </c>
      <c r="E63" s="172">
        <f>'数据-汇总表'!E14</f>
        <v>0</v>
      </c>
      <c r="F63" s="1227" t="e">
        <f t="shared" si="15"/>
        <v>#DIV/0!</v>
      </c>
      <c r="G63" s="983" t="s">
        <v>1621</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4.55" spans="1:29">
      <c r="A64" s="976" t="s">
        <v>1631</v>
      </c>
      <c r="B64" s="173" t="e">
        <f t="shared" si="17"/>
        <v>#DIV/0!</v>
      </c>
      <c r="C64" s="532">
        <f t="shared" si="16"/>
        <v>0.2</v>
      </c>
      <c r="D64" s="977">
        <v>0.25</v>
      </c>
      <c r="E64" s="172">
        <f>'数据-汇总表'!E15</f>
        <v>0</v>
      </c>
      <c r="F64" s="1227" t="e">
        <f t="shared" si="15"/>
        <v>#DIV/0!</v>
      </c>
      <c r="G64" s="985" t="s">
        <v>1625</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95" spans="1:29">
      <c r="A65" s="987" t="s">
        <v>1632</v>
      </c>
      <c r="B65" s="988" t="s">
        <v>1003</v>
      </c>
      <c r="C65" s="988" t="s">
        <v>1003</v>
      </c>
      <c r="D65" s="988" t="s">
        <v>1003</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15" spans="1:29">
      <c r="A68" s="995" t="s">
        <v>993</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4.4" spans="1:29">
      <c r="A69" s="1093" t="s">
        <v>1633</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1634</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15" spans="1:29">
      <c r="A71" s="1099" t="s">
        <v>994</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4.4"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4.5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ht="14.4" spans="1:29">
      <c r="A74" s="1109" t="s">
        <v>995</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4.5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9.5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4.5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15" spans="1:29">
      <c r="A78" s="1111"/>
      <c r="B78" s="1118" t="s">
        <v>948</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4.5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1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4.5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4.5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4.5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4.5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4.5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ht="14.4" spans="1:29">
      <c r="A87" s="1109" t="s">
        <v>951</v>
      </c>
      <c r="B87" s="1110" t="s">
        <v>1542</v>
      </c>
      <c r="C87" s="1131" t="s">
        <v>1004</v>
      </c>
      <c r="D87" s="1131" t="s">
        <v>1005</v>
      </c>
      <c r="E87" s="1131" t="s">
        <v>1006</v>
      </c>
      <c r="F87" s="1131" t="s">
        <v>1007</v>
      </c>
      <c r="G87" s="1131" t="s">
        <v>1008</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4.5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15" spans="1:29">
      <c r="A89" s="1111"/>
      <c r="B89" s="1114" t="s">
        <v>1569</v>
      </c>
      <c r="C89" s="1133" t="s">
        <v>1004</v>
      </c>
      <c r="D89" s="1133" t="s">
        <v>1005</v>
      </c>
      <c r="E89" s="1133" t="s">
        <v>1006</v>
      </c>
      <c r="F89" s="1133" t="s">
        <v>1007</v>
      </c>
      <c r="G89" s="1133" t="s">
        <v>1008</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4.5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15" spans="1:29">
      <c r="A91" s="1111"/>
      <c r="B91" s="1114" t="s">
        <v>952</v>
      </c>
      <c r="C91" s="1133" t="s">
        <v>1004</v>
      </c>
      <c r="D91" s="1133" t="s">
        <v>1005</v>
      </c>
      <c r="E91" s="1133" t="s">
        <v>1006</v>
      </c>
      <c r="F91" s="1133" t="s">
        <v>1007</v>
      </c>
      <c r="G91" s="1133" t="s">
        <v>1008</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4.5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15" spans="1:29">
      <c r="A93" s="1111"/>
      <c r="B93" s="1114" t="s">
        <v>955</v>
      </c>
      <c r="C93" s="1133" t="s">
        <v>1004</v>
      </c>
      <c r="D93" s="1133" t="s">
        <v>1005</v>
      </c>
      <c r="E93" s="1133" t="s">
        <v>1006</v>
      </c>
      <c r="F93" s="1133" t="s">
        <v>1007</v>
      </c>
      <c r="G93" s="1133" t="s">
        <v>1008</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4.5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29.55" spans="1:29">
      <c r="A95" s="1134"/>
      <c r="B95" s="1114" t="s">
        <v>1600</v>
      </c>
      <c r="C95" s="1133" t="s">
        <v>1004</v>
      </c>
      <c r="D95" s="1133" t="s">
        <v>1005</v>
      </c>
      <c r="E95" s="1133" t="s">
        <v>1006</v>
      </c>
      <c r="F95" s="1133" t="s">
        <v>1007</v>
      </c>
      <c r="G95" s="1133" t="s">
        <v>1008</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4.5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9.55" spans="1:29">
      <c r="A97" s="1134"/>
      <c r="B97" s="1114" t="s">
        <v>1601</v>
      </c>
      <c r="C97" s="1131" t="s">
        <v>1004</v>
      </c>
      <c r="D97" s="1131" t="s">
        <v>1005</v>
      </c>
      <c r="E97" s="1131" t="s">
        <v>1006</v>
      </c>
      <c r="F97" s="1131" t="s">
        <v>1007</v>
      </c>
      <c r="G97" s="1131" t="s">
        <v>1008</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4.5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15" spans="1:29">
      <c r="A99" s="1121"/>
      <c r="B99" s="1114" t="s">
        <v>956</v>
      </c>
      <c r="C99" s="1131" t="s">
        <v>1004</v>
      </c>
      <c r="D99" s="1131" t="s">
        <v>1005</v>
      </c>
      <c r="E99" s="1131" t="s">
        <v>1006</v>
      </c>
      <c r="F99" s="1131" t="s">
        <v>1007</v>
      </c>
      <c r="G99" s="1131" t="s">
        <v>1008</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4.5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15" spans="1:29">
      <c r="A101" s="1121"/>
      <c r="B101" s="1118" t="s">
        <v>957</v>
      </c>
      <c r="C101" s="1138" t="s">
        <v>1009</v>
      </c>
      <c r="D101" s="1138" t="s">
        <v>1010</v>
      </c>
      <c r="E101" s="1138" t="s">
        <v>1011</v>
      </c>
      <c r="F101" s="1138" t="s">
        <v>1012</v>
      </c>
      <c r="G101" s="1138" t="s">
        <v>1013</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4.5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15" spans="1:29">
      <c r="A103" s="1111"/>
      <c r="B103" s="1114" t="str">
        <f>B31</f>
        <v>临街状况</v>
      </c>
      <c r="C103" s="1115" t="s">
        <v>1635</v>
      </c>
      <c r="D103" s="1115" t="s">
        <v>1636</v>
      </c>
      <c r="E103" s="1115" t="s">
        <v>1637</v>
      </c>
      <c r="F103" s="1115" t="s">
        <v>1638</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4.5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9.55" spans="1:29">
      <c r="A105" s="1111"/>
      <c r="B105" s="1114" t="s">
        <v>959</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15" spans="1:29">
      <c r="A107" s="1111"/>
      <c r="B107" s="1114" t="s">
        <v>1602</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4.5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4.5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4.5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4.5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4.5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4.5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ht="14.4" spans="1:29">
      <c r="A115" s="1109" t="s">
        <v>966</v>
      </c>
      <c r="B115" s="1110" t="s">
        <v>1603</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4.5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15" spans="1:29">
      <c r="A118" s="1145"/>
      <c r="B118" s="1114" t="s">
        <v>1604</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4.5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15" spans="1:29">
      <c r="A120" s="1145"/>
      <c r="B120" s="1114" t="s">
        <v>1605</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4.5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15" spans="1:29">
      <c r="A122" s="1142"/>
      <c r="B122" s="1114" t="s">
        <v>1606</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4.5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15" spans="1:29">
      <c r="A124" s="1145"/>
      <c r="B124" s="1114" t="s">
        <v>1607</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4.5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4.5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4.5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4.5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4.5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4.5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4.5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29">
      <c r="A1" s="836" t="s">
        <v>1597</v>
      </c>
      <c r="B1" s="837"/>
      <c r="C1" s="838" t="s">
        <v>1577</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860" t="s">
        <v>1639</v>
      </c>
      <c r="D6" s="861"/>
      <c r="E6" s="862" t="s">
        <v>1639</v>
      </c>
      <c r="F6" s="863"/>
      <c r="G6" s="860" t="s">
        <v>1639</v>
      </c>
      <c r="H6" s="861"/>
      <c r="I6" s="860" t="s">
        <v>1639</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878"/>
      <c r="F10" s="879">
        <f>ROUND(100/'数据-取费表'!G16,0)</f>
        <v>118</v>
      </c>
      <c r="G10" s="878"/>
      <c r="H10" s="879">
        <f>ROUND(100/'数据-取费表'!G16,0)</f>
        <v>118</v>
      </c>
      <c r="I10" s="878"/>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895" t="s">
        <v>1578</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100.8" spans="1:29">
      <c r="A17" s="880"/>
      <c r="B17" s="904" t="s">
        <v>955</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28.8" spans="1:29">
      <c r="A19" s="880"/>
      <c r="B19" s="904" t="s">
        <v>1600</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86.4" spans="1:29">
      <c r="A21" s="852"/>
      <c r="B21" s="904" t="s">
        <v>1640</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3.2" spans="1:29">
      <c r="A23" s="910"/>
      <c r="B23" s="911" t="s">
        <v>956</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43.2" spans="1:29">
      <c r="A25" s="910"/>
      <c r="B25" s="911" t="s">
        <v>957</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1570</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8.8" spans="1:29">
      <c r="A28" s="880"/>
      <c r="B28" s="911" t="s">
        <v>959</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1602</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968</v>
      </c>
      <c r="Q32" s="591">
        <f t="shared" si="8"/>
        <v>111</v>
      </c>
      <c r="R32" s="1074" t="s">
        <v>936</v>
      </c>
      <c r="S32" s="1075">
        <f t="shared" si="10"/>
        <v>100</v>
      </c>
      <c r="T32" s="1074" t="s">
        <v>936</v>
      </c>
      <c r="U32" s="1075">
        <f t="shared" si="11"/>
        <v>100</v>
      </c>
      <c r="V32" s="1074" t="s">
        <v>936</v>
      </c>
      <c r="W32" s="1075">
        <f t="shared" si="12"/>
        <v>100</v>
      </c>
      <c r="X32" s="1061"/>
      <c r="Y32" s="1036" t="s">
        <v>968</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966</v>
      </c>
      <c r="B34" s="928" t="s">
        <v>1603</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1604</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1606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1607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968</v>
      </c>
      <c r="Q37" s="591" t="str">
        <f t="shared" si="14"/>
        <v>工程地质条件</v>
      </c>
      <c r="R37" s="1074" t="s">
        <v>936</v>
      </c>
      <c r="S37" s="1075">
        <f t="shared" si="10"/>
        <v>100</v>
      </c>
      <c r="T37" s="1074" t="s">
        <v>936</v>
      </c>
      <c r="U37" s="1075">
        <f t="shared" si="11"/>
        <v>100</v>
      </c>
      <c r="V37" s="1074" t="s">
        <v>936</v>
      </c>
      <c r="W37" s="1075">
        <f t="shared" si="12"/>
        <v>100</v>
      </c>
      <c r="X37" s="1061"/>
      <c r="Y37" s="1036" t="s">
        <v>968</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4.4" spans="1:29">
      <c r="A41" s="938" t="s">
        <v>1590</v>
      </c>
      <c r="B41" s="939" t="s">
        <v>1641</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15" spans="1:29">
      <c r="A42" s="946" t="s">
        <v>986</v>
      </c>
      <c r="B42" s="947"/>
      <c r="C42" s="948" t="e">
        <f>R43</f>
        <v>#DIV/0!</v>
      </c>
      <c r="D42" s="949" t="s">
        <v>987</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15" spans="1:29">
      <c r="A43" s="952" t="s">
        <v>988</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4.5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8.8" spans="1:31">
      <c r="A50" s="964" t="s">
        <v>1610</v>
      </c>
      <c r="B50" s="965" t="s">
        <v>1611</v>
      </c>
      <c r="C50" s="966" t="s">
        <v>1612</v>
      </c>
      <c r="D50" s="967" t="s">
        <v>1613</v>
      </c>
      <c r="E50" s="968" t="s">
        <v>1614</v>
      </c>
      <c r="F50" s="969" t="s">
        <v>1615</v>
      </c>
      <c r="G50" s="848" t="s">
        <v>1616</v>
      </c>
      <c r="H50" s="587"/>
      <c r="I50" s="1048" t="s">
        <v>1642</v>
      </c>
      <c r="J50" s="1048">
        <f>项目基本情况!F35</f>
        <v>0</v>
      </c>
      <c r="K50" s="1049" t="s">
        <v>1618</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1619</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1620</v>
      </c>
      <c r="B52" s="173" t="e">
        <f>ROUND($C$43*C52*D52,0)</f>
        <v>#DIV/0!</v>
      </c>
      <c r="C52" s="532">
        <f t="shared" ref="C52:C60" si="16">IF($C$50="北京市系数",I52,J52)</f>
        <v>0</v>
      </c>
      <c r="D52" s="977">
        <v>0.25</v>
      </c>
      <c r="E52" s="978"/>
      <c r="F52" s="974" t="e">
        <f t="shared" si="15"/>
        <v>#DIV/0!</v>
      </c>
      <c r="G52" s="979" t="s">
        <v>1621</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1622</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1623</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1624</v>
      </c>
      <c r="B56" s="173" t="e">
        <f t="shared" si="17"/>
        <v>#DIV/0!</v>
      </c>
      <c r="C56" s="532">
        <f t="shared" si="16"/>
        <v>0.3</v>
      </c>
      <c r="D56" s="977">
        <v>0.25</v>
      </c>
      <c r="E56" s="172">
        <f>'数据-汇总表'!E11</f>
        <v>0</v>
      </c>
      <c r="F56" s="974" t="e">
        <f t="shared" si="15"/>
        <v>#DIV/0!</v>
      </c>
      <c r="G56" s="983" t="s">
        <v>1625</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1626</v>
      </c>
      <c r="B57" s="173" t="e">
        <f t="shared" si="17"/>
        <v>#DIV/0!</v>
      </c>
      <c r="C57" s="532">
        <f t="shared" si="16"/>
        <v>0.3</v>
      </c>
      <c r="D57" s="977">
        <v>0.25</v>
      </c>
      <c r="E57" s="172">
        <f>'数据-汇总表'!E12</f>
        <v>0</v>
      </c>
      <c r="F57" s="974" t="e">
        <f t="shared" si="15"/>
        <v>#DIV/0!</v>
      </c>
      <c r="G57" s="984" t="s">
        <v>1627</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1628</v>
      </c>
      <c r="B58" s="173" t="e">
        <f t="shared" si="17"/>
        <v>#DIV/0!</v>
      </c>
      <c r="C58" s="532">
        <f t="shared" si="16"/>
        <v>0</v>
      </c>
      <c r="D58" s="977">
        <v>0.25</v>
      </c>
      <c r="E58" s="172">
        <f>'数据-汇总表'!E13</f>
        <v>0</v>
      </c>
      <c r="F58" s="974" t="e">
        <f t="shared" si="15"/>
        <v>#DIV/0!</v>
      </c>
      <c r="G58" s="984" t="s">
        <v>1629</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1630</v>
      </c>
      <c r="B59" s="173" t="e">
        <f t="shared" si="17"/>
        <v>#DIV/0!</v>
      </c>
      <c r="C59" s="532">
        <f t="shared" si="16"/>
        <v>0</v>
      </c>
      <c r="D59" s="977">
        <v>0.25</v>
      </c>
      <c r="E59" s="172">
        <f>'数据-汇总表'!E14</f>
        <v>0</v>
      </c>
      <c r="F59" s="974" t="e">
        <f t="shared" si="15"/>
        <v>#DIV/0!</v>
      </c>
      <c r="G59" s="983" t="s">
        <v>1621</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4.55" spans="1:31">
      <c r="A60" s="976" t="s">
        <v>1631</v>
      </c>
      <c r="B60" s="173" t="e">
        <f t="shared" si="17"/>
        <v>#DIV/0!</v>
      </c>
      <c r="C60" s="532">
        <f t="shared" si="16"/>
        <v>0.2</v>
      </c>
      <c r="D60" s="977">
        <v>0.25</v>
      </c>
      <c r="E60" s="172">
        <f>'数据-汇总表'!E15</f>
        <v>0</v>
      </c>
      <c r="F60" s="974" t="e">
        <f t="shared" si="15"/>
        <v>#DIV/0!</v>
      </c>
      <c r="G60" s="985" t="s">
        <v>1625</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4.55" spans="1:31">
      <c r="A61" s="987" t="s">
        <v>1632</v>
      </c>
      <c r="B61" s="988" t="s">
        <v>1003</v>
      </c>
      <c r="C61" s="988" t="s">
        <v>1003</v>
      </c>
      <c r="D61" s="988" t="s">
        <v>1003</v>
      </c>
      <c r="E61" s="988">
        <f>IF(B41="楼面地价",SUM(E51:E60),'数据-汇总表'!D3)</f>
        <v>0</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15" spans="1:31">
      <c r="A64" s="995" t="s">
        <v>993</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4.4" spans="1:31">
      <c r="A65" s="1093" t="s">
        <v>1633</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1643</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15" spans="1:31">
      <c r="A67" s="1099" t="s">
        <v>994</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4.4"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4.5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ht="14.4" spans="1:31">
      <c r="A70" s="1109" t="s">
        <v>995</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4.5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9.5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4.5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15" spans="1:31">
      <c r="A74" s="1111"/>
      <c r="B74" s="1118" t="s">
        <v>948</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4.5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4.5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4.5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4.5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4.5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4.5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4.5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ht="14.4" spans="1:31">
      <c r="A83" s="1109" t="s">
        <v>951</v>
      </c>
      <c r="B83" s="1110" t="s">
        <v>1578</v>
      </c>
      <c r="C83" s="1131" t="s">
        <v>1004</v>
      </c>
      <c r="D83" s="1131" t="s">
        <v>1005</v>
      </c>
      <c r="E83" s="1131" t="s">
        <v>1006</v>
      </c>
      <c r="F83" s="1131" t="s">
        <v>1007</v>
      </c>
      <c r="G83" s="1131" t="s">
        <v>1008</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4.5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15" spans="1:31">
      <c r="A85" s="1111"/>
      <c r="B85" s="1114" t="s">
        <v>955</v>
      </c>
      <c r="C85" s="1133" t="s">
        <v>1004</v>
      </c>
      <c r="D85" s="1133" t="s">
        <v>1005</v>
      </c>
      <c r="E85" s="1133" t="s">
        <v>1006</v>
      </c>
      <c r="F85" s="1133" t="s">
        <v>1007</v>
      </c>
      <c r="G85" s="1133" t="s">
        <v>1008</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4.5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29.55" spans="1:31">
      <c r="A87" s="1134"/>
      <c r="B87" s="1114" t="s">
        <v>1600</v>
      </c>
      <c r="C87" s="1131" t="s">
        <v>1004</v>
      </c>
      <c r="D87" s="1131" t="s">
        <v>1005</v>
      </c>
      <c r="E87" s="1131" t="s">
        <v>1006</v>
      </c>
      <c r="F87" s="1131" t="s">
        <v>1007</v>
      </c>
      <c r="G87" s="1131" t="s">
        <v>1008</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4.5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9.55" spans="1:31">
      <c r="A89" s="1134"/>
      <c r="B89" s="1114" t="s">
        <v>1601</v>
      </c>
      <c r="C89" s="1131" t="s">
        <v>1004</v>
      </c>
      <c r="D89" s="1131" t="s">
        <v>1005</v>
      </c>
      <c r="E89" s="1131" t="s">
        <v>1006</v>
      </c>
      <c r="F89" s="1131" t="s">
        <v>1007</v>
      </c>
      <c r="G89" s="1131" t="s">
        <v>1008</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4.5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15" spans="1:31">
      <c r="A91" s="1121"/>
      <c r="B91" s="1114" t="s">
        <v>956</v>
      </c>
      <c r="C91" s="1131" t="s">
        <v>1004</v>
      </c>
      <c r="D91" s="1131" t="s">
        <v>1005</v>
      </c>
      <c r="E91" s="1131" t="s">
        <v>1006</v>
      </c>
      <c r="F91" s="1131" t="s">
        <v>1007</v>
      </c>
      <c r="G91" s="1131" t="s">
        <v>1008</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4.5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15" spans="1:31">
      <c r="A93" s="1121"/>
      <c r="B93" s="1118" t="s">
        <v>957</v>
      </c>
      <c r="C93" s="1138" t="s">
        <v>1009</v>
      </c>
      <c r="D93" s="1138" t="s">
        <v>1010</v>
      </c>
      <c r="E93" s="1138" t="s">
        <v>1011</v>
      </c>
      <c r="F93" s="1138" t="s">
        <v>1012</v>
      </c>
      <c r="G93" s="1138" t="s">
        <v>1013</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4.5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15" spans="1:31">
      <c r="A95" s="1111"/>
      <c r="B95" s="1114" t="str">
        <f>B27</f>
        <v>临街状况</v>
      </c>
      <c r="C95" s="1115" t="s">
        <v>1635</v>
      </c>
      <c r="D95" s="1115" t="s">
        <v>1636</v>
      </c>
      <c r="E95" s="1115" t="s">
        <v>1637</v>
      </c>
      <c r="F95" s="1115" t="s">
        <v>1638</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4.5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9.55" spans="1:31">
      <c r="A97" s="1111"/>
      <c r="B97" s="1114" t="s">
        <v>959</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4.5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15" spans="1:31">
      <c r="A99" s="1111"/>
      <c r="B99" s="1114" t="s">
        <v>1602</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4.5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4.5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4.5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4.5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4.5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4.5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4.5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ht="14.4" spans="1:31">
      <c r="A107" s="1109" t="s">
        <v>966</v>
      </c>
      <c r="B107" s="1110" t="s">
        <v>1603</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4.5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15" spans="1:31">
      <c r="A110" s="1145"/>
      <c r="B110" s="1114" t="s">
        <v>1604</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4.5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15" spans="1:31">
      <c r="A112" s="1142"/>
      <c r="B112" s="1114" t="s">
        <v>1606</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4.5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15" spans="1:31">
      <c r="A114" s="1145"/>
      <c r="B114" s="1114" t="s">
        <v>1607</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4.5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4.5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4.5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4.5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4.5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4.5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4.5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8" customWidth="1"/>
    <col min="2" max="2" width="19.2222222222222" style="489" customWidth="1"/>
    <col min="3" max="4" width="12" style="490"/>
    <col min="5" max="5" width="14.6666666666667" style="490" customWidth="1"/>
    <col min="6" max="8" width="12" style="490"/>
    <col min="9" max="9" width="12.2222222222222" style="490" customWidth="1"/>
    <col min="10" max="10" width="12" style="490"/>
    <col min="11" max="11" width="8.11111111111111" style="491" customWidth="1"/>
    <col min="12" max="12" width="12" style="490"/>
    <col min="13" max="13" width="8.44444444444444" style="490" customWidth="1"/>
    <col min="14" max="14" width="9.77777777777778" style="490" customWidth="1"/>
    <col min="15" max="25" width="12" style="490"/>
    <col min="26" max="26" width="9.33333333333333" style="488" customWidth="1"/>
    <col min="27" max="32" width="9.33333333333333" style="492" customWidth="1"/>
    <col min="33" max="36" width="9.33333333333333" style="488" customWidth="1"/>
    <col min="37" max="38" width="9.33333333333333" style="490" customWidth="1"/>
    <col min="39" max="16384" width="12" style="490"/>
  </cols>
  <sheetData>
    <row r="1" ht="31.2" spans="1:36">
      <c r="A1" s="152" t="s">
        <v>1644</v>
      </c>
      <c r="B1" s="153"/>
      <c r="C1" s="156" t="s">
        <v>919</v>
      </c>
      <c r="D1" s="493">
        <f>SUM(D29:D30,D33:D39)</f>
        <v>0</v>
      </c>
      <c r="E1" s="494"/>
      <c r="F1" s="494"/>
      <c r="G1" s="494"/>
      <c r="H1" s="494"/>
      <c r="I1" s="494"/>
      <c r="J1" s="494"/>
      <c r="K1" s="486"/>
      <c r="L1" s="677" t="s">
        <v>1645</v>
      </c>
      <c r="M1" s="678">
        <f>SUMPRODUCT((区片价!B5:B9=I2)*(区片价!C3:F3=E2)*(区片价!C5:F9))</f>
        <v>0</v>
      </c>
      <c r="N1" s="679">
        <f>SUMPRODUCT((因素修正幅度!B5:B9=I2)*(因素修正幅度!C3:F3=E2)*(因素修正幅度!C5:F9))</f>
        <v>0</v>
      </c>
      <c r="O1" s="487"/>
      <c r="P1" s="487"/>
      <c r="Q1" s="486"/>
      <c r="R1" s="760" t="s">
        <v>1646</v>
      </c>
      <c r="S1" s="760" t="s">
        <v>1647</v>
      </c>
      <c r="T1" s="760" t="s">
        <v>1648</v>
      </c>
      <c r="U1" s="760" t="s">
        <v>1649</v>
      </c>
      <c r="V1" s="760" t="s">
        <v>1650</v>
      </c>
      <c r="W1" s="761"/>
      <c r="X1" s="761"/>
      <c r="Y1" s="761"/>
      <c r="Z1" s="761"/>
      <c r="AA1" s="761"/>
      <c r="AB1" s="761"/>
      <c r="AC1" s="771"/>
      <c r="AD1" s="772"/>
      <c r="AE1" s="772"/>
      <c r="AF1" s="772"/>
      <c r="AG1" s="772"/>
      <c r="AH1" s="772"/>
      <c r="AI1" s="772"/>
      <c r="AJ1" s="782"/>
    </row>
    <row r="2" ht="15.6" spans="1:36">
      <c r="A2" s="156" t="s">
        <v>916</v>
      </c>
      <c r="B2" s="160" t="e">
        <f ca="1">C26</f>
        <v>#DIV/0!</v>
      </c>
      <c r="C2" s="495" t="s">
        <v>917</v>
      </c>
      <c r="D2" s="496" t="s">
        <v>1651</v>
      </c>
      <c r="E2" s="497"/>
      <c r="F2" s="496" t="s">
        <v>1652</v>
      </c>
      <c r="G2" s="498">
        <f>IF(E2="商业",项目基本情况!B37,IF(E2="办公",项目基本情况!C37,IF(E2="住宅",项目基本情况!D37,项目基本情况!E37)))</f>
        <v>0</v>
      </c>
      <c r="H2" s="496" t="s">
        <v>1653</v>
      </c>
      <c r="I2" s="498">
        <f>IF(E2="商业",项目基本情况!B38,IF(E2="办公",项目基本情况!C38,IF(E2="住宅",项目基本情况!D38,项目基本情况!E38)))</f>
        <v>0</v>
      </c>
      <c r="J2" s="680"/>
      <c r="K2" s="486"/>
      <c r="L2" s="681" t="s">
        <v>1654</v>
      </c>
      <c r="M2" s="682">
        <f>SUMPRODUCT((区片价!B10:B28=I2)*(区片价!C3:F3=E2)*(区片价!C10:F28))</f>
        <v>0</v>
      </c>
      <c r="N2" s="679">
        <f>SUMPRODUCT((因素修正幅度!B10:B28=I2)*(因素修正幅度!C3:F3=E2)*(因素修正幅度!C10:F28))</f>
        <v>0</v>
      </c>
      <c r="O2" s="486"/>
      <c r="P2" s="486"/>
      <c r="Q2" s="486"/>
      <c r="R2" s="760">
        <v>1</v>
      </c>
      <c r="S2" s="760" t="e">
        <f>ROUND(IF(G3&gt;1,IF(R2&lt;7,SUMPRODUCT((B93:B98=R2)*(C92:N92=G2)*(C93:N98)),SUMIF(C92:N92,G2,C100:N100)),IF(R2&lt;7,SUMPRODUCT((B102:B107=R2)*(C92:N92=G2)*(C102:N107)),SUMIF(C92:N92,G2,C109:N109))),4)</f>
        <v>#DIV/0!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6" spans="1:36">
      <c r="A3" s="159" t="s">
        <v>918</v>
      </c>
      <c r="B3" s="160" t="e">
        <f ca="1">ROUND(B2*10000/D1,0)</f>
        <v>#DIV/0!</v>
      </c>
      <c r="C3" s="495" t="s">
        <v>1033</v>
      </c>
      <c r="D3" s="496" t="s">
        <v>1655</v>
      </c>
      <c r="E3" s="499"/>
      <c r="F3" s="500" t="s">
        <v>1656</v>
      </c>
      <c r="G3" s="501" t="e">
        <f>IF(F3="宗地容积率",'数据-汇总表'!I4,IF(F3="估价对象容积率",'数据-汇总表'!I6,'数据-汇总表'!I7))</f>
        <v>#DIV/0!</v>
      </c>
      <c r="H3" s="502" t="s">
        <v>1657</v>
      </c>
      <c r="I3" s="683"/>
      <c r="J3" s="680" t="s">
        <v>1658</v>
      </c>
      <c r="K3" s="486"/>
      <c r="L3" s="681" t="s">
        <v>1659</v>
      </c>
      <c r="M3" s="682">
        <f>SUMPRODUCT((区片价!B29:B48=I2)*(区片价!C3:F3=E2)*(区片价!C29:F48))</f>
        <v>0</v>
      </c>
      <c r="N3" s="679">
        <f>SUMPRODUCT((因素修正幅度!B29:B48=I2)*(因素修正幅度!C3:F3=E2)*(因素修正幅度!C29:F48))</f>
        <v>0</v>
      </c>
      <c r="O3" s="486"/>
      <c r="P3" s="486"/>
      <c r="Q3" s="486"/>
      <c r="R3" s="760">
        <v>2</v>
      </c>
      <c r="S3" s="760" t="e">
        <f>ROUND(IF(G3&gt;1,IF(R3&lt;7,SUMPRODUCT((B93:B98=R3)*(C92:N92=G2)*(C93:N98)),SUMIF(C92:N92,G2,C100:N100)),IF(R3&lt;7,SUMPRODUCT((B102:B107=R3)*(C92:N92=G2)*(C102:N107)),SUMIF(C92:N92,G2,C109:N109))),4)</f>
        <v>#DIV/0!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6" spans="1:36">
      <c r="A4" s="503"/>
      <c r="B4" s="504"/>
      <c r="C4" s="504"/>
      <c r="D4" s="505"/>
      <c r="E4" s="505"/>
      <c r="F4" s="505"/>
      <c r="G4" s="505"/>
      <c r="H4" s="505"/>
      <c r="I4" s="505"/>
      <c r="J4" s="684"/>
      <c r="K4" s="486"/>
      <c r="L4" s="681" t="s">
        <v>1660</v>
      </c>
      <c r="M4" s="682">
        <f>SUMPRODUCT((区片价!B49:B75=I2)*(区片价!C3:F3=E2)*(区片价!C49:F75))</f>
        <v>0</v>
      </c>
      <c r="N4" s="679">
        <f>SUMPRODUCT((因素修正幅度!B49:B75=I2)*(因素修正幅度!C3:F3=E2)*(因素修正幅度!C49:F75))</f>
        <v>0</v>
      </c>
      <c r="O4" s="486"/>
      <c r="P4" s="486"/>
      <c r="Q4" s="486"/>
      <c r="R4" s="760">
        <v>3</v>
      </c>
      <c r="S4" s="760" t="e">
        <f>ROUND(IF(G3&gt;1,IF(R4&lt;7,SUMPRODUCT((B93:B98=R4)*(C92:N92=G2)*(C93:N98)),SUMIF(C92:N92,G2,C100:N100)),IF(R4&lt;7,SUMPRODUCT((B102:B107=R4)*(C92:N92=G2)*(C102:N107)),SUMIF(C92:N92,G2,C109:N109))),4)</f>
        <v>#DIV/0!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819</v>
      </c>
      <c r="B5" s="507" t="s">
        <v>1661</v>
      </c>
      <c r="C5" s="508" t="e">
        <f>ROUND(IF(E2="商业",C6*C7+C16,(IF(E2="住宅",C6*C12+C16,C6+C16))),0)</f>
        <v>#DIV/0!</v>
      </c>
      <c r="D5" s="509" t="e">
        <f>ROUND(C6+C16,0)</f>
        <v>#DIV/0!</v>
      </c>
      <c r="E5" s="509"/>
      <c r="F5" s="510"/>
      <c r="G5" s="511"/>
      <c r="H5" s="511"/>
      <c r="I5" s="511"/>
      <c r="J5" s="685"/>
      <c r="K5" s="686"/>
      <c r="L5" s="681" t="s">
        <v>1662</v>
      </c>
      <c r="M5" s="682">
        <f>SUMPRODUCT((区片价!B76:B109=I2)*(区片价!C3:F3=E2)*(区片价!C76:F109))</f>
        <v>0</v>
      </c>
      <c r="N5" s="679">
        <f>SUMPRODUCT((因素修正幅度!B76:B109=I2)*(因素修正幅度!C3:F3=E2)*(因素修正幅度!C76:F109))</f>
        <v>0</v>
      </c>
      <c r="O5" s="486"/>
      <c r="P5" s="486"/>
      <c r="Q5" s="486"/>
      <c r="R5" s="760">
        <v>4</v>
      </c>
      <c r="S5" s="760" t="e">
        <f>ROUND(IF(G3&gt;1,IF(R5&lt;7,SUMPRODUCT((B93:B98=R5)*(C92:N92=G2)*(C93:N98)),SUMIF(C92:N92,G2,C100:N100)),IF(R5&lt;7,SUMPRODUCT((B102:B107=R5)*(C92:N92=G2)*(C102:N107)),SUMIF(C92:N92,G2,C109:N109))),4)</f>
        <v>#DIV/0!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1035</v>
      </c>
      <c r="B6" s="513" t="s">
        <v>1663</v>
      </c>
      <c r="C6" s="514">
        <f>SUMIF(L1:L12,G2,M1:M12)</f>
        <v>0</v>
      </c>
      <c r="D6" s="515" t="s">
        <v>1664</v>
      </c>
      <c r="E6" s="516"/>
      <c r="F6" s="516"/>
      <c r="G6" s="517"/>
      <c r="H6" s="517"/>
      <c r="I6" s="517"/>
      <c r="J6" s="687"/>
      <c r="K6" s="688"/>
      <c r="L6" s="681" t="s">
        <v>1665</v>
      </c>
      <c r="M6" s="682">
        <f>SUMPRODUCT((区片价!B110:B157=I2)*(区片价!C3:F3=E2)*(区片价!C110:F157))</f>
        <v>0</v>
      </c>
      <c r="N6" s="679">
        <f>SUMPRODUCT((因素修正幅度!B110:B157=I2)*(因素修正幅度!C3:F3=E2)*(因素修正幅度!C110:F157))</f>
        <v>0</v>
      </c>
      <c r="O6" s="486"/>
      <c r="P6" s="486"/>
      <c r="Q6" s="486"/>
      <c r="R6" s="760">
        <v>5</v>
      </c>
      <c r="S6" s="760" t="e">
        <f>ROUND(IF(G3&gt;1,IF(R6&lt;7,SUMPRODUCT((B93:B98=R6)*(C92:N92=G2)*(C93:N98)),SUMIF(C92:N92,G2,C100:N100)),IF(R6&lt;7,SUMPRODUCT((B102:B107=R6)*(C92:N92=G2)*(C102:N107)),SUMIF(C92:N92,G2,C109:N109))),4)</f>
        <v>#DIV/0!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1666</v>
      </c>
      <c r="C7" s="520" t="e">
        <f>IF(C8="不临58条商业街",1,ROUND(1+(1.6*E8+1.2*E9+0.8*E10+0.4*E11)*C9,4))</f>
        <v>#DIV/0!</v>
      </c>
      <c r="D7" s="521" t="s">
        <v>1667</v>
      </c>
      <c r="E7" s="522"/>
      <c r="F7" s="523"/>
      <c r="G7" s="524"/>
      <c r="H7" s="524"/>
      <c r="I7" s="524"/>
      <c r="J7" s="689"/>
      <c r="K7" s="688"/>
      <c r="L7" s="681" t="s">
        <v>1668</v>
      </c>
      <c r="M7" s="682">
        <f>SUMPRODUCT((区片价!B158:B205=I2)*(区片价!C3:F3=E2)*(区片价!C158:F205))</f>
        <v>0</v>
      </c>
      <c r="N7" s="679">
        <f>SUMPRODUCT((因素修正幅度!B158:B205=I2)*(因素修正幅度!C3:F3=E2)*(因素修正幅度!C158:F205))</f>
        <v>0</v>
      </c>
      <c r="O7" s="486"/>
      <c r="P7" s="486"/>
      <c r="Q7" s="486"/>
      <c r="R7" s="760">
        <v>6</v>
      </c>
      <c r="S7" s="760" t="e">
        <f>ROUND(IF(G3&gt;1,IF(R7&lt;7,SUMPRODUCT((B93:B98=R7)*(C92:N92=G2)*(C93:N98)),SUMIF(C92:N92,G2,C100:N100)),IF(R7&lt;7,SUMPRODUCT((B102:B107=R7)*(C92:N92=G2)*(C102:N107)),SUMIF(C92:N92,G2,C109:N109))),4)</f>
        <v>#DIV/0!</v>
      </c>
      <c r="T7" s="760" t="e">
        <f t="shared" si="0"/>
        <v>#DIV/0!</v>
      </c>
      <c r="U7" s="762"/>
      <c r="V7" s="760" t="e">
        <f t="shared" si="1"/>
        <v>#DIV/0!</v>
      </c>
      <c r="W7" s="763" t="s">
        <v>1669</v>
      </c>
      <c r="X7" s="764">
        <f>G2</f>
        <v>0</v>
      </c>
      <c r="Y7" s="764" t="s">
        <v>1670</v>
      </c>
      <c r="Z7" s="775" t="e">
        <f>G3</f>
        <v>#DIV/0!</v>
      </c>
      <c r="AA7" s="761"/>
      <c r="AB7" s="761"/>
      <c r="AC7" s="771"/>
      <c r="AD7" s="772"/>
      <c r="AE7" s="772"/>
      <c r="AF7" s="772"/>
      <c r="AG7" s="772"/>
      <c r="AH7" s="772"/>
      <c r="AI7" s="772"/>
      <c r="AJ7" s="782"/>
    </row>
    <row r="8" ht="15" spans="1:36">
      <c r="A8" s="525"/>
      <c r="B8" s="502" t="s">
        <v>1671</v>
      </c>
      <c r="C8" s="526"/>
      <c r="D8" s="527" t="s">
        <v>1672</v>
      </c>
      <c r="E8" s="528" t="e">
        <f>ROUND(C11/E7,4)</f>
        <v>#DIV/0!</v>
      </c>
      <c r="F8" s="529" t="s">
        <v>1673</v>
      </c>
      <c r="G8" s="530"/>
      <c r="H8" s="530"/>
      <c r="I8" s="530"/>
      <c r="J8" s="690"/>
      <c r="K8" s="486"/>
      <c r="L8" s="681" t="s">
        <v>1674</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1675</v>
      </c>
      <c r="X8" s="766"/>
      <c r="Y8" s="776" t="s">
        <v>1676</v>
      </c>
      <c r="Z8" s="776" t="s">
        <v>1677</v>
      </c>
      <c r="AA8" s="776" t="s">
        <v>1678</v>
      </c>
      <c r="AB8" s="776" t="s">
        <v>1679</v>
      </c>
      <c r="AC8" s="776" t="s">
        <v>1680</v>
      </c>
      <c r="AD8" s="776" t="s">
        <v>1681</v>
      </c>
      <c r="AE8" s="776" t="s">
        <v>1682</v>
      </c>
      <c r="AF8" s="776" t="s">
        <v>1683</v>
      </c>
      <c r="AG8" s="776" t="s">
        <v>1684</v>
      </c>
      <c r="AH8" s="776" t="s">
        <v>1685</v>
      </c>
      <c r="AI8" s="776" t="s">
        <v>1686</v>
      </c>
      <c r="AJ8" s="776" t="s">
        <v>1687</v>
      </c>
    </row>
    <row r="9" ht="15" spans="1:36">
      <c r="A9" s="525"/>
      <c r="B9" s="502" t="s">
        <v>1688</v>
      </c>
      <c r="C9" s="531">
        <f>SUMIF(修正!C71:C138,C8,修正!E71:E138)</f>
        <v>0</v>
      </c>
      <c r="D9" s="532" t="s">
        <v>1689</v>
      </c>
      <c r="E9" s="532" t="e">
        <f>ROUND(C11/E7,4)</f>
        <v>#DIV/0!</v>
      </c>
      <c r="F9" s="529" t="s">
        <v>1690</v>
      </c>
      <c r="G9" s="530"/>
      <c r="H9" s="530"/>
      <c r="I9" s="530"/>
      <c r="J9" s="690"/>
      <c r="K9" s="486"/>
      <c r="L9" s="681" t="s">
        <v>1691</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1692</v>
      </c>
      <c r="X9" s="767" t="s">
        <v>1693</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1694</v>
      </c>
      <c r="C10" s="532">
        <f>SUMIF(修正!C71:C138,C8,修正!F71:F138)</f>
        <v>0</v>
      </c>
      <c r="D10" s="532" t="s">
        <v>1695</v>
      </c>
      <c r="E10" s="532" t="e">
        <f>ROUND(C11/E7,4)</f>
        <v>#DIV/0!</v>
      </c>
      <c r="F10" s="529" t="s">
        <v>1696</v>
      </c>
      <c r="G10" s="530"/>
      <c r="H10" s="530"/>
      <c r="I10" s="530"/>
      <c r="J10" s="690"/>
      <c r="K10" s="486"/>
      <c r="L10" s="681" t="s">
        <v>1697</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1698</v>
      </c>
      <c r="C11" s="534">
        <f>C10/4</f>
        <v>0</v>
      </c>
      <c r="D11" s="534" t="s">
        <v>1699</v>
      </c>
      <c r="E11" s="534" t="e">
        <f>ROUND(C11/E7,4)</f>
        <v>#DIV/0!</v>
      </c>
      <c r="F11" s="535" t="s">
        <v>1700</v>
      </c>
      <c r="G11" s="536"/>
      <c r="H11" s="536"/>
      <c r="I11" s="536"/>
      <c r="J11" s="691"/>
      <c r="K11" s="486"/>
      <c r="L11" s="681" t="s">
        <v>1701</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1702</v>
      </c>
      <c r="X11" s="768" t="s">
        <v>1670</v>
      </c>
      <c r="Y11" s="780" t="e">
        <f>$G$3</f>
        <v>#DIV/0!</v>
      </c>
      <c r="Z11" s="780" t="e">
        <f t="shared" ref="Z11:AJ11" si="3">$G$3</f>
        <v>#DIV/0!</v>
      </c>
      <c r="AA11" s="780" t="e">
        <f t="shared" si="3"/>
        <v>#DIV/0!</v>
      </c>
      <c r="AB11" s="780" t="e">
        <f t="shared" si="3"/>
        <v>#DIV/0!</v>
      </c>
      <c r="AC11" s="780" t="e">
        <f t="shared" si="3"/>
        <v>#DIV/0!</v>
      </c>
      <c r="AD11" s="780" t="e">
        <f t="shared" si="3"/>
        <v>#DIV/0!</v>
      </c>
      <c r="AE11" s="780" t="e">
        <f t="shared" si="3"/>
        <v>#DIV/0!</v>
      </c>
      <c r="AF11" s="780" t="e">
        <f t="shared" si="3"/>
        <v>#DIV/0!</v>
      </c>
      <c r="AG11" s="780" t="e">
        <f t="shared" si="3"/>
        <v>#DIV/0!</v>
      </c>
      <c r="AH11" s="780" t="e">
        <f t="shared" si="3"/>
        <v>#DIV/0!</v>
      </c>
      <c r="AI11" s="780" t="e">
        <f t="shared" si="3"/>
        <v>#DIV/0!</v>
      </c>
      <c r="AJ11" s="780" t="e">
        <f t="shared" si="3"/>
        <v>#DIV/0!</v>
      </c>
    </row>
    <row r="12" ht="25.95" spans="1:36">
      <c r="A12" s="518" t="s">
        <v>1466</v>
      </c>
      <c r="B12" s="537" t="s">
        <v>1703</v>
      </c>
      <c r="C12" s="520">
        <f>ROUND(C15*D15*E15*F15*G15*H15*I15*J15,4)</f>
        <v>1</v>
      </c>
      <c r="D12" s="538" t="s">
        <v>1704</v>
      </c>
      <c r="E12" s="539"/>
      <c r="F12" s="539"/>
      <c r="G12" s="540"/>
      <c r="H12" s="540"/>
      <c r="I12" s="540"/>
      <c r="J12" s="692"/>
      <c r="K12" s="486"/>
      <c r="L12" s="693" t="s">
        <v>1705</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1706</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1707</v>
      </c>
      <c r="C13" s="543" t="s">
        <v>1708</v>
      </c>
      <c r="D13" s="544" t="s">
        <v>1709</v>
      </c>
      <c r="E13" s="544" t="s">
        <v>1710</v>
      </c>
      <c r="F13" s="545" t="s">
        <v>1711</v>
      </c>
      <c r="G13" s="546" t="s">
        <v>1712</v>
      </c>
      <c r="H13" s="546" t="s">
        <v>1712</v>
      </c>
      <c r="I13" s="546" t="s">
        <v>1712</v>
      </c>
      <c r="J13" s="695" t="s">
        <v>1712</v>
      </c>
      <c r="K13" s="486"/>
      <c r="L13" s="486"/>
      <c r="M13" s="486"/>
      <c r="N13" s="486"/>
      <c r="O13" s="486"/>
      <c r="P13" s="486"/>
      <c r="Q13" s="486"/>
      <c r="R13" s="760">
        <v>12</v>
      </c>
      <c r="S13" s="762"/>
      <c r="T13" s="760" t="e">
        <f t="shared" si="0"/>
        <v>#DIV/0!</v>
      </c>
      <c r="U13" s="762"/>
      <c r="V13" s="760" t="e">
        <f t="shared" si="1"/>
        <v>#DIV/0!</v>
      </c>
      <c r="W13" s="763"/>
      <c r="X13" s="769"/>
      <c r="Y13" s="779" t="e">
        <f>(-0.163*(Y12^2)-0.59*Y12+7617)*(10^(-4))/Y11</f>
        <v>#DIV/0!</v>
      </c>
      <c r="Z13" s="779" t="e">
        <f t="shared" ref="Z13:AJ13" si="5">(-0.163*(Z12^2)-0.59*Z12+7617)*(10^(-4))/Z11</f>
        <v>#DIV/0!</v>
      </c>
      <c r="AA13" s="779" t="e">
        <f t="shared" si="5"/>
        <v>#DIV/0!</v>
      </c>
      <c r="AB13" s="779" t="e">
        <f t="shared" si="5"/>
        <v>#DIV/0!</v>
      </c>
      <c r="AC13" s="779" t="e">
        <f t="shared" si="5"/>
        <v>#DIV/0!</v>
      </c>
      <c r="AD13" s="779" t="e">
        <f t="shared" si="5"/>
        <v>#DIV/0!</v>
      </c>
      <c r="AE13" s="779" t="e">
        <f t="shared" si="5"/>
        <v>#DIV/0!</v>
      </c>
      <c r="AF13" s="779" t="e">
        <f t="shared" si="5"/>
        <v>#DIV/0!</v>
      </c>
      <c r="AG13" s="779" t="e">
        <f t="shared" si="5"/>
        <v>#DIV/0!</v>
      </c>
      <c r="AH13" s="779" t="e">
        <f t="shared" si="5"/>
        <v>#DIV/0!</v>
      </c>
      <c r="AI13" s="779" t="e">
        <f t="shared" si="5"/>
        <v>#DIV/0!</v>
      </c>
      <c r="AJ13" s="779" t="e">
        <f t="shared" si="5"/>
        <v>#DIV/0!</v>
      </c>
    </row>
    <row r="14" ht="15" spans="1:36">
      <c r="A14" s="541"/>
      <c r="B14" s="547"/>
      <c r="C14" s="548"/>
      <c r="D14" s="549"/>
      <c r="E14" s="549"/>
      <c r="F14" s="550"/>
      <c r="G14" s="551" t="s">
        <v>1713</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1193</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1470</v>
      </c>
      <c r="B16" s="519" t="s">
        <v>1714</v>
      </c>
      <c r="C16" s="557" t="e">
        <f>ROUND(IF(F17="与级别开发程度一致",0,(G17-E17)/C17),0)</f>
        <v>#DIV/0!</v>
      </c>
      <c r="D16" s="558" t="s">
        <v>1715</v>
      </c>
      <c r="E16" s="559"/>
      <c r="F16" s="558" t="s">
        <v>1716</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95" spans="1:36">
      <c r="A17" s="561"/>
      <c r="B17" s="562" t="s">
        <v>1717</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15" spans="1:36">
      <c r="A18" s="567" t="s">
        <v>830</v>
      </c>
      <c r="B18" s="568" t="s">
        <v>1718</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9.55" spans="1:37">
      <c r="A19" s="572" t="s">
        <v>835</v>
      </c>
      <c r="B19" s="573" t="s">
        <v>1719</v>
      </c>
      <c r="C19" s="574" t="e">
        <f>ROUND(IF(H19="按公示增长率计算",SUMPRODUCT((地价!A3:A37=YEAR(G19)&amp;"-"&amp;ROUNDUP(MONTH(G19)/3,0))*(地价!X2:AB2=E2)*(地价!X3:AB37)),IF(H19="地价指数",M20/M19,(1+I19)^O19)),4)</f>
        <v>#VALUE!</v>
      </c>
      <c r="D19" s="575" t="s">
        <v>1720</v>
      </c>
      <c r="E19" s="576">
        <v>41640</v>
      </c>
      <c r="F19" s="575" t="s">
        <v>1721</v>
      </c>
      <c r="G19" s="577">
        <f>'数据-取费表'!B2</f>
        <v>44858</v>
      </c>
      <c r="H19" s="578"/>
      <c r="I19" s="707" t="str">
        <f>IF(H19="季度增幅（自定义）",SUMIF(N21:N24,E2,O21:O24),"")</f>
        <v/>
      </c>
      <c r="J19" s="708"/>
      <c r="K19" s="704"/>
      <c r="L19" s="709" t="s">
        <v>1722</v>
      </c>
      <c r="M19" s="710">
        <f>ROUND(SUMIF(地价!B2:F2,E2,地价!B37:F37),0)</f>
        <v>0</v>
      </c>
      <c r="N19" s="711" t="s">
        <v>1723</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9.55" spans="1:36">
      <c r="A20" s="579" t="s">
        <v>838</v>
      </c>
      <c r="B20" s="580" t="s">
        <v>1724</v>
      </c>
      <c r="C20" s="581" t="e">
        <f>ROUND(POWER(1+G20,J20-I20)*(POWER(1+G20,I20)-1)/(POWER(1+G20,J20)-1),4)</f>
        <v>#DIV/0!</v>
      </c>
      <c r="D20" s="582" t="s">
        <v>1725</v>
      </c>
      <c r="E20" s="583">
        <f>存贷款利率!E22/100</f>
        <v>0.0435</v>
      </c>
      <c r="F20" s="582" t="s">
        <v>1726</v>
      </c>
      <c r="G20" s="584">
        <f>SUMIF(M26:P26,E2,M28:P28)</f>
        <v>0</v>
      </c>
      <c r="H20" s="582" t="s">
        <v>1727</v>
      </c>
      <c r="I20" s="558" t="e">
        <f>SUMIF('数据-取费表'!C6:C15,E2,'数据-取费表'!F6:F15)/COUNTIF('数据-取费表'!C6:C15,E2)</f>
        <v>#DIV/0!</v>
      </c>
      <c r="J20" s="714">
        <f>IF(E2="住宅",70,IF(E2="商业",40,50))</f>
        <v>50</v>
      </c>
      <c r="K20" s="704"/>
      <c r="L20" s="715" t="s">
        <v>1728</v>
      </c>
      <c r="M20" s="716">
        <f>ROUND(SUMPRODUCT((地价!A4:A37=YEAR(G19)&amp;"-"&amp;ROUNDUP(MONTH(G19)/3,0))*(地价!B2:F2=E2)*(地价!B4:F37)),0)</f>
        <v>0</v>
      </c>
      <c r="N20" s="717" t="s">
        <v>1729</v>
      </c>
      <c r="O20" s="718" t="s">
        <v>1730</v>
      </c>
      <c r="P20" s="719" t="s">
        <v>1731</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4.4" spans="1:36">
      <c r="A21" s="585" t="s">
        <v>860</v>
      </c>
      <c r="B21" s="586" t="s">
        <v>1732</v>
      </c>
      <c r="C21" s="587" t="e">
        <f>IF(B21="容积率修正",IF(G3&lt;=10,D22,J22),C23)</f>
        <v>#DIV/0!</v>
      </c>
      <c r="D21" s="588"/>
      <c r="E21" s="588"/>
      <c r="F21" s="588"/>
      <c r="G21" s="588"/>
      <c r="H21" s="588"/>
      <c r="I21" s="588"/>
      <c r="J21" s="720"/>
      <c r="K21" s="704"/>
      <c r="L21" s="705"/>
      <c r="M21" s="705"/>
      <c r="N21" s="721" t="s">
        <v>1733</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4" spans="1:36">
      <c r="A22" s="589" t="s">
        <v>1734</v>
      </c>
      <c r="B22" s="590" t="s">
        <v>1735</v>
      </c>
      <c r="C22" s="591" t="s">
        <v>1736</v>
      </c>
      <c r="D22" s="591" t="e">
        <f>IF(E22=G22,F22,IF(G3&lt;=10,ROUND(F22+(H22-F22)*(G3-E22)/(G22-E22),4),"——"))</f>
        <v>#DIV/0!</v>
      </c>
      <c r="E22" s="501" t="e">
        <f>ROUNDDOWN(G3,1)</f>
        <v>#DIV/0!</v>
      </c>
      <c r="F22" s="5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01" t="e">
        <f>ROUNDUP(G3,1)</f>
        <v>#DIV/0!</v>
      </c>
      <c r="H22" s="5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91" t="s">
        <v>1737</v>
      </c>
      <c r="J22" s="724" t="e">
        <f>IF(G3&gt;10,D113,"——")</f>
        <v>#DIV/0!</v>
      </c>
      <c r="K22" s="704"/>
      <c r="L22" s="705"/>
      <c r="M22" s="705"/>
      <c r="N22" s="721" t="s">
        <v>1738</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9.55" spans="1:37">
      <c r="A23" s="589" t="s">
        <v>1739</v>
      </c>
      <c r="B23" s="592" t="s">
        <v>1740</v>
      </c>
      <c r="C23" s="593" t="e">
        <f>ROUND(IF(G3&gt;1,IF(I3&lt;7,SUMPRODUCT((B93:B98=I3)*(C92:N92=G2)*(C93:N98)),SUMIF(C92:N92,G2,C100:N100)),IF(I3&lt;7,SUMPRODUCT((B102:B107=I3)*(C92:N92=G2)*(C102:N107)),SUMIF(C92:N92,G2,C109:N109))),4)</f>
        <v>#DIV/0!</v>
      </c>
      <c r="D23" s="552"/>
      <c r="E23" s="552"/>
      <c r="F23" s="594"/>
      <c r="G23" s="595"/>
      <c r="H23" s="596"/>
      <c r="I23" s="725"/>
      <c r="J23" s="726"/>
      <c r="K23" s="486"/>
      <c r="L23" s="487"/>
      <c r="M23" s="487"/>
      <c r="N23" s="721" t="s">
        <v>1741</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15" spans="1:36">
      <c r="A24" s="579" t="s">
        <v>1742</v>
      </c>
      <c r="B24" s="573" t="s">
        <v>1743</v>
      </c>
      <c r="C24" s="574">
        <f>SUMIF(A45:A88,E2,B45:B88)</f>
        <v>0</v>
      </c>
      <c r="D24" s="597"/>
      <c r="E24" s="598"/>
      <c r="F24" s="598"/>
      <c r="G24" s="598"/>
      <c r="H24" s="598"/>
      <c r="I24" s="598"/>
      <c r="J24" s="727"/>
      <c r="K24" s="704"/>
      <c r="L24" s="705"/>
      <c r="M24" s="705"/>
      <c r="N24" s="728" t="s">
        <v>1744</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15" spans="1:36">
      <c r="A25" s="579" t="s">
        <v>1745</v>
      </c>
      <c r="B25" s="599" t="s">
        <v>1746</v>
      </c>
      <c r="C25" s="600"/>
      <c r="D25" s="524"/>
      <c r="E25" s="524"/>
      <c r="F25" s="601"/>
      <c r="G25" s="524"/>
      <c r="H25" s="524"/>
      <c r="I25" s="524"/>
      <c r="J25" s="689"/>
      <c r="K25" s="486"/>
      <c r="L25" s="487"/>
      <c r="M25" s="487"/>
      <c r="N25" s="731" t="s">
        <v>1747</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4.4" spans="1:36">
      <c r="A26" s="602"/>
      <c r="B26" s="590" t="s">
        <v>1748</v>
      </c>
      <c r="C26" s="603" t="e">
        <f ca="1">IF(B21="容积率修正",E29+SUM(E33:E39),SUM(V2:V16)+SUM(E33:E39))</f>
        <v>#DIV/0!</v>
      </c>
      <c r="D26" s="604"/>
      <c r="E26" s="552"/>
      <c r="F26" s="605"/>
      <c r="G26" s="552"/>
      <c r="H26" s="552"/>
      <c r="I26" s="552"/>
      <c r="J26" s="734"/>
      <c r="K26" s="486"/>
      <c r="L26" s="735" t="s">
        <v>1651</v>
      </c>
      <c r="M26" s="521" t="s">
        <v>1749</v>
      </c>
      <c r="N26" s="521" t="s">
        <v>1750</v>
      </c>
      <c r="O26" s="521" t="s">
        <v>1751</v>
      </c>
      <c r="P26" s="736" t="s">
        <v>1752</v>
      </c>
      <c r="Q26" s="487"/>
      <c r="R26" s="770"/>
      <c r="S26" s="770"/>
      <c r="T26" s="642"/>
      <c r="U26" s="642"/>
      <c r="V26" s="642"/>
      <c r="W26" s="486"/>
      <c r="X26" s="486"/>
      <c r="Y26" s="486"/>
      <c r="Z26" s="704"/>
      <c r="AA26" s="704"/>
      <c r="AB26" s="704"/>
      <c r="AC26" s="704"/>
      <c r="AD26" s="704"/>
      <c r="AE26" s="642"/>
      <c r="AF26" s="642"/>
      <c r="AG26" s="785"/>
      <c r="AH26" s="785"/>
      <c r="AI26" s="785"/>
      <c r="AJ26" s="785"/>
    </row>
    <row r="27" ht="15.15" spans="1:36">
      <c r="A27" s="602"/>
      <c r="B27" s="606" t="s">
        <v>1753</v>
      </c>
      <c r="C27" s="607" t="e">
        <f ca="1">E30+SUM(I33:I39)</f>
        <v>#DIV/0!</v>
      </c>
      <c r="D27" s="608"/>
      <c r="E27" s="609"/>
      <c r="F27" s="610"/>
      <c r="G27" s="609"/>
      <c r="H27" s="609"/>
      <c r="I27" s="609"/>
      <c r="J27" s="737"/>
      <c r="K27" s="486"/>
      <c r="L27" s="738" t="s">
        <v>1754</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15" spans="1:36">
      <c r="A28" s="611"/>
      <c r="B28" s="612" t="s">
        <v>1755</v>
      </c>
      <c r="C28" s="613" t="s">
        <v>1756</v>
      </c>
      <c r="D28" s="613" t="s">
        <v>490</v>
      </c>
      <c r="E28" s="614" t="s">
        <v>1757</v>
      </c>
      <c r="F28" s="615"/>
      <c r="G28" s="540"/>
      <c r="H28" s="540"/>
      <c r="I28" s="540"/>
      <c r="J28" s="692"/>
      <c r="K28" s="486"/>
      <c r="L28" s="740" t="s">
        <v>1726</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1758</v>
      </c>
      <c r="C29" s="618" t="e">
        <f>ROUND(C5*C18*C19*C20*C21*C24,0)</f>
        <v>#DIV/0!</v>
      </c>
      <c r="D29" s="619"/>
      <c r="E29" s="620" t="e">
        <f>ROUND(C29*D29/10000,0)</f>
        <v>#DIV/0!</v>
      </c>
      <c r="F29" s="621" t="s">
        <v>1759</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95" spans="1:36">
      <c r="A30" s="623"/>
      <c r="B30" s="624" t="s">
        <v>1760</v>
      </c>
      <c r="C30" s="555" t="e">
        <f>ROUND(IF(E2="工业",C29*M39,C29*M38),0)</f>
        <v>#DIV/0!</v>
      </c>
      <c r="D30" s="625"/>
      <c r="E30" s="620" t="e">
        <f>ROUND(C30*D30/10000,0)</f>
        <v>#DIV/0!</v>
      </c>
      <c r="F30" s="626" t="s">
        <v>1761</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3.8" spans="1:36">
      <c r="A31" s="628"/>
      <c r="B31" s="629" t="s">
        <v>1762</v>
      </c>
      <c r="C31" s="630" t="s">
        <v>1763</v>
      </c>
      <c r="D31" s="540"/>
      <c r="E31" s="630"/>
      <c r="F31" s="630"/>
      <c r="G31" s="538" t="s">
        <v>1761</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36" spans="1:36">
      <c r="A32" s="616"/>
      <c r="B32" s="631"/>
      <c r="C32" s="632" t="s">
        <v>1756</v>
      </c>
      <c r="D32" s="633" t="s">
        <v>490</v>
      </c>
      <c r="E32" s="633" t="s">
        <v>1757</v>
      </c>
      <c r="F32" s="493" t="s">
        <v>1764</v>
      </c>
      <c r="G32" s="634" t="s">
        <v>1756</v>
      </c>
      <c r="H32" s="634" t="s">
        <v>490</v>
      </c>
      <c r="I32" s="634" t="s">
        <v>1757</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1765</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1766</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3.8" spans="1:36">
      <c r="A34" s="637"/>
      <c r="B34" s="543" t="s">
        <v>1767</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1768</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95" spans="1:36">
      <c r="A36" s="638"/>
      <c r="B36" s="543" t="s">
        <v>1769</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1770</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1771</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1772</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1773</v>
      </c>
      <c r="M38" s="751">
        <v>0.25</v>
      </c>
      <c r="N38" s="486"/>
      <c r="O38" s="486"/>
      <c r="P38" s="486"/>
      <c r="Q38" s="486"/>
      <c r="R38" s="486"/>
      <c r="S38" s="486"/>
      <c r="T38" s="486"/>
      <c r="U38" s="486"/>
      <c r="V38" s="486"/>
      <c r="W38" s="486"/>
      <c r="X38" s="486"/>
      <c r="Y38" s="486"/>
      <c r="Z38" s="642"/>
      <c r="AA38" s="642"/>
      <c r="AB38" s="642"/>
      <c r="AC38" s="642"/>
      <c r="AD38" s="642"/>
    </row>
    <row r="39" ht="13.95" spans="1:30">
      <c r="A39" s="623"/>
      <c r="B39" s="640" t="s">
        <v>1774</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1752</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ht="24" spans="1:36">
      <c r="A41" s="642"/>
      <c r="B41" s="643" t="s">
        <v>1775</v>
      </c>
      <c r="C41" s="493" t="e">
        <f>ROUND(POWER(1+E41,H41-G41)*(POWER(1+E41,G41)-1)/(POWER(1+E41,H41)-1),4)</f>
        <v>#DIV/0!</v>
      </c>
      <c r="D41" s="532" t="s">
        <v>1726</v>
      </c>
      <c r="E41" s="644">
        <f>G20</f>
        <v>0</v>
      </c>
      <c r="F41" s="532" t="s">
        <v>1727</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15" spans="1:36">
      <c r="A45" s="647" t="s">
        <v>1776</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4.4" spans="1:36">
      <c r="A46" s="651" t="s">
        <v>1777</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5.2" spans="1:37">
      <c r="A47" s="657" t="s">
        <v>1778</v>
      </c>
      <c r="B47" s="658" t="s">
        <v>1779</v>
      </c>
      <c r="C47" s="658" t="s">
        <v>1780</v>
      </c>
      <c r="D47" s="658" t="s">
        <v>1781</v>
      </c>
      <c r="E47" s="659" t="s">
        <v>1782</v>
      </c>
      <c r="F47" s="660" t="s">
        <v>1783</v>
      </c>
      <c r="G47" s="658" t="s">
        <v>1193</v>
      </c>
      <c r="H47" s="661" t="s">
        <v>1784</v>
      </c>
      <c r="I47" s="658" t="s">
        <v>1785</v>
      </c>
      <c r="J47" s="756" t="s">
        <v>1004</v>
      </c>
      <c r="K47" s="756" t="s">
        <v>1005</v>
      </c>
      <c r="L47" s="756" t="s">
        <v>1006</v>
      </c>
      <c r="M47" s="756" t="s">
        <v>1007</v>
      </c>
      <c r="N47" s="756" t="s">
        <v>1008</v>
      </c>
      <c r="AA47" s="642"/>
      <c r="AB47" s="642"/>
      <c r="AC47" s="642"/>
      <c r="AD47" s="642"/>
      <c r="AE47" s="642"/>
      <c r="AF47" s="642"/>
      <c r="AG47" s="642"/>
      <c r="AH47" s="642"/>
      <c r="AI47" s="642"/>
      <c r="AJ47" s="642"/>
      <c r="AK47" s="642"/>
    </row>
    <row r="48" s="486" customFormat="1" ht="49.2" spans="1:37">
      <c r="A48" s="657" t="s">
        <v>1786</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60" spans="1:37">
      <c r="A49" s="657" t="s">
        <v>1787</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1788</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50.4" spans="1:37">
      <c r="A51" s="657" t="s">
        <v>1789</v>
      </c>
      <c r="B51" s="670" t="s">
        <v>1790</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1791</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36" spans="1:37">
      <c r="A53" s="657" t="s">
        <v>1792</v>
      </c>
      <c r="B53" s="671" t="s">
        <v>1793</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1794</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1795</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1796</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4.4" spans="1:37">
      <c r="A57" s="651" t="s">
        <v>1797</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5.2" spans="1:37">
      <c r="A58" s="657" t="s">
        <v>1778</v>
      </c>
      <c r="B58" s="658"/>
      <c r="C58" s="658" t="s">
        <v>1780</v>
      </c>
      <c r="D58" s="658" t="s">
        <v>1781</v>
      </c>
      <c r="E58" s="659" t="s">
        <v>1782</v>
      </c>
      <c r="F58" s="660" t="s">
        <v>1798</v>
      </c>
      <c r="G58" s="658" t="s">
        <v>1193</v>
      </c>
      <c r="H58" s="661" t="s">
        <v>1784</v>
      </c>
      <c r="I58" s="658" t="s">
        <v>1785</v>
      </c>
      <c r="J58" s="756" t="s">
        <v>1004</v>
      </c>
      <c r="K58" s="756" t="s">
        <v>1005</v>
      </c>
      <c r="L58" s="756" t="s">
        <v>1006</v>
      </c>
      <c r="M58" s="756" t="s">
        <v>1007</v>
      </c>
      <c r="N58" s="756" t="s">
        <v>1008</v>
      </c>
      <c r="AA58" s="642"/>
      <c r="AB58" s="642"/>
      <c r="AC58" s="642"/>
      <c r="AD58" s="642"/>
      <c r="AE58" s="642"/>
      <c r="AF58" s="642"/>
      <c r="AG58" s="642"/>
      <c r="AH58" s="642"/>
      <c r="AI58" s="642"/>
      <c r="AJ58" s="642"/>
      <c r="AK58" s="642"/>
    </row>
    <row r="59" s="486" customFormat="1" ht="49.2" spans="1:37">
      <c r="A59" s="657" t="s">
        <v>1799</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60" spans="1:37">
      <c r="A60" s="657" t="s">
        <v>1787</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1788</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50.4" spans="1:37">
      <c r="A62" s="657" t="s">
        <v>1789</v>
      </c>
      <c r="B62" s="670" t="s">
        <v>1790</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1791</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36" spans="1:37">
      <c r="A64" s="657" t="s">
        <v>1792</v>
      </c>
      <c r="B64" s="671" t="s">
        <v>1793</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1794</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1795</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1796</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4.4" spans="1:37">
      <c r="A68" s="651" t="s">
        <v>1800</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5.2" spans="1:37">
      <c r="A69" s="657" t="s">
        <v>1778</v>
      </c>
      <c r="B69" s="658"/>
      <c r="C69" s="658" t="s">
        <v>1780</v>
      </c>
      <c r="D69" s="658" t="s">
        <v>1781</v>
      </c>
      <c r="E69" s="659" t="s">
        <v>1782</v>
      </c>
      <c r="F69" s="660" t="s">
        <v>1798</v>
      </c>
      <c r="G69" s="658" t="s">
        <v>1193</v>
      </c>
      <c r="H69" s="661" t="s">
        <v>1784</v>
      </c>
      <c r="I69" s="658" t="s">
        <v>1785</v>
      </c>
      <c r="J69" s="756" t="s">
        <v>1004</v>
      </c>
      <c r="K69" s="756" t="s">
        <v>1005</v>
      </c>
      <c r="L69" s="756" t="s">
        <v>1006</v>
      </c>
      <c r="M69" s="756" t="s">
        <v>1007</v>
      </c>
      <c r="N69" s="756" t="s">
        <v>1008</v>
      </c>
      <c r="AA69" s="642"/>
      <c r="AB69" s="642"/>
      <c r="AC69" s="642"/>
      <c r="AD69" s="642"/>
      <c r="AE69" s="642"/>
      <c r="AF69" s="642"/>
      <c r="AG69" s="642"/>
      <c r="AH69" s="642"/>
      <c r="AI69" s="642"/>
      <c r="AJ69" s="642"/>
      <c r="AK69" s="642"/>
    </row>
    <row r="70" s="486" customFormat="1" ht="60" spans="1:37">
      <c r="A70" s="657" t="s">
        <v>1801</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60" spans="1:37">
      <c r="A71" s="657" t="s">
        <v>1787</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1788</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3.8" spans="1:37">
      <c r="A73" s="657" t="s">
        <v>1802</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1794</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1795</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36" spans="1:37">
      <c r="A76" s="657" t="s">
        <v>1792</v>
      </c>
      <c r="B76" s="671" t="s">
        <v>1793</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1796</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36.75" spans="1:37">
      <c r="A78" s="674" t="s">
        <v>1803</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4.4" spans="1:37">
      <c r="A79" s="651" t="s">
        <v>1804</v>
      </c>
      <c r="B79" s="652">
        <f>1+E81</f>
        <v>1</v>
      </c>
      <c r="C79" s="654"/>
      <c r="D79" s="654"/>
      <c r="E79" s="655"/>
      <c r="F79" s="656"/>
      <c r="G79" s="650"/>
      <c r="H79" s="650"/>
      <c r="I79" s="650"/>
      <c r="J79" s="649"/>
      <c r="K79" s="649"/>
      <c r="L79" s="649"/>
      <c r="M79" s="649"/>
      <c r="N79" s="649"/>
      <c r="Z79" s="490"/>
      <c r="AA79" s="488"/>
      <c r="AG79" s="492"/>
      <c r="AK79" s="488"/>
    </row>
    <row r="80" ht="25.2" spans="1:37">
      <c r="A80" s="657" t="s">
        <v>1778</v>
      </c>
      <c r="B80" s="658"/>
      <c r="C80" s="658" t="s">
        <v>1780</v>
      </c>
      <c r="D80" s="658" t="s">
        <v>1781</v>
      </c>
      <c r="E80" s="659" t="s">
        <v>1782</v>
      </c>
      <c r="F80" s="660" t="s">
        <v>1798</v>
      </c>
      <c r="G80" s="658" t="s">
        <v>1193</v>
      </c>
      <c r="H80" s="661" t="s">
        <v>1784</v>
      </c>
      <c r="I80" s="658" t="s">
        <v>1785</v>
      </c>
      <c r="J80" s="756" t="s">
        <v>1004</v>
      </c>
      <c r="K80" s="756" t="s">
        <v>1005</v>
      </c>
      <c r="L80" s="756" t="s">
        <v>1006</v>
      </c>
      <c r="M80" s="756" t="s">
        <v>1007</v>
      </c>
      <c r="N80" s="756" t="s">
        <v>1008</v>
      </c>
      <c r="Z80" s="490"/>
      <c r="AA80" s="488"/>
      <c r="AG80" s="492"/>
      <c r="AK80" s="488"/>
    </row>
    <row r="81" ht="38.4" spans="1:37">
      <c r="A81" s="657" t="s">
        <v>1805</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60" spans="1:37">
      <c r="A82" s="657" t="s">
        <v>1787</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1788</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3.8" spans="1:37">
      <c r="A84" s="657" t="s">
        <v>1802</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1794</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1795</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36" spans="1:37">
      <c r="A87" s="657" t="s">
        <v>1792</v>
      </c>
      <c r="B87" s="671" t="s">
        <v>1806</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48.75" spans="1:37">
      <c r="A88" s="674" t="s">
        <v>1807</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1808</v>
      </c>
      <c r="B90" s="794"/>
      <c r="C90" s="794"/>
      <c r="D90" s="794"/>
      <c r="E90" s="794"/>
      <c r="F90" s="794"/>
      <c r="G90" s="794"/>
      <c r="H90" s="794"/>
      <c r="I90" s="794"/>
      <c r="J90" s="794"/>
      <c r="K90" s="794"/>
      <c r="L90" s="794"/>
      <c r="M90" s="794"/>
      <c r="N90" s="794"/>
    </row>
    <row r="91" spans="1:14">
      <c r="A91" s="620" t="s">
        <v>1809</v>
      </c>
      <c r="B91" s="620" t="s">
        <v>1810</v>
      </c>
      <c r="C91" s="621" t="s">
        <v>1811</v>
      </c>
      <c r="D91" s="622"/>
      <c r="E91" s="622"/>
      <c r="F91" s="622"/>
      <c r="G91" s="622"/>
      <c r="H91" s="622"/>
      <c r="I91" s="622"/>
      <c r="J91" s="819"/>
      <c r="K91" s="820"/>
      <c r="L91" s="820"/>
      <c r="M91" s="820"/>
      <c r="N91" s="820"/>
    </row>
    <row r="92" spans="1:14">
      <c r="A92" s="620"/>
      <c r="B92" s="620"/>
      <c r="C92" s="620" t="s">
        <v>1676</v>
      </c>
      <c r="D92" s="620" t="s">
        <v>1677</v>
      </c>
      <c r="E92" s="620" t="s">
        <v>1678</v>
      </c>
      <c r="F92" s="620" t="s">
        <v>1679</v>
      </c>
      <c r="G92" s="620" t="s">
        <v>1680</v>
      </c>
      <c r="H92" s="620" t="s">
        <v>1681</v>
      </c>
      <c r="I92" s="620" t="s">
        <v>1682</v>
      </c>
      <c r="J92" s="620" t="s">
        <v>1683</v>
      </c>
      <c r="K92" s="620" t="s">
        <v>1684</v>
      </c>
      <c r="L92" s="620" t="s">
        <v>1685</v>
      </c>
      <c r="M92" s="620" t="s">
        <v>1686</v>
      </c>
      <c r="N92" s="620" t="s">
        <v>1687</v>
      </c>
    </row>
    <row r="93" spans="1:14">
      <c r="A93" s="795" t="s">
        <v>1812</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1693</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1813</v>
      </c>
      <c r="B101" s="802" t="s">
        <v>1814</v>
      </c>
      <c r="C101" s="803" t="e">
        <f>$G$3</f>
        <v>#DIV/0!</v>
      </c>
      <c r="D101" s="803" t="e">
        <f t="shared" ref="D101:N101" si="31">$G$3</f>
        <v>#DIV/0!</v>
      </c>
      <c r="E101" s="803" t="e">
        <f t="shared" si="31"/>
        <v>#DIV/0!</v>
      </c>
      <c r="F101" s="803" t="e">
        <f t="shared" si="31"/>
        <v>#DIV/0!</v>
      </c>
      <c r="G101" s="803" t="e">
        <f t="shared" si="31"/>
        <v>#DIV/0!</v>
      </c>
      <c r="H101" s="803" t="e">
        <f t="shared" si="31"/>
        <v>#DIV/0!</v>
      </c>
      <c r="I101" s="803" t="e">
        <f t="shared" si="31"/>
        <v>#DIV/0!</v>
      </c>
      <c r="J101" s="803" t="e">
        <f t="shared" si="31"/>
        <v>#DIV/0!</v>
      </c>
      <c r="K101" s="803" t="e">
        <f t="shared" si="31"/>
        <v>#DIV/0!</v>
      </c>
      <c r="L101" s="803" t="e">
        <f t="shared" si="31"/>
        <v>#DIV/0!</v>
      </c>
      <c r="M101" s="803" t="e">
        <f t="shared" si="31"/>
        <v>#DIV/0!</v>
      </c>
      <c r="N101" s="803" t="e">
        <f t="shared" si="31"/>
        <v>#DIV/0!</v>
      </c>
    </row>
    <row r="102" spans="1:14">
      <c r="A102" s="798"/>
      <c r="B102" s="796">
        <v>1</v>
      </c>
      <c r="C102" s="797" t="e">
        <f>1.9362/C101</f>
        <v>#DIV/0!</v>
      </c>
      <c r="D102" s="797" t="e">
        <f>1.9362/D101</f>
        <v>#DIV/0!</v>
      </c>
      <c r="E102" s="797" t="e">
        <f>1.8629/E101</f>
        <v>#DIV/0!</v>
      </c>
      <c r="F102" s="797" t="e">
        <f>1.8629/F101</f>
        <v>#DIV/0!</v>
      </c>
      <c r="G102" s="797" t="e">
        <f>1.8629/G101</f>
        <v>#DIV/0!</v>
      </c>
      <c r="H102" s="797" t="e">
        <f>1.8629/H101</f>
        <v>#DIV/0!</v>
      </c>
      <c r="I102" s="797" t="e">
        <f>1.8629/I101</f>
        <v>#DIV/0!</v>
      </c>
      <c r="J102" s="797" t="e">
        <f>1.942/J101</f>
        <v>#DIV/0!</v>
      </c>
      <c r="K102" s="797" t="e">
        <f>1.942/K101</f>
        <v>#DIV/0!</v>
      </c>
      <c r="L102" s="797" t="e">
        <f>1.942/L101</f>
        <v>#DIV/0!</v>
      </c>
      <c r="M102" s="797" t="e">
        <f>1.942/M101</f>
        <v>#DIV/0!</v>
      </c>
      <c r="N102" s="797" t="e">
        <f>1.942/N101</f>
        <v>#DIV/0!</v>
      </c>
    </row>
    <row r="103" spans="1:14">
      <c r="A103" s="798"/>
      <c r="B103" s="796">
        <v>2</v>
      </c>
      <c r="C103" s="797" t="e">
        <f>1.4198/C101</f>
        <v>#DIV/0!</v>
      </c>
      <c r="D103" s="797" t="e">
        <f>1.4198/D101</f>
        <v>#DIV/0!</v>
      </c>
      <c r="E103" s="797" t="e">
        <f>1.3372/E101</f>
        <v>#DIV/0!</v>
      </c>
      <c r="F103" s="797" t="e">
        <f>1.3372/F101</f>
        <v>#DIV/0!</v>
      </c>
      <c r="G103" s="797" t="e">
        <f>1.3372/G101</f>
        <v>#DIV/0!</v>
      </c>
      <c r="H103" s="797" t="e">
        <f>1.3372/H101</f>
        <v>#DIV/0!</v>
      </c>
      <c r="I103" s="797" t="e">
        <f>1.3372/I101</f>
        <v>#DIV/0!</v>
      </c>
      <c r="J103" s="797" t="e">
        <f>1.2799/J101</f>
        <v>#DIV/0!</v>
      </c>
      <c r="K103" s="797" t="e">
        <f>1.2799/K101</f>
        <v>#DIV/0!</v>
      </c>
      <c r="L103" s="797" t="e">
        <f>1.2799/L101</f>
        <v>#DIV/0!</v>
      </c>
      <c r="M103" s="797" t="e">
        <f>1.2799/M101</f>
        <v>#DIV/0!</v>
      </c>
      <c r="N103" s="797" t="e">
        <f>1.2799/N101</f>
        <v>#DIV/0!</v>
      </c>
    </row>
    <row r="104" spans="1:14">
      <c r="A104" s="798"/>
      <c r="B104" s="796">
        <v>3</v>
      </c>
      <c r="C104" s="797" t="e">
        <f>1.1594/C101</f>
        <v>#DIV/0!</v>
      </c>
      <c r="D104" s="797" t="e">
        <f>1.1594/D101</f>
        <v>#DIV/0!</v>
      </c>
      <c r="E104" s="797" t="e">
        <f>1.0788/E101</f>
        <v>#DIV/0!</v>
      </c>
      <c r="F104" s="797" t="e">
        <f>1.0788/F101</f>
        <v>#DIV/0!</v>
      </c>
      <c r="G104" s="797" t="e">
        <f>1.0788/G101</f>
        <v>#DIV/0!</v>
      </c>
      <c r="H104" s="797" t="e">
        <f>1.0788/H101</f>
        <v>#DIV/0!</v>
      </c>
      <c r="I104" s="797" t="e">
        <f>1.0788/I101</f>
        <v>#DIV/0!</v>
      </c>
      <c r="J104" s="797" t="e">
        <f>1.0072/J101</f>
        <v>#DIV/0!</v>
      </c>
      <c r="K104" s="797" t="e">
        <f>1.0072/K101</f>
        <v>#DIV/0!</v>
      </c>
      <c r="L104" s="797" t="e">
        <f>1.0072/L101</f>
        <v>#DIV/0!</v>
      </c>
      <c r="M104" s="797" t="e">
        <f>1.0072/M101</f>
        <v>#DIV/0!</v>
      </c>
      <c r="N104" s="797" t="e">
        <f>1.0072/N101</f>
        <v>#DIV/0!</v>
      </c>
    </row>
    <row r="105" spans="1:14">
      <c r="A105" s="798"/>
      <c r="B105" s="796">
        <v>4</v>
      </c>
      <c r="C105" s="797" t="e">
        <f>0.9622/C101</f>
        <v>#DIV/0!</v>
      </c>
      <c r="D105" s="797" t="e">
        <f>0.9622/D101</f>
        <v>#DIV/0!</v>
      </c>
      <c r="E105" s="797" t="e">
        <f>0.8656/E101</f>
        <v>#DIV/0!</v>
      </c>
      <c r="F105" s="797" t="e">
        <f>0.8656/F101</f>
        <v>#DIV/0!</v>
      </c>
      <c r="G105" s="797" t="e">
        <f>0.8656/G101</f>
        <v>#DIV/0!</v>
      </c>
      <c r="H105" s="797" t="e">
        <f>0.8656/H101</f>
        <v>#DIV/0!</v>
      </c>
      <c r="I105" s="797" t="e">
        <f>0.8656/I101</f>
        <v>#DIV/0!</v>
      </c>
      <c r="J105" s="797" t="e">
        <f>0.7525/J101</f>
        <v>#DIV/0!</v>
      </c>
      <c r="K105" s="797" t="e">
        <f>0.7525/K101</f>
        <v>#DIV/0!</v>
      </c>
      <c r="L105" s="797" t="e">
        <f>0.7525/L101</f>
        <v>#DIV/0!</v>
      </c>
      <c r="M105" s="797" t="e">
        <f>0.7525/M101</f>
        <v>#DIV/0!</v>
      </c>
      <c r="N105" s="797" t="e">
        <f>0.7525/N101</f>
        <v>#DIV/0!</v>
      </c>
    </row>
    <row r="106" spans="1:14">
      <c r="A106" s="798"/>
      <c r="B106" s="796">
        <v>5</v>
      </c>
      <c r="C106" s="797" t="e">
        <f>0.8417/C101</f>
        <v>#DIV/0!</v>
      </c>
      <c r="D106" s="797" t="e">
        <f>0.8417/D101</f>
        <v>#DIV/0!</v>
      </c>
      <c r="E106" s="797" t="e">
        <f>0.7371/E101</f>
        <v>#DIV/0!</v>
      </c>
      <c r="F106" s="797" t="e">
        <f>0.7371/F101</f>
        <v>#DIV/0!</v>
      </c>
      <c r="G106" s="797" t="e">
        <f>0.7371/G101</f>
        <v>#DIV/0!</v>
      </c>
      <c r="H106" s="797" t="e">
        <f>0.7371/H101</f>
        <v>#DIV/0!</v>
      </c>
      <c r="I106" s="797" t="e">
        <f>0.7371/I101</f>
        <v>#DIV/0!</v>
      </c>
      <c r="J106" s="797" t="e">
        <f>0.5659/J101</f>
        <v>#DIV/0!</v>
      </c>
      <c r="K106" s="797" t="e">
        <f>0.5659/K101</f>
        <v>#DIV/0!</v>
      </c>
      <c r="L106" s="797" t="e">
        <f>0.5659/L101</f>
        <v>#DIV/0!</v>
      </c>
      <c r="M106" s="797" t="e">
        <f>0.5659/M101</f>
        <v>#DIV/0!</v>
      </c>
      <c r="N106" s="797" t="e">
        <f>0.5659/N101</f>
        <v>#DIV/0!</v>
      </c>
    </row>
    <row r="107" spans="1:14">
      <c r="A107" s="798"/>
      <c r="B107" s="796">
        <v>6</v>
      </c>
      <c r="C107" s="797" t="e">
        <f>0.7608/C101</f>
        <v>#DIV/0!</v>
      </c>
      <c r="D107" s="797" t="e">
        <f>0.7608/D101</f>
        <v>#DIV/0!</v>
      </c>
      <c r="E107" s="797" t="e">
        <f>0.6482/E101</f>
        <v>#DIV/0!</v>
      </c>
      <c r="F107" s="797" t="e">
        <f>0.6482/F101</f>
        <v>#DIV/0!</v>
      </c>
      <c r="G107" s="797" t="e">
        <f>0.6482/G101</f>
        <v>#DIV/0!</v>
      </c>
      <c r="H107" s="797" t="e">
        <f>0.6482/H101</f>
        <v>#DIV/0!</v>
      </c>
      <c r="I107" s="797" t="e">
        <f>0.6482/I101</f>
        <v>#DIV/0!</v>
      </c>
      <c r="J107" s="797" t="e">
        <f>0.4525/J101</f>
        <v>#DIV/0!</v>
      </c>
      <c r="K107" s="797" t="e">
        <f>0.4525/K101</f>
        <v>#DIV/0!</v>
      </c>
      <c r="L107" s="797" t="e">
        <f>0.4525/L101</f>
        <v>#DIV/0!</v>
      </c>
      <c r="M107" s="797" t="e">
        <f>0.4525/M101</f>
        <v>#DIV/0!</v>
      </c>
      <c r="N107" s="797" t="e">
        <f>0.4525/N101</f>
        <v>#DIV/0!</v>
      </c>
    </row>
    <row r="108" spans="1:14">
      <c r="A108" s="798"/>
      <c r="B108" s="804" t="s">
        <v>1706</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805" t="s">
        <v>1815</v>
      </c>
      <c r="B110" s="805"/>
      <c r="C110" s="805"/>
      <c r="D110" s="805"/>
      <c r="E110" s="805"/>
      <c r="F110" s="805"/>
      <c r="G110" s="805"/>
      <c r="H110" s="805"/>
      <c r="I110" s="805"/>
      <c r="J110" s="805"/>
      <c r="K110" s="805"/>
      <c r="L110" s="805"/>
      <c r="M110" s="805"/>
      <c r="N110" s="805"/>
    </row>
    <row r="112" ht="13.95"/>
    <row r="113" ht="25.95" spans="1:13">
      <c r="A113" s="806" t="s">
        <v>1816</v>
      </c>
      <c r="B113" s="807" t="e">
        <f>G3</f>
        <v>#DIV/0!</v>
      </c>
      <c r="C113" s="808" t="s">
        <v>1817</v>
      </c>
      <c r="D113" s="809" t="e">
        <f>SUMPRODUCT((A115:A118=F113)*(B114:M114=H113)*B115:M118)</f>
        <v>#DIV/0!</v>
      </c>
      <c r="E113" s="498" t="s">
        <v>1651</v>
      </c>
      <c r="F113" s="810">
        <f>E2</f>
        <v>0</v>
      </c>
      <c r="G113" s="498" t="s">
        <v>1652</v>
      </c>
      <c r="H113" s="810">
        <f>G2</f>
        <v>0</v>
      </c>
      <c r="I113" s="498"/>
      <c r="J113" s="821"/>
      <c r="K113" s="821"/>
      <c r="L113" s="821"/>
      <c r="M113" s="821"/>
    </row>
    <row r="114" spans="1:13">
      <c r="A114" s="811"/>
      <c r="B114" s="812" t="s">
        <v>1818</v>
      </c>
      <c r="C114" s="812" t="s">
        <v>1819</v>
      </c>
      <c r="D114" s="812" t="s">
        <v>1820</v>
      </c>
      <c r="E114" s="813" t="s">
        <v>1821</v>
      </c>
      <c r="F114" s="813" t="s">
        <v>1822</v>
      </c>
      <c r="G114" s="813" t="s">
        <v>1823</v>
      </c>
      <c r="H114" s="814" t="s">
        <v>1824</v>
      </c>
      <c r="I114" s="814" t="s">
        <v>1825</v>
      </c>
      <c r="J114" s="822" t="s">
        <v>1826</v>
      </c>
      <c r="K114" s="822" t="s">
        <v>1827</v>
      </c>
      <c r="L114" s="822" t="s">
        <v>1828</v>
      </c>
      <c r="M114" s="823" t="s">
        <v>1829</v>
      </c>
    </row>
    <row r="115" spans="1:13">
      <c r="A115" s="815" t="s">
        <v>1749</v>
      </c>
      <c r="B115" s="816" t="e">
        <f>ROUND(0.9335-0.0094*B113,4)</f>
        <v>#DIV/0!</v>
      </c>
      <c r="C115" s="816" t="e">
        <f>B115</f>
        <v>#DIV/0!</v>
      </c>
      <c r="D115" s="816" t="e">
        <f>ROUND(0.8331-0.0109*B113,4)</f>
        <v>#DIV/0!</v>
      </c>
      <c r="E115" s="816" t="e">
        <f>D115</f>
        <v>#DIV/0!</v>
      </c>
      <c r="F115" s="816" t="e">
        <f>E115</f>
        <v>#DIV/0!</v>
      </c>
      <c r="G115" s="816" t="e">
        <f>F115</f>
        <v>#DIV/0!</v>
      </c>
      <c r="H115" s="816" t="e">
        <f>G115</f>
        <v>#DIV/0!</v>
      </c>
      <c r="I115" s="816" t="e">
        <f>ROUND(0.689-0.0155*B113,4)</f>
        <v>#DIV/0!</v>
      </c>
      <c r="J115" s="816" t="e">
        <f t="shared" ref="J115:M118" si="33">I115</f>
        <v>#DIV/0!</v>
      </c>
      <c r="K115" s="816" t="e">
        <f t="shared" si="33"/>
        <v>#DIV/0!</v>
      </c>
      <c r="L115" s="816" t="e">
        <f t="shared" si="33"/>
        <v>#DIV/0!</v>
      </c>
      <c r="M115" s="824" t="e">
        <f t="shared" si="33"/>
        <v>#DIV/0!</v>
      </c>
    </row>
    <row r="116" spans="1:13">
      <c r="A116" s="815" t="s">
        <v>1750</v>
      </c>
      <c r="B116" s="816" t="e">
        <f>ROUND(0.949-0.012*B113,4)</f>
        <v>#DIV/0!</v>
      </c>
      <c r="C116" s="816" t="e">
        <f>B116</f>
        <v>#DIV/0!</v>
      </c>
      <c r="D116" s="816" t="e">
        <f>ROUND(0.8567-0.013*B113,4)</f>
        <v>#DIV/0!</v>
      </c>
      <c r="E116" s="816" t="e">
        <f t="shared" ref="E116:H117" si="34">D116</f>
        <v>#DIV/0!</v>
      </c>
      <c r="F116" s="816" t="e">
        <f t="shared" si="34"/>
        <v>#DIV/0!</v>
      </c>
      <c r="G116" s="816" t="e">
        <f t="shared" si="34"/>
        <v>#DIV/0!</v>
      </c>
      <c r="H116" s="816" t="e">
        <f t="shared" si="34"/>
        <v>#DIV/0!</v>
      </c>
      <c r="I116" s="816" t="e">
        <f>ROUND(0.7694-0.014*B113,4)</f>
        <v>#DIV/0!</v>
      </c>
      <c r="J116" s="816" t="e">
        <f t="shared" si="33"/>
        <v>#DIV/0!</v>
      </c>
      <c r="K116" s="816" t="e">
        <f t="shared" si="33"/>
        <v>#DIV/0!</v>
      </c>
      <c r="L116" s="816" t="e">
        <f t="shared" si="33"/>
        <v>#DIV/0!</v>
      </c>
      <c r="M116" s="824" t="e">
        <f t="shared" si="33"/>
        <v>#DIV/0!</v>
      </c>
    </row>
    <row r="117" spans="1:13">
      <c r="A117" s="815" t="s">
        <v>1751</v>
      </c>
      <c r="B117" s="816" t="e">
        <f>ROUND(0.8808-0.006*B113,4)</f>
        <v>#DIV/0!</v>
      </c>
      <c r="C117" s="816" t="e">
        <f>B117</f>
        <v>#DIV/0!</v>
      </c>
      <c r="D117" s="816" t="e">
        <f>ROUND(0.8748-0.008*B113,4)</f>
        <v>#DIV/0!</v>
      </c>
      <c r="E117" s="816" t="e">
        <f t="shared" si="34"/>
        <v>#DIV/0!</v>
      </c>
      <c r="F117" s="816" t="e">
        <f t="shared" si="34"/>
        <v>#DIV/0!</v>
      </c>
      <c r="G117" s="816" t="e">
        <f t="shared" si="34"/>
        <v>#DIV/0!</v>
      </c>
      <c r="H117" s="816" t="e">
        <f t="shared" si="34"/>
        <v>#DIV/0!</v>
      </c>
      <c r="I117" s="816" t="e">
        <f>ROUND(0.7412-0.0095*B113,4)</f>
        <v>#DIV/0!</v>
      </c>
      <c r="J117" s="816" t="e">
        <f t="shared" si="33"/>
        <v>#DIV/0!</v>
      </c>
      <c r="K117" s="816" t="e">
        <f t="shared" si="33"/>
        <v>#DIV/0!</v>
      </c>
      <c r="L117" s="816" t="e">
        <f t="shared" si="33"/>
        <v>#DIV/0!</v>
      </c>
      <c r="M117" s="824" t="e">
        <f t="shared" si="33"/>
        <v>#DIV/0!</v>
      </c>
    </row>
    <row r="118" ht="13.95" spans="1:13">
      <c r="A118" s="817" t="s">
        <v>1752</v>
      </c>
      <c r="B118" s="818" t="e">
        <f>ROUND(0.7275-0.01*B113,4)</f>
        <v>#DIV/0!</v>
      </c>
      <c r="C118" s="818" t="e">
        <f>B118</f>
        <v>#DIV/0!</v>
      </c>
      <c r="D118" s="818" t="e">
        <f>ROUND(0.7043-0.012*B113,4)</f>
        <v>#DIV/0!</v>
      </c>
      <c r="E118" s="818" t="e">
        <f>D118</f>
        <v>#DIV/0!</v>
      </c>
      <c r="F118" s="818" t="e">
        <f>E118</f>
        <v>#DIV/0!</v>
      </c>
      <c r="G118" s="818" t="e">
        <f>ROUND(0.6299-0.0122*B113,4)</f>
        <v>#DIV/0!</v>
      </c>
      <c r="H118" s="818" t="e">
        <f>G118</f>
        <v>#DIV/0!</v>
      </c>
      <c r="I118" s="818" t="e">
        <f>ROUND(0.5667-0.0136*B113,4)</f>
        <v>#DIV/0!</v>
      </c>
      <c r="J118" s="818" t="e">
        <f t="shared" si="33"/>
        <v>#DIV/0!</v>
      </c>
      <c r="K118" s="818" t="e">
        <f t="shared" si="33"/>
        <v>#DIV/0!</v>
      </c>
      <c r="L118" s="818" t="e">
        <f t="shared" si="33"/>
        <v>#DIV/0!</v>
      </c>
      <c r="M118" s="82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9"/>
    <col min="2" max="9" width="14.3333333333333" style="408"/>
    <col min="10" max="16384" width="14.3333333333333"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1830</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1831</v>
      </c>
      <c r="B4" s="416">
        <v>2.5</v>
      </c>
      <c r="C4" s="416">
        <v>2.5</v>
      </c>
      <c r="D4" s="416">
        <v>2.5</v>
      </c>
      <c r="E4" s="416">
        <v>2.5</v>
      </c>
      <c r="F4" s="416">
        <v>2.5</v>
      </c>
      <c r="G4" s="416">
        <v>2.5</v>
      </c>
      <c r="H4" s="416">
        <v>2.5</v>
      </c>
      <c r="I4" s="415">
        <v>1.5</v>
      </c>
      <c r="J4" s="415">
        <v>1.5</v>
      </c>
      <c r="K4" s="415">
        <v>1.5</v>
      </c>
      <c r="L4" s="415">
        <v>1.5</v>
      </c>
      <c r="M4" s="473">
        <v>1.5</v>
      </c>
    </row>
    <row r="5" customHeight="1" spans="1:13">
      <c r="A5" s="417" t="s">
        <v>1832</v>
      </c>
      <c r="B5" s="415">
        <v>1.5</v>
      </c>
      <c r="C5" s="415">
        <v>1.5</v>
      </c>
      <c r="D5" s="415">
        <v>1.5</v>
      </c>
      <c r="E5" s="415">
        <v>1.5</v>
      </c>
      <c r="F5" s="415">
        <v>1.5</v>
      </c>
      <c r="G5" s="415">
        <v>1.2</v>
      </c>
      <c r="H5" s="415">
        <v>1.2</v>
      </c>
      <c r="I5" s="415">
        <v>1</v>
      </c>
      <c r="J5" s="415">
        <v>1</v>
      </c>
      <c r="K5" s="415">
        <v>1</v>
      </c>
      <c r="L5" s="415">
        <v>1</v>
      </c>
      <c r="M5" s="473">
        <v>1</v>
      </c>
    </row>
    <row r="6" customHeight="1" spans="1:13">
      <c r="A6" s="418" t="s">
        <v>1833</v>
      </c>
      <c r="B6" s="419">
        <v>2.5</v>
      </c>
      <c r="C6" s="419">
        <v>2.5</v>
      </c>
      <c r="D6" s="419">
        <v>2</v>
      </c>
      <c r="E6" s="419">
        <v>2</v>
      </c>
      <c r="F6" s="419">
        <v>2</v>
      </c>
      <c r="G6" s="419">
        <v>2</v>
      </c>
      <c r="H6" s="419">
        <v>2</v>
      </c>
      <c r="I6" s="474">
        <v>1.5</v>
      </c>
      <c r="J6" s="474">
        <v>1.5</v>
      </c>
      <c r="K6" s="474">
        <v>1.5</v>
      </c>
      <c r="L6" s="474">
        <v>1.5</v>
      </c>
      <c r="M6" s="475">
        <v>1.5</v>
      </c>
    </row>
    <row r="7" customHeight="1" spans="1:13">
      <c r="A7" s="420" t="s">
        <v>1834</v>
      </c>
      <c r="B7" s="421">
        <v>2.5</v>
      </c>
      <c r="C7" s="421">
        <v>2.5</v>
      </c>
      <c r="D7" s="421">
        <v>2</v>
      </c>
      <c r="E7" s="421">
        <v>2</v>
      </c>
      <c r="F7" s="421">
        <v>2</v>
      </c>
      <c r="G7" s="421">
        <v>2</v>
      </c>
      <c r="H7" s="421">
        <v>2</v>
      </c>
      <c r="I7" s="476">
        <v>1.5</v>
      </c>
      <c r="J7" s="476">
        <v>1.5</v>
      </c>
      <c r="K7" s="476">
        <v>1.5</v>
      </c>
      <c r="L7" s="476">
        <v>1.5</v>
      </c>
      <c r="M7" s="477">
        <v>1.5</v>
      </c>
    </row>
    <row r="8" customHeight="1" spans="1:13">
      <c r="A8" s="422" t="s">
        <v>1835</v>
      </c>
      <c r="B8" s="423">
        <v>80</v>
      </c>
      <c r="C8" s="423">
        <v>80</v>
      </c>
      <c r="D8" s="423">
        <v>70</v>
      </c>
      <c r="E8" s="423">
        <v>70</v>
      </c>
      <c r="F8" s="423">
        <v>70</v>
      </c>
      <c r="G8" s="423">
        <v>70</v>
      </c>
      <c r="H8" s="423">
        <v>70</v>
      </c>
      <c r="I8" s="423">
        <v>60</v>
      </c>
      <c r="J8" s="423">
        <v>60</v>
      </c>
      <c r="K8" s="423">
        <v>60</v>
      </c>
      <c r="L8" s="423">
        <v>60</v>
      </c>
      <c r="M8" s="478">
        <v>60</v>
      </c>
    </row>
    <row r="9" customHeight="1" spans="1:13">
      <c r="A9" s="424" t="s">
        <v>1836</v>
      </c>
      <c r="B9" s="425">
        <v>70</v>
      </c>
      <c r="C9" s="425">
        <v>70</v>
      </c>
      <c r="D9" s="425">
        <v>60</v>
      </c>
      <c r="E9" s="425">
        <v>60</v>
      </c>
      <c r="F9" s="425">
        <v>60</v>
      </c>
      <c r="G9" s="425">
        <v>60</v>
      </c>
      <c r="H9" s="425">
        <v>60</v>
      </c>
      <c r="I9" s="425">
        <v>50</v>
      </c>
      <c r="J9" s="425">
        <v>50</v>
      </c>
      <c r="K9" s="425">
        <v>50</v>
      </c>
      <c r="L9" s="425">
        <v>50</v>
      </c>
      <c r="M9" s="479">
        <v>50</v>
      </c>
    </row>
    <row r="10" customHeight="1" spans="1:13">
      <c r="A10" s="424" t="s">
        <v>1837</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1838</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1839</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1840</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1841</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1842</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1843</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1844</v>
      </c>
      <c r="B18" s="430"/>
      <c r="C18" s="431"/>
      <c r="D18" s="431"/>
      <c r="E18" s="430"/>
      <c r="F18" s="431"/>
      <c r="G18" s="431"/>
    </row>
    <row r="19" customHeight="1" spans="1:7">
      <c r="A19" s="427" t="s">
        <v>1845</v>
      </c>
      <c r="B19" s="432" t="s">
        <v>1846</v>
      </c>
      <c r="C19" s="433" t="s">
        <v>1847</v>
      </c>
      <c r="D19" s="434"/>
      <c r="E19" s="425" t="s">
        <v>1848</v>
      </c>
      <c r="F19" s="435"/>
      <c r="G19" s="435"/>
    </row>
    <row r="20" s="407" customFormat="1" customHeight="1" spans="1:9">
      <c r="A20" s="436" t="s">
        <v>1830</v>
      </c>
      <c r="B20" s="437" t="s">
        <v>1849</v>
      </c>
      <c r="C20" s="438" t="s">
        <v>1850</v>
      </c>
      <c r="D20" s="439"/>
      <c r="E20" s="440">
        <v>1</v>
      </c>
      <c r="F20" s="441" t="s">
        <v>1851</v>
      </c>
      <c r="G20" s="442"/>
      <c r="H20" s="408"/>
      <c r="I20" s="408"/>
    </row>
    <row r="21" s="407" customFormat="1" customHeight="1" spans="1:9">
      <c r="A21" s="443"/>
      <c r="B21" s="444"/>
      <c r="C21" s="445" t="s">
        <v>1852</v>
      </c>
      <c r="D21" s="446"/>
      <c r="E21" s="447">
        <v>1</v>
      </c>
      <c r="F21" s="441" t="s">
        <v>1853</v>
      </c>
      <c r="G21" s="442"/>
      <c r="H21" s="408"/>
      <c r="I21" s="408"/>
    </row>
    <row r="22" s="407" customFormat="1" customHeight="1" spans="1:9">
      <c r="A22" s="443"/>
      <c r="B22" s="444"/>
      <c r="C22" s="445" t="s">
        <v>1854</v>
      </c>
      <c r="D22" s="446"/>
      <c r="E22" s="447">
        <v>0.9</v>
      </c>
      <c r="F22" s="441" t="s">
        <v>1855</v>
      </c>
      <c r="G22" s="442"/>
      <c r="H22" s="408"/>
      <c r="I22" s="408"/>
    </row>
    <row r="23" s="407" customFormat="1" customHeight="1" spans="1:9">
      <c r="A23" s="443"/>
      <c r="B23" s="444"/>
      <c r="C23" s="445" t="s">
        <v>1856</v>
      </c>
      <c r="D23" s="446"/>
      <c r="E23" s="447">
        <v>0.9</v>
      </c>
      <c r="F23" s="441" t="s">
        <v>1857</v>
      </c>
      <c r="G23" s="442"/>
      <c r="H23" s="408"/>
      <c r="I23" s="408"/>
    </row>
    <row r="24" s="407" customFormat="1" customHeight="1" spans="1:9">
      <c r="A24" s="443"/>
      <c r="B24" s="444"/>
      <c r="C24" s="445" t="s">
        <v>1858</v>
      </c>
      <c r="D24" s="446"/>
      <c r="E24" s="447">
        <v>0.8</v>
      </c>
      <c r="F24" s="441" t="s">
        <v>1859</v>
      </c>
      <c r="G24" s="442"/>
      <c r="H24" s="408"/>
      <c r="I24" s="408"/>
    </row>
    <row r="25" s="407" customFormat="1" customHeight="1" spans="1:9">
      <c r="A25" s="448"/>
      <c r="B25" s="449"/>
      <c r="C25" s="450" t="s">
        <v>1860</v>
      </c>
      <c r="D25" s="451"/>
      <c r="E25" s="452">
        <v>0.8</v>
      </c>
      <c r="F25" s="441" t="s">
        <v>1861</v>
      </c>
      <c r="G25" s="442"/>
      <c r="H25" s="408"/>
      <c r="I25" s="408"/>
    </row>
    <row r="26" s="407" customFormat="1" customHeight="1" spans="1:9">
      <c r="A26" s="453" t="s">
        <v>454</v>
      </c>
      <c r="B26" s="454" t="s">
        <v>1849</v>
      </c>
      <c r="C26" s="455" t="s">
        <v>1862</v>
      </c>
      <c r="D26" s="456"/>
      <c r="E26" s="457">
        <v>1</v>
      </c>
      <c r="F26" s="441" t="s">
        <v>1863</v>
      </c>
      <c r="G26" s="442"/>
      <c r="H26" s="408"/>
      <c r="I26" s="408"/>
    </row>
    <row r="27" s="407" customFormat="1" customHeight="1" spans="1:9">
      <c r="A27" s="458" t="s">
        <v>1834</v>
      </c>
      <c r="B27" s="437" t="s">
        <v>1834</v>
      </c>
      <c r="C27" s="438" t="s">
        <v>1864</v>
      </c>
      <c r="D27" s="439"/>
      <c r="E27" s="440">
        <v>1</v>
      </c>
      <c r="F27" s="441" t="s">
        <v>1865</v>
      </c>
      <c r="G27" s="442"/>
      <c r="H27" s="408"/>
      <c r="I27" s="408"/>
    </row>
    <row r="28" s="407" customFormat="1" customHeight="1" spans="1:9">
      <c r="A28" s="459"/>
      <c r="B28" s="444"/>
      <c r="C28" s="445" t="s">
        <v>1866</v>
      </c>
      <c r="D28" s="446"/>
      <c r="E28" s="447">
        <v>1</v>
      </c>
      <c r="F28" s="441" t="s">
        <v>1867</v>
      </c>
      <c r="G28" s="442"/>
      <c r="H28" s="408"/>
      <c r="I28" s="408"/>
    </row>
    <row r="29" s="407" customFormat="1" customHeight="1" spans="1:9">
      <c r="A29" s="459"/>
      <c r="B29" s="444"/>
      <c r="C29" s="445" t="s">
        <v>1868</v>
      </c>
      <c r="D29" s="446"/>
      <c r="E29" s="447">
        <v>0.8</v>
      </c>
      <c r="F29" s="441" t="s">
        <v>1869</v>
      </c>
      <c r="G29" s="442"/>
      <c r="H29" s="408"/>
      <c r="I29" s="408"/>
    </row>
    <row r="30" s="407" customFormat="1" customHeight="1" spans="1:9">
      <c r="A30" s="459"/>
      <c r="B30" s="444"/>
      <c r="C30" s="445" t="s">
        <v>1870</v>
      </c>
      <c r="D30" s="446"/>
      <c r="E30" s="447">
        <v>0.8</v>
      </c>
      <c r="F30" s="441" t="s">
        <v>1871</v>
      </c>
      <c r="G30" s="442"/>
      <c r="H30" s="408"/>
      <c r="I30" s="408"/>
    </row>
    <row r="31" s="407" customFormat="1" customHeight="1" spans="1:9">
      <c r="A31" s="459"/>
      <c r="B31" s="444"/>
      <c r="C31" s="445" t="s">
        <v>1872</v>
      </c>
      <c r="D31" s="446"/>
      <c r="E31" s="447">
        <v>0.8</v>
      </c>
      <c r="F31" s="441" t="s">
        <v>1873</v>
      </c>
      <c r="G31" s="442"/>
      <c r="H31" s="408"/>
      <c r="I31" s="408"/>
    </row>
    <row r="32" s="407" customFormat="1" customHeight="1" spans="1:9">
      <c r="A32" s="459"/>
      <c r="B32" s="444"/>
      <c r="C32" s="445" t="s">
        <v>1874</v>
      </c>
      <c r="D32" s="446"/>
      <c r="E32" s="447">
        <v>0.7</v>
      </c>
      <c r="F32" s="441" t="s">
        <v>1875</v>
      </c>
      <c r="G32" s="442"/>
      <c r="H32" s="408"/>
      <c r="I32" s="408"/>
    </row>
    <row r="33" s="407" customFormat="1" customHeight="1" spans="1:9">
      <c r="A33" s="459"/>
      <c r="B33" s="444"/>
      <c r="C33" s="445" t="s">
        <v>1876</v>
      </c>
      <c r="D33" s="446"/>
      <c r="E33" s="447">
        <v>0.8</v>
      </c>
      <c r="F33" s="441" t="s">
        <v>1877</v>
      </c>
      <c r="G33" s="442"/>
      <c r="H33" s="408"/>
      <c r="I33" s="408"/>
    </row>
    <row r="34" s="407" customFormat="1" customHeight="1" spans="1:9">
      <c r="A34" s="459"/>
      <c r="B34" s="444"/>
      <c r="C34" s="445" t="s">
        <v>1878</v>
      </c>
      <c r="D34" s="446"/>
      <c r="E34" s="447">
        <v>0.6</v>
      </c>
      <c r="F34" s="441" t="s">
        <v>1879</v>
      </c>
      <c r="G34" s="442"/>
      <c r="H34" s="408"/>
      <c r="I34" s="408"/>
    </row>
    <row r="35" s="407" customFormat="1" customHeight="1" spans="1:9">
      <c r="A35" s="459"/>
      <c r="B35" s="444"/>
      <c r="C35" s="445" t="s">
        <v>1880</v>
      </c>
      <c r="D35" s="446"/>
      <c r="E35" s="447">
        <v>0.2</v>
      </c>
      <c r="F35" s="441" t="s">
        <v>1881</v>
      </c>
      <c r="G35" s="442"/>
      <c r="H35" s="408"/>
      <c r="I35" s="408"/>
    </row>
    <row r="36" s="407" customFormat="1" customHeight="1" spans="1:9">
      <c r="A36" s="459"/>
      <c r="B36" s="444"/>
      <c r="C36" s="445" t="s">
        <v>1882</v>
      </c>
      <c r="D36" s="446"/>
      <c r="E36" s="447">
        <v>0.2</v>
      </c>
      <c r="F36" s="441" t="s">
        <v>1883</v>
      </c>
      <c r="G36" s="442"/>
      <c r="H36" s="408"/>
      <c r="I36" s="408"/>
    </row>
    <row r="37" s="407" customFormat="1" customHeight="1" spans="1:9">
      <c r="A37" s="459"/>
      <c r="B37" s="460" t="s">
        <v>1884</v>
      </c>
      <c r="C37" s="445" t="s">
        <v>1885</v>
      </c>
      <c r="D37" s="446"/>
      <c r="E37" s="447">
        <v>0.6</v>
      </c>
      <c r="F37" s="441" t="s">
        <v>1886</v>
      </c>
      <c r="G37" s="442"/>
      <c r="H37" s="408"/>
      <c r="I37" s="408"/>
    </row>
    <row r="38" s="407" customFormat="1" customHeight="1" spans="1:9">
      <c r="A38" s="459"/>
      <c r="B38" s="444"/>
      <c r="C38" s="445" t="s">
        <v>1887</v>
      </c>
      <c r="D38" s="446"/>
      <c r="E38" s="447">
        <v>0.6</v>
      </c>
      <c r="F38" s="441" t="s">
        <v>1888</v>
      </c>
      <c r="G38" s="442"/>
      <c r="H38" s="408"/>
      <c r="I38" s="408"/>
    </row>
    <row r="39" s="407" customFormat="1" customHeight="1" spans="1:9">
      <c r="A39" s="461"/>
      <c r="B39" s="449"/>
      <c r="C39" s="450" t="s">
        <v>1889</v>
      </c>
      <c r="D39" s="451"/>
      <c r="E39" s="452">
        <v>0.6</v>
      </c>
      <c r="F39" s="441" t="s">
        <v>1890</v>
      </c>
      <c r="G39" s="442"/>
      <c r="H39" s="408"/>
      <c r="I39" s="408"/>
    </row>
    <row r="40" s="407" customFormat="1" customHeight="1" spans="1:9">
      <c r="A40" s="453" t="s">
        <v>1831</v>
      </c>
      <c r="B40" s="454" t="s">
        <v>1831</v>
      </c>
      <c r="C40" s="455" t="s">
        <v>1891</v>
      </c>
      <c r="D40" s="456"/>
      <c r="E40" s="457">
        <v>1</v>
      </c>
      <c r="F40" s="441" t="s">
        <v>1892</v>
      </c>
      <c r="G40" s="442"/>
      <c r="H40" s="408"/>
      <c r="I40" s="408"/>
    </row>
    <row r="41" s="407" customFormat="1" customHeight="1" spans="1:9">
      <c r="A41" s="436" t="s">
        <v>1832</v>
      </c>
      <c r="B41" s="437" t="s">
        <v>1893</v>
      </c>
      <c r="C41" s="438" t="s">
        <v>1894</v>
      </c>
      <c r="D41" s="439"/>
      <c r="E41" s="440">
        <v>1</v>
      </c>
      <c r="F41" s="441" t="s">
        <v>1895</v>
      </c>
      <c r="G41" s="442"/>
      <c r="H41" s="408"/>
      <c r="I41" s="408"/>
    </row>
    <row r="42" s="407" customFormat="1" customHeight="1" spans="1:9">
      <c r="A42" s="443"/>
      <c r="B42" s="444"/>
      <c r="C42" s="445" t="s">
        <v>1896</v>
      </c>
      <c r="D42" s="446"/>
      <c r="E42" s="447">
        <v>1</v>
      </c>
      <c r="F42" s="441" t="s">
        <v>1897</v>
      </c>
      <c r="G42" s="442"/>
      <c r="H42" s="408"/>
      <c r="I42" s="408"/>
    </row>
    <row r="43" s="407" customFormat="1" customHeight="1" spans="1:9">
      <c r="A43" s="443"/>
      <c r="B43" s="462"/>
      <c r="C43" s="445" t="s">
        <v>1898</v>
      </c>
      <c r="D43" s="446"/>
      <c r="E43" s="447">
        <v>1.5</v>
      </c>
      <c r="F43" s="441" t="s">
        <v>1899</v>
      </c>
      <c r="G43" s="442"/>
      <c r="H43" s="408"/>
      <c r="I43" s="408"/>
    </row>
    <row r="44" s="407" customFormat="1" customHeight="1" spans="1:9">
      <c r="A44" s="443"/>
      <c r="B44" s="463" t="s">
        <v>1834</v>
      </c>
      <c r="C44" s="445" t="s">
        <v>1833</v>
      </c>
      <c r="D44" s="446"/>
      <c r="E44" s="447">
        <v>2</v>
      </c>
      <c r="F44" s="441" t="s">
        <v>1900</v>
      </c>
      <c r="G44" s="442"/>
      <c r="H44" s="408"/>
      <c r="I44" s="408"/>
    </row>
    <row r="45" s="407" customFormat="1" customHeight="1" spans="1:9">
      <c r="A45" s="443"/>
      <c r="B45" s="460" t="s">
        <v>1901</v>
      </c>
      <c r="C45" s="445" t="s">
        <v>1902</v>
      </c>
      <c r="D45" s="446"/>
      <c r="E45" s="447">
        <v>1</v>
      </c>
      <c r="F45" s="441" t="s">
        <v>1903</v>
      </c>
      <c r="G45" s="442"/>
      <c r="H45" s="408"/>
      <c r="I45" s="408"/>
    </row>
    <row r="46" s="407" customFormat="1" customHeight="1" spans="1:9">
      <c r="A46" s="443"/>
      <c r="B46" s="444"/>
      <c r="C46" s="445" t="s">
        <v>1904</v>
      </c>
      <c r="D46" s="446"/>
      <c r="E46" s="447">
        <v>1</v>
      </c>
      <c r="F46" s="441" t="s">
        <v>1905</v>
      </c>
      <c r="G46" s="442"/>
      <c r="H46" s="408"/>
      <c r="I46" s="408"/>
    </row>
    <row r="47" s="407" customFormat="1" customHeight="1" spans="1:9">
      <c r="A47" s="443"/>
      <c r="B47" s="444"/>
      <c r="C47" s="445" t="s">
        <v>1906</v>
      </c>
      <c r="D47" s="446"/>
      <c r="E47" s="447">
        <v>1</v>
      </c>
      <c r="F47" s="441" t="s">
        <v>1907</v>
      </c>
      <c r="G47" s="442"/>
      <c r="H47" s="408"/>
      <c r="I47" s="408"/>
    </row>
    <row r="48" s="407" customFormat="1" customHeight="1" spans="1:9">
      <c r="A48" s="443"/>
      <c r="B48" s="444"/>
      <c r="C48" s="445" t="s">
        <v>1908</v>
      </c>
      <c r="D48" s="446"/>
      <c r="E48" s="447">
        <v>1</v>
      </c>
      <c r="F48" s="441" t="s">
        <v>1909</v>
      </c>
      <c r="G48" s="442"/>
      <c r="H48" s="408"/>
      <c r="I48" s="408"/>
    </row>
    <row r="49" s="407" customFormat="1" customHeight="1" spans="1:9">
      <c r="A49" s="443"/>
      <c r="B49" s="444"/>
      <c r="C49" s="445" t="s">
        <v>1910</v>
      </c>
      <c r="D49" s="446"/>
      <c r="E49" s="447">
        <v>1</v>
      </c>
      <c r="F49" s="441" t="s">
        <v>1911</v>
      </c>
      <c r="G49" s="442"/>
      <c r="H49" s="408"/>
      <c r="I49" s="408"/>
    </row>
    <row r="50" s="407" customFormat="1" customHeight="1" spans="1:9">
      <c r="A50" s="443"/>
      <c r="B50" s="444"/>
      <c r="C50" s="445" t="s">
        <v>1912</v>
      </c>
      <c r="D50" s="446"/>
      <c r="E50" s="447">
        <v>1</v>
      </c>
      <c r="F50" s="441" t="s">
        <v>1913</v>
      </c>
      <c r="G50" s="442"/>
      <c r="H50" s="408"/>
      <c r="I50" s="408"/>
    </row>
    <row r="51" s="407" customFormat="1" customHeight="1" spans="1:9">
      <c r="A51" s="448"/>
      <c r="B51" s="449"/>
      <c r="C51" s="450" t="s">
        <v>1914</v>
      </c>
      <c r="D51" s="451"/>
      <c r="E51" s="452">
        <v>1</v>
      </c>
      <c r="F51" s="441" t="s">
        <v>1915</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1916</v>
      </c>
      <c r="G54" s="467" t="s">
        <v>448</v>
      </c>
      <c r="I54" s="409"/>
    </row>
    <row r="55" customHeight="1" spans="1:9">
      <c r="A55" s="468"/>
      <c r="B55" s="467" t="s">
        <v>1830</v>
      </c>
      <c r="C55" s="467" t="s">
        <v>1830</v>
      </c>
      <c r="D55" s="467" t="s">
        <v>1830</v>
      </c>
      <c r="E55" s="428" t="s">
        <v>454</v>
      </c>
      <c r="F55" s="428" t="s">
        <v>1832</v>
      </c>
      <c r="G55" s="428" t="s">
        <v>1917</v>
      </c>
      <c r="I55" s="409"/>
    </row>
    <row r="56" customHeight="1" spans="1:9">
      <c r="A56" s="469"/>
      <c r="B56" s="428">
        <v>1</v>
      </c>
      <c r="C56" s="428">
        <v>2</v>
      </c>
      <c r="D56" s="428">
        <v>3</v>
      </c>
      <c r="E56" s="470" t="s">
        <v>1918</v>
      </c>
      <c r="F56" s="470" t="s">
        <v>1918</v>
      </c>
      <c r="G56" s="470" t="s">
        <v>1918</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1919</v>
      </c>
      <c r="E70" s="430"/>
      <c r="F70" s="430"/>
    </row>
    <row r="71" s="408" customFormat="1" customHeight="1" spans="1:6">
      <c r="A71" s="482" t="s">
        <v>1920</v>
      </c>
      <c r="B71" s="482" t="s">
        <v>1921</v>
      </c>
      <c r="C71" s="482" t="s">
        <v>1922</v>
      </c>
      <c r="D71" s="482" t="s">
        <v>1923</v>
      </c>
      <c r="E71" s="482" t="s">
        <v>1924</v>
      </c>
      <c r="F71" s="482" t="s">
        <v>1925</v>
      </c>
    </row>
    <row r="72" ht="14.4" spans="1:6">
      <c r="A72" s="482"/>
      <c r="B72" s="482"/>
      <c r="C72" s="482" t="s">
        <v>1926</v>
      </c>
      <c r="D72" s="482"/>
      <c r="E72" s="483" t="s">
        <v>124</v>
      </c>
      <c r="F72" s="482" t="s">
        <v>124</v>
      </c>
    </row>
    <row r="73" s="408" customFormat="1" ht="14.4" spans="1:6">
      <c r="A73" s="463">
        <v>1</v>
      </c>
      <c r="B73" s="460" t="s">
        <v>1927</v>
      </c>
      <c r="C73" s="425" t="s">
        <v>1928</v>
      </c>
      <c r="D73" s="425" t="s">
        <v>1929</v>
      </c>
      <c r="E73" s="484">
        <v>0.2</v>
      </c>
      <c r="F73" s="463">
        <v>25</v>
      </c>
    </row>
    <row r="74" s="408" customFormat="1" ht="24" spans="1:6">
      <c r="A74" s="463">
        <v>2</v>
      </c>
      <c r="B74" s="444"/>
      <c r="C74" s="425" t="s">
        <v>1930</v>
      </c>
      <c r="D74" s="425" t="s">
        <v>1931</v>
      </c>
      <c r="E74" s="484">
        <v>0.2</v>
      </c>
      <c r="F74" s="463">
        <v>25</v>
      </c>
    </row>
    <row r="75" s="408" customFormat="1" ht="24" spans="1:6">
      <c r="A75" s="463">
        <v>3</v>
      </c>
      <c r="B75" s="444"/>
      <c r="C75" s="425" t="s">
        <v>1932</v>
      </c>
      <c r="D75" s="425" t="s">
        <v>1933</v>
      </c>
      <c r="E75" s="484">
        <v>0.2</v>
      </c>
      <c r="F75" s="463">
        <v>25</v>
      </c>
    </row>
    <row r="76" s="408" customFormat="1" ht="14.4" spans="1:6">
      <c r="A76" s="463">
        <v>4</v>
      </c>
      <c r="B76" s="444"/>
      <c r="C76" s="425" t="s">
        <v>1934</v>
      </c>
      <c r="D76" s="425" t="s">
        <v>1935</v>
      </c>
      <c r="E76" s="484">
        <v>0.15</v>
      </c>
      <c r="F76" s="463">
        <v>20</v>
      </c>
    </row>
    <row r="77" s="408" customFormat="1" ht="24" spans="1:6">
      <c r="A77" s="463">
        <v>5</v>
      </c>
      <c r="B77" s="444"/>
      <c r="C77" s="425" t="s">
        <v>1936</v>
      </c>
      <c r="D77" s="425" t="s">
        <v>1937</v>
      </c>
      <c r="E77" s="484">
        <v>0.15</v>
      </c>
      <c r="F77" s="463">
        <v>20</v>
      </c>
    </row>
    <row r="78" s="408" customFormat="1" ht="24" spans="1:6">
      <c r="A78" s="463">
        <v>6</v>
      </c>
      <c r="B78" s="444"/>
      <c r="C78" s="425" t="s">
        <v>1938</v>
      </c>
      <c r="D78" s="425" t="s">
        <v>1939</v>
      </c>
      <c r="E78" s="484">
        <v>0.15</v>
      </c>
      <c r="F78" s="463">
        <v>20</v>
      </c>
    </row>
    <row r="79" s="408" customFormat="1" ht="24" spans="1:6">
      <c r="A79" s="463">
        <v>7</v>
      </c>
      <c r="B79" s="444"/>
      <c r="C79" s="425" t="s">
        <v>1940</v>
      </c>
      <c r="D79" s="425" t="s">
        <v>1941</v>
      </c>
      <c r="E79" s="484">
        <v>0.15</v>
      </c>
      <c r="F79" s="463">
        <v>20</v>
      </c>
    </row>
    <row r="80" s="408" customFormat="1" ht="24" spans="1:6">
      <c r="A80" s="463">
        <v>8</v>
      </c>
      <c r="B80" s="444"/>
      <c r="C80" s="425" t="s">
        <v>1942</v>
      </c>
      <c r="D80" s="425" t="s">
        <v>1943</v>
      </c>
      <c r="E80" s="484">
        <v>0.1</v>
      </c>
      <c r="F80" s="463">
        <v>15</v>
      </c>
    </row>
    <row r="81" s="408" customFormat="1" ht="24" spans="1:6">
      <c r="A81" s="463">
        <v>9</v>
      </c>
      <c r="B81" s="444"/>
      <c r="C81" s="425" t="s">
        <v>1944</v>
      </c>
      <c r="D81" s="425" t="s">
        <v>1945</v>
      </c>
      <c r="E81" s="484">
        <v>0.1</v>
      </c>
      <c r="F81" s="463">
        <v>15</v>
      </c>
    </row>
    <row r="82" s="408" customFormat="1" ht="24" spans="1:6">
      <c r="A82" s="463">
        <v>10</v>
      </c>
      <c r="B82" s="444"/>
      <c r="C82" s="425" t="s">
        <v>1946</v>
      </c>
      <c r="D82" s="425" t="s">
        <v>1947</v>
      </c>
      <c r="E82" s="484">
        <v>0.1</v>
      </c>
      <c r="F82" s="463">
        <v>15</v>
      </c>
    </row>
    <row r="83" s="408" customFormat="1" ht="24" spans="1:6">
      <c r="A83" s="463">
        <v>11</v>
      </c>
      <c r="B83" s="444"/>
      <c r="C83" s="425" t="s">
        <v>1948</v>
      </c>
      <c r="D83" s="425" t="s">
        <v>1949</v>
      </c>
      <c r="E83" s="484">
        <v>0.1</v>
      </c>
      <c r="F83" s="463">
        <v>15</v>
      </c>
    </row>
    <row r="84" s="408" customFormat="1" ht="36" spans="1:6">
      <c r="A84" s="463">
        <v>12</v>
      </c>
      <c r="B84" s="444"/>
      <c r="C84" s="425" t="s">
        <v>1950</v>
      </c>
      <c r="D84" s="425" t="s">
        <v>1951</v>
      </c>
      <c r="E84" s="484">
        <v>0.1</v>
      </c>
      <c r="F84" s="463">
        <v>15</v>
      </c>
    </row>
    <row r="85" s="408" customFormat="1" ht="24" spans="1:6">
      <c r="A85" s="463">
        <v>13</v>
      </c>
      <c r="B85" s="444"/>
      <c r="C85" s="425" t="s">
        <v>1952</v>
      </c>
      <c r="D85" s="425" t="s">
        <v>1953</v>
      </c>
      <c r="E85" s="484">
        <v>0.1</v>
      </c>
      <c r="F85" s="463">
        <v>15</v>
      </c>
    </row>
    <row r="86" s="408" customFormat="1" ht="24" spans="1:6">
      <c r="A86" s="463">
        <v>14</v>
      </c>
      <c r="B86" s="444"/>
      <c r="C86" s="425" t="s">
        <v>1954</v>
      </c>
      <c r="D86" s="425" t="s">
        <v>1955</v>
      </c>
      <c r="E86" s="484">
        <v>0.1</v>
      </c>
      <c r="F86" s="463">
        <v>15</v>
      </c>
    </row>
    <row r="87" s="408" customFormat="1" ht="24" spans="1:6">
      <c r="A87" s="463">
        <v>15</v>
      </c>
      <c r="B87" s="444"/>
      <c r="C87" s="425" t="s">
        <v>1956</v>
      </c>
      <c r="D87" s="425" t="s">
        <v>1957</v>
      </c>
      <c r="E87" s="484">
        <v>0.1</v>
      </c>
      <c r="F87" s="463">
        <v>15</v>
      </c>
    </row>
    <row r="88" s="408" customFormat="1" ht="24" spans="1:6">
      <c r="A88" s="463">
        <v>16</v>
      </c>
      <c r="B88" s="444"/>
      <c r="C88" s="425" t="s">
        <v>1958</v>
      </c>
      <c r="D88" s="425" t="s">
        <v>1959</v>
      </c>
      <c r="E88" s="484">
        <v>0.1</v>
      </c>
      <c r="F88" s="463">
        <v>15</v>
      </c>
    </row>
    <row r="89" s="408" customFormat="1" ht="24" spans="1:6">
      <c r="A89" s="463">
        <v>17</v>
      </c>
      <c r="B89" s="462"/>
      <c r="C89" s="425" t="s">
        <v>1960</v>
      </c>
      <c r="D89" s="425" t="s">
        <v>1961</v>
      </c>
      <c r="E89" s="484">
        <v>0.1</v>
      </c>
      <c r="F89" s="463">
        <v>15</v>
      </c>
    </row>
    <row r="90" s="408" customFormat="1" ht="14.4" spans="1:6">
      <c r="A90" s="463">
        <v>18</v>
      </c>
      <c r="B90" s="460" t="s">
        <v>1962</v>
      </c>
      <c r="C90" s="425" t="s">
        <v>1963</v>
      </c>
      <c r="D90" s="425" t="s">
        <v>1964</v>
      </c>
      <c r="E90" s="484">
        <v>0.2</v>
      </c>
      <c r="F90" s="463">
        <v>25</v>
      </c>
    </row>
    <row r="91" s="408" customFormat="1" ht="24" spans="1:6">
      <c r="A91" s="463">
        <v>19</v>
      </c>
      <c r="B91" s="444"/>
      <c r="C91" s="425" t="s">
        <v>1965</v>
      </c>
      <c r="D91" s="425" t="s">
        <v>1966</v>
      </c>
      <c r="E91" s="484">
        <v>0.2</v>
      </c>
      <c r="F91" s="463">
        <v>25</v>
      </c>
    </row>
    <row r="92" s="408" customFormat="1" ht="14.4" spans="1:6">
      <c r="A92" s="463">
        <v>20</v>
      </c>
      <c r="B92" s="444"/>
      <c r="C92" s="425" t="s">
        <v>1967</v>
      </c>
      <c r="D92" s="425" t="s">
        <v>1968</v>
      </c>
      <c r="E92" s="484">
        <v>0.15</v>
      </c>
      <c r="F92" s="463">
        <v>20</v>
      </c>
    </row>
    <row r="93" s="408" customFormat="1" ht="24" spans="1:6">
      <c r="A93" s="463">
        <v>21</v>
      </c>
      <c r="B93" s="444"/>
      <c r="C93" s="425" t="s">
        <v>1969</v>
      </c>
      <c r="D93" s="425" t="s">
        <v>1970</v>
      </c>
      <c r="E93" s="484">
        <v>0.15</v>
      </c>
      <c r="F93" s="463">
        <v>20</v>
      </c>
    </row>
    <row r="94" s="408" customFormat="1" ht="24" spans="1:6">
      <c r="A94" s="463">
        <v>22</v>
      </c>
      <c r="B94" s="444"/>
      <c r="C94" s="425" t="s">
        <v>1971</v>
      </c>
      <c r="D94" s="425" t="s">
        <v>1972</v>
      </c>
      <c r="E94" s="484">
        <v>0.15</v>
      </c>
      <c r="F94" s="463">
        <v>20</v>
      </c>
    </row>
    <row r="95" s="408" customFormat="1" ht="36" spans="1:6">
      <c r="A95" s="463">
        <v>23</v>
      </c>
      <c r="B95" s="444"/>
      <c r="C95" s="425" t="s">
        <v>1973</v>
      </c>
      <c r="D95" s="425" t="s">
        <v>1974</v>
      </c>
      <c r="E95" s="484">
        <v>0.15</v>
      </c>
      <c r="F95" s="463">
        <v>20</v>
      </c>
    </row>
    <row r="96" s="408" customFormat="1" ht="24" spans="1:6">
      <c r="A96" s="463">
        <v>24</v>
      </c>
      <c r="B96" s="444"/>
      <c r="C96" s="425" t="s">
        <v>1975</v>
      </c>
      <c r="D96" s="425" t="s">
        <v>1976</v>
      </c>
      <c r="E96" s="484">
        <v>0.1</v>
      </c>
      <c r="F96" s="463">
        <v>15</v>
      </c>
    </row>
    <row r="97" s="408" customFormat="1" ht="24" spans="1:6">
      <c r="A97" s="463">
        <v>25</v>
      </c>
      <c r="B97" s="444"/>
      <c r="C97" s="425" t="s">
        <v>1977</v>
      </c>
      <c r="D97" s="425" t="s">
        <v>1978</v>
      </c>
      <c r="E97" s="484">
        <v>0.1</v>
      </c>
      <c r="F97" s="463">
        <v>15</v>
      </c>
    </row>
    <row r="98" s="408" customFormat="1" ht="36" spans="1:6">
      <c r="A98" s="463">
        <v>26</v>
      </c>
      <c r="B98" s="444"/>
      <c r="C98" s="425" t="s">
        <v>1979</v>
      </c>
      <c r="D98" s="425" t="s">
        <v>1980</v>
      </c>
      <c r="E98" s="484">
        <v>0.1</v>
      </c>
      <c r="F98" s="463">
        <v>15</v>
      </c>
    </row>
    <row r="99" s="408" customFormat="1" ht="24" spans="1:6">
      <c r="A99" s="463">
        <v>27</v>
      </c>
      <c r="B99" s="444"/>
      <c r="C99" s="425" t="s">
        <v>1981</v>
      </c>
      <c r="D99" s="425" t="s">
        <v>1982</v>
      </c>
      <c r="E99" s="484">
        <v>0.1</v>
      </c>
      <c r="F99" s="463">
        <v>15</v>
      </c>
    </row>
    <row r="100" s="408" customFormat="1" ht="24" spans="1:6">
      <c r="A100" s="463">
        <v>28</v>
      </c>
      <c r="B100" s="444"/>
      <c r="C100" s="425" t="s">
        <v>1983</v>
      </c>
      <c r="D100" s="425" t="s">
        <v>1984</v>
      </c>
      <c r="E100" s="484">
        <v>0.1</v>
      </c>
      <c r="F100" s="463">
        <v>15</v>
      </c>
    </row>
    <row r="101" s="408" customFormat="1" ht="24" spans="1:6">
      <c r="A101" s="463">
        <v>29</v>
      </c>
      <c r="B101" s="444"/>
      <c r="C101" s="425" t="s">
        <v>1985</v>
      </c>
      <c r="D101" s="425" t="s">
        <v>1986</v>
      </c>
      <c r="E101" s="484">
        <v>0.1</v>
      </c>
      <c r="F101" s="463">
        <v>15</v>
      </c>
    </row>
    <row r="102" s="408" customFormat="1" ht="24" spans="1:6">
      <c r="A102" s="463">
        <v>30</v>
      </c>
      <c r="B102" s="444"/>
      <c r="C102" s="425" t="s">
        <v>1987</v>
      </c>
      <c r="D102" s="425" t="s">
        <v>1988</v>
      </c>
      <c r="E102" s="484">
        <v>0.1</v>
      </c>
      <c r="F102" s="463">
        <v>15</v>
      </c>
    </row>
    <row r="103" s="408" customFormat="1" ht="24" spans="1:6">
      <c r="A103" s="463">
        <v>31</v>
      </c>
      <c r="B103" s="444"/>
      <c r="C103" s="425" t="s">
        <v>1989</v>
      </c>
      <c r="D103" s="425" t="s">
        <v>1990</v>
      </c>
      <c r="E103" s="484">
        <v>0.1</v>
      </c>
      <c r="F103" s="463">
        <v>15</v>
      </c>
    </row>
    <row r="104" s="408" customFormat="1" ht="24" spans="1:6">
      <c r="A104" s="463">
        <v>32</v>
      </c>
      <c r="B104" s="444"/>
      <c r="C104" s="425" t="s">
        <v>1991</v>
      </c>
      <c r="D104" s="425" t="s">
        <v>1992</v>
      </c>
      <c r="E104" s="484">
        <v>0.1</v>
      </c>
      <c r="F104" s="463">
        <v>15</v>
      </c>
    </row>
    <row r="105" s="408" customFormat="1" ht="36" spans="1:6">
      <c r="A105" s="463">
        <v>33</v>
      </c>
      <c r="B105" s="444"/>
      <c r="C105" s="425" t="s">
        <v>1993</v>
      </c>
      <c r="D105" s="425" t="s">
        <v>1994</v>
      </c>
      <c r="E105" s="484">
        <v>0.1</v>
      </c>
      <c r="F105" s="463">
        <v>15</v>
      </c>
    </row>
    <row r="106" s="408" customFormat="1" ht="24" spans="1:6">
      <c r="A106" s="463">
        <v>34</v>
      </c>
      <c r="B106" s="462"/>
      <c r="C106" s="425" t="s">
        <v>1995</v>
      </c>
      <c r="D106" s="425" t="s">
        <v>1996</v>
      </c>
      <c r="E106" s="484">
        <v>0.1</v>
      </c>
      <c r="F106" s="463">
        <v>15</v>
      </c>
    </row>
    <row r="107" s="408" customFormat="1" ht="36" spans="1:6">
      <c r="A107" s="463">
        <v>35</v>
      </c>
      <c r="B107" s="460" t="s">
        <v>1997</v>
      </c>
      <c r="C107" s="463" t="s">
        <v>1998</v>
      </c>
      <c r="D107" s="425" t="s">
        <v>1999</v>
      </c>
      <c r="E107" s="484">
        <v>0.15</v>
      </c>
      <c r="F107" s="463">
        <v>20</v>
      </c>
    </row>
    <row r="108" s="408" customFormat="1" ht="24" spans="1:6">
      <c r="A108" s="463">
        <v>36</v>
      </c>
      <c r="B108" s="444"/>
      <c r="C108" s="463" t="s">
        <v>2000</v>
      </c>
      <c r="D108" s="425" t="s">
        <v>2001</v>
      </c>
      <c r="E108" s="484">
        <v>0.15</v>
      </c>
      <c r="F108" s="463">
        <v>20</v>
      </c>
    </row>
    <row r="109" s="408" customFormat="1" ht="24" spans="1:6">
      <c r="A109" s="463">
        <v>37</v>
      </c>
      <c r="B109" s="444"/>
      <c r="C109" s="463" t="s">
        <v>2002</v>
      </c>
      <c r="D109" s="425" t="s">
        <v>2003</v>
      </c>
      <c r="E109" s="484">
        <v>0.15</v>
      </c>
      <c r="F109" s="463">
        <v>20</v>
      </c>
    </row>
    <row r="110" s="408" customFormat="1" ht="24" spans="1:6">
      <c r="A110" s="463">
        <v>38</v>
      </c>
      <c r="B110" s="444"/>
      <c r="C110" s="463" t="s">
        <v>2004</v>
      </c>
      <c r="D110" s="425" t="s">
        <v>2005</v>
      </c>
      <c r="E110" s="484">
        <v>0.1</v>
      </c>
      <c r="F110" s="463">
        <v>15</v>
      </c>
    </row>
    <row r="111" s="408" customFormat="1" ht="24" spans="1:6">
      <c r="A111" s="463">
        <v>39</v>
      </c>
      <c r="B111" s="444"/>
      <c r="C111" s="463" t="s">
        <v>2006</v>
      </c>
      <c r="D111" s="425" t="s">
        <v>2007</v>
      </c>
      <c r="E111" s="484">
        <v>0.1</v>
      </c>
      <c r="F111" s="463">
        <v>15</v>
      </c>
    </row>
    <row r="112" s="408" customFormat="1" ht="24" spans="1:6">
      <c r="A112" s="463">
        <v>40</v>
      </c>
      <c r="B112" s="462"/>
      <c r="C112" s="463" t="s">
        <v>2008</v>
      </c>
      <c r="D112" s="425" t="s">
        <v>2009</v>
      </c>
      <c r="E112" s="484">
        <v>0.1</v>
      </c>
      <c r="F112" s="463">
        <v>15</v>
      </c>
    </row>
    <row r="113" s="408" customFormat="1" ht="24" spans="1:6">
      <c r="A113" s="463">
        <v>41</v>
      </c>
      <c r="B113" s="463" t="s">
        <v>2010</v>
      </c>
      <c r="C113" s="463" t="s">
        <v>2011</v>
      </c>
      <c r="D113" s="425" t="s">
        <v>2012</v>
      </c>
      <c r="E113" s="484">
        <v>0.1</v>
      </c>
      <c r="F113" s="463">
        <v>15</v>
      </c>
    </row>
    <row r="114" s="408" customFormat="1" ht="24" spans="1:6">
      <c r="A114" s="463">
        <v>42</v>
      </c>
      <c r="B114" s="463"/>
      <c r="C114" s="463" t="s">
        <v>2013</v>
      </c>
      <c r="D114" s="425" t="s">
        <v>2014</v>
      </c>
      <c r="E114" s="484">
        <v>0.1</v>
      </c>
      <c r="F114" s="463">
        <v>15</v>
      </c>
    </row>
    <row r="115" s="408" customFormat="1" ht="24" spans="1:6">
      <c r="A115" s="463">
        <v>43</v>
      </c>
      <c r="B115" s="463"/>
      <c r="C115" s="463" t="s">
        <v>2015</v>
      </c>
      <c r="D115" s="425" t="s">
        <v>2016</v>
      </c>
      <c r="E115" s="484">
        <v>0.1</v>
      </c>
      <c r="F115" s="463">
        <v>15</v>
      </c>
    </row>
    <row r="116" s="408" customFormat="1" ht="24" spans="1:6">
      <c r="A116" s="463">
        <v>44</v>
      </c>
      <c r="B116" s="460" t="s">
        <v>2017</v>
      </c>
      <c r="C116" s="463" t="s">
        <v>2018</v>
      </c>
      <c r="D116" s="425" t="s">
        <v>2019</v>
      </c>
      <c r="E116" s="484">
        <v>0.1</v>
      </c>
      <c r="F116" s="463">
        <v>15</v>
      </c>
    </row>
    <row r="117" s="408" customFormat="1" ht="24" spans="1:6">
      <c r="A117" s="463">
        <v>45</v>
      </c>
      <c r="B117" s="462"/>
      <c r="C117" s="425" t="s">
        <v>2020</v>
      </c>
      <c r="D117" s="425" t="s">
        <v>2021</v>
      </c>
      <c r="E117" s="484">
        <v>0.1</v>
      </c>
      <c r="F117" s="463">
        <v>15</v>
      </c>
    </row>
    <row r="118" s="408" customFormat="1" ht="24" spans="1:6">
      <c r="A118" s="463">
        <v>46</v>
      </c>
      <c r="B118" s="460" t="s">
        <v>2022</v>
      </c>
      <c r="C118" s="463" t="s">
        <v>2023</v>
      </c>
      <c r="D118" s="425" t="s">
        <v>2024</v>
      </c>
      <c r="E118" s="484">
        <v>0.1</v>
      </c>
      <c r="F118" s="463">
        <v>15</v>
      </c>
    </row>
    <row r="119" s="408" customFormat="1" ht="24" spans="1:6">
      <c r="A119" s="463">
        <v>47</v>
      </c>
      <c r="B119" s="462"/>
      <c r="C119" s="463" t="s">
        <v>2025</v>
      </c>
      <c r="D119" s="425" t="s">
        <v>2026</v>
      </c>
      <c r="E119" s="484">
        <v>0.1</v>
      </c>
      <c r="F119" s="463">
        <v>15</v>
      </c>
    </row>
    <row r="120" s="408" customFormat="1" ht="24" spans="1:6">
      <c r="A120" s="463">
        <v>48</v>
      </c>
      <c r="B120" s="460" t="s">
        <v>2027</v>
      </c>
      <c r="C120" s="463" t="s">
        <v>2028</v>
      </c>
      <c r="D120" s="425" t="s">
        <v>2029</v>
      </c>
      <c r="E120" s="484">
        <v>0.1</v>
      </c>
      <c r="F120" s="463">
        <v>15</v>
      </c>
    </row>
    <row r="121" s="408" customFormat="1" ht="24" spans="1:6">
      <c r="A121" s="463">
        <v>49</v>
      </c>
      <c r="B121" s="462"/>
      <c r="C121" s="463" t="s">
        <v>2030</v>
      </c>
      <c r="D121" s="425" t="s">
        <v>2031</v>
      </c>
      <c r="E121" s="484">
        <v>0.1</v>
      </c>
      <c r="F121" s="463">
        <v>15</v>
      </c>
    </row>
    <row r="122" s="408" customFormat="1" ht="24" spans="1:6">
      <c r="A122" s="463">
        <v>50</v>
      </c>
      <c r="B122" s="463" t="s">
        <v>2032</v>
      </c>
      <c r="C122" s="463" t="s">
        <v>2033</v>
      </c>
      <c r="D122" s="425" t="s">
        <v>2034</v>
      </c>
      <c r="E122" s="484">
        <v>0.1</v>
      </c>
      <c r="F122" s="463">
        <v>15</v>
      </c>
    </row>
    <row r="123" s="408" customFormat="1" ht="24" spans="1:6">
      <c r="A123" s="463">
        <v>51</v>
      </c>
      <c r="B123" s="463"/>
      <c r="C123" s="463" t="s">
        <v>2035</v>
      </c>
      <c r="D123" s="425" t="s">
        <v>2036</v>
      </c>
      <c r="E123" s="484">
        <v>0.1</v>
      </c>
      <c r="F123" s="463">
        <v>15</v>
      </c>
    </row>
    <row r="124" s="408" customFormat="1" ht="24" spans="1:6">
      <c r="A124" s="463">
        <v>52</v>
      </c>
      <c r="B124" s="463" t="s">
        <v>2037</v>
      </c>
      <c r="C124" s="463" t="s">
        <v>2038</v>
      </c>
      <c r="D124" s="425" t="s">
        <v>2039</v>
      </c>
      <c r="E124" s="484">
        <v>0.1</v>
      </c>
      <c r="F124" s="463">
        <v>15</v>
      </c>
    </row>
    <row r="125" s="408" customFormat="1" ht="24" spans="1:6">
      <c r="A125" s="463">
        <v>53</v>
      </c>
      <c r="B125" s="463"/>
      <c r="C125" s="463" t="s">
        <v>2040</v>
      </c>
      <c r="D125" s="425" t="s">
        <v>2041</v>
      </c>
      <c r="E125" s="484">
        <v>0.1</v>
      </c>
      <c r="F125" s="463">
        <v>15</v>
      </c>
    </row>
    <row r="126" ht="24" spans="1:6">
      <c r="A126" s="463">
        <v>54</v>
      </c>
      <c r="B126" s="463" t="s">
        <v>2042</v>
      </c>
      <c r="C126" s="463" t="s">
        <v>2043</v>
      </c>
      <c r="D126" s="425" t="s">
        <v>2044</v>
      </c>
      <c r="E126" s="484">
        <v>0.1</v>
      </c>
      <c r="F126" s="463">
        <v>15</v>
      </c>
    </row>
    <row r="127" ht="24" spans="1:6">
      <c r="A127" s="463">
        <v>55</v>
      </c>
      <c r="B127" s="463" t="s">
        <v>2045</v>
      </c>
      <c r="C127" s="463" t="s">
        <v>2046</v>
      </c>
      <c r="D127" s="425" t="s">
        <v>2047</v>
      </c>
      <c r="E127" s="484">
        <v>0.1</v>
      </c>
      <c r="F127" s="463">
        <v>15</v>
      </c>
    </row>
    <row r="128" ht="24" spans="1:6">
      <c r="A128" s="463">
        <v>56</v>
      </c>
      <c r="B128" s="463"/>
      <c r="C128" s="463" t="s">
        <v>2048</v>
      </c>
      <c r="D128" s="425" t="s">
        <v>2049</v>
      </c>
      <c r="E128" s="484">
        <v>0.1</v>
      </c>
      <c r="F128" s="463">
        <v>15</v>
      </c>
    </row>
    <row r="129" ht="24" spans="1:6">
      <c r="A129" s="463">
        <v>57</v>
      </c>
      <c r="B129" s="463"/>
      <c r="C129" s="463" t="s">
        <v>2050</v>
      </c>
      <c r="D129" s="425" t="s">
        <v>2051</v>
      </c>
      <c r="E129" s="484">
        <v>0.1</v>
      </c>
      <c r="F129" s="463">
        <v>15</v>
      </c>
    </row>
    <row r="130" ht="24" spans="1:6">
      <c r="A130" s="463">
        <v>58</v>
      </c>
      <c r="B130" s="463" t="s">
        <v>2052</v>
      </c>
      <c r="C130" s="463" t="s">
        <v>2053</v>
      </c>
      <c r="D130" s="425" t="s">
        <v>2054</v>
      </c>
      <c r="E130" s="484">
        <v>0.1</v>
      </c>
      <c r="F130" s="463">
        <v>15</v>
      </c>
    </row>
    <row r="131" ht="24" spans="1:6">
      <c r="A131" s="463">
        <v>59</v>
      </c>
      <c r="B131" s="463"/>
      <c r="C131" s="463" t="s">
        <v>2055</v>
      </c>
      <c r="D131" s="425" t="s">
        <v>2056</v>
      </c>
      <c r="E131" s="484">
        <v>0.1</v>
      </c>
      <c r="F131" s="463">
        <v>15</v>
      </c>
    </row>
    <row r="132" ht="24" spans="1:6">
      <c r="A132" s="463">
        <v>60</v>
      </c>
      <c r="B132" s="460" t="s">
        <v>2057</v>
      </c>
      <c r="C132" s="463" t="s">
        <v>2058</v>
      </c>
      <c r="D132" s="425" t="s">
        <v>2059</v>
      </c>
      <c r="E132" s="484">
        <v>0.1</v>
      </c>
      <c r="F132" s="463">
        <v>15</v>
      </c>
    </row>
    <row r="133" ht="24" spans="1:6">
      <c r="A133" s="463">
        <v>61</v>
      </c>
      <c r="B133" s="462"/>
      <c r="C133" s="463" t="s">
        <v>2060</v>
      </c>
      <c r="D133" s="425" t="s">
        <v>2061</v>
      </c>
      <c r="E133" s="484">
        <v>0.1</v>
      </c>
      <c r="F133" s="463">
        <v>15</v>
      </c>
    </row>
    <row r="134" ht="24" spans="1:6">
      <c r="A134" s="463">
        <v>62</v>
      </c>
      <c r="B134" s="463" t="s">
        <v>2062</v>
      </c>
      <c r="C134" s="463" t="s">
        <v>2063</v>
      </c>
      <c r="D134" s="425" t="s">
        <v>2064</v>
      </c>
      <c r="E134" s="484">
        <v>0.1</v>
      </c>
      <c r="F134" s="463">
        <v>15</v>
      </c>
    </row>
    <row r="135" ht="24" spans="1:6">
      <c r="A135" s="463">
        <v>63</v>
      </c>
      <c r="B135" s="463" t="s">
        <v>2065</v>
      </c>
      <c r="C135" s="463" t="s">
        <v>2066</v>
      </c>
      <c r="D135" s="425" t="s">
        <v>2067</v>
      </c>
      <c r="E135" s="484">
        <v>0.1</v>
      </c>
      <c r="F135" s="463">
        <v>15</v>
      </c>
    </row>
    <row r="136" ht="24" spans="1:6">
      <c r="A136" s="463">
        <v>64</v>
      </c>
      <c r="B136" s="463"/>
      <c r="C136" s="463" t="s">
        <v>2068</v>
      </c>
      <c r="D136" s="425" t="s">
        <v>2069</v>
      </c>
      <c r="E136" s="484">
        <v>0.1</v>
      </c>
      <c r="F136" s="463">
        <v>15</v>
      </c>
    </row>
    <row r="137" ht="24" spans="1:6">
      <c r="A137" s="463">
        <v>65</v>
      </c>
      <c r="B137" s="463" t="s">
        <v>2070</v>
      </c>
      <c r="C137" s="463" t="s">
        <v>2071</v>
      </c>
      <c r="D137" s="425" t="s">
        <v>2072</v>
      </c>
      <c r="E137" s="484">
        <v>0.1</v>
      </c>
      <c r="F137" s="463">
        <v>15</v>
      </c>
    </row>
    <row r="138" ht="14.4"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6"/>
    <col min="2" max="16384" width="9" style="397"/>
  </cols>
  <sheetData>
    <row r="1" ht="15.6" spans="1:14">
      <c r="A1" s="398" t="s">
        <v>2073</v>
      </c>
      <c r="B1" s="399"/>
      <c r="C1" s="399"/>
      <c r="D1" s="399"/>
      <c r="E1" s="399"/>
      <c r="F1" s="399"/>
      <c r="G1" s="399"/>
      <c r="H1" s="399"/>
      <c r="I1" s="399"/>
      <c r="J1" s="399"/>
      <c r="K1" s="399"/>
      <c r="L1" s="399"/>
      <c r="M1" s="399"/>
      <c r="N1" s="399"/>
    </row>
    <row r="2" spans="1:13">
      <c r="A2" s="400" t="s">
        <v>2074</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5.6" spans="1:14">
      <c r="A103" s="398" t="s">
        <v>2075</v>
      </c>
      <c r="B103" s="399"/>
      <c r="C103" s="399"/>
      <c r="D103" s="399"/>
      <c r="E103" s="399"/>
      <c r="F103" s="399"/>
      <c r="G103" s="399"/>
      <c r="H103" s="399"/>
      <c r="I103" s="399"/>
      <c r="J103" s="399"/>
      <c r="K103" s="399"/>
      <c r="L103" s="399"/>
      <c r="M103" s="399"/>
      <c r="N103" s="399"/>
    </row>
    <row r="104" ht="15.6" spans="1:14">
      <c r="A104" s="400" t="s">
        <v>2074</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t="e">
        <f>SUMPRODUCT((A105:A204=ROUNDDOWN(基准地价修正!G3,1))*(B104:M104=基准地价修正!G2)*(B105:M204))</f>
        <v>#DIV/0!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5.6" spans="1:13">
      <c r="A205" s="398" t="s">
        <v>2076</v>
      </c>
      <c r="B205" s="399"/>
      <c r="C205" s="399"/>
      <c r="D205" s="399"/>
      <c r="E205" s="399"/>
      <c r="F205" s="399"/>
      <c r="G205" s="399"/>
      <c r="H205" s="399"/>
      <c r="I205" s="399"/>
      <c r="J205" s="399"/>
      <c r="K205" s="399"/>
      <c r="L205" s="399"/>
      <c r="M205" s="399"/>
    </row>
    <row r="206" spans="1:13">
      <c r="A206" s="400" t="s">
        <v>2074</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5.6" spans="1:13">
      <c r="A307" s="398" t="s">
        <v>2077</v>
      </c>
      <c r="B307" s="399"/>
      <c r="C307" s="399"/>
      <c r="D307" s="399"/>
      <c r="E307" s="399"/>
      <c r="F307" s="399"/>
      <c r="G307" s="399"/>
      <c r="H307" s="399"/>
      <c r="I307" s="399"/>
      <c r="J307" s="399"/>
      <c r="K307" s="399"/>
      <c r="L307" s="399"/>
      <c r="M307" s="399"/>
    </row>
    <row r="308" spans="1:13">
      <c r="A308" s="400" t="s">
        <v>2074</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3" customWidth="1"/>
    <col min="2" max="2" width="12.4444444444444" style="383" customWidth="1"/>
    <col min="3" max="3" width="12.1111111111111" style="383" customWidth="1"/>
    <col min="4" max="4" width="14.1111111111111" style="383" customWidth="1"/>
    <col min="5" max="5" width="12.4444444444444" style="383" customWidth="1"/>
    <col min="6" max="16384" width="9" style="383"/>
  </cols>
  <sheetData>
    <row r="1" ht="20.4" spans="1:16">
      <c r="A1" s="384" t="s">
        <v>2078</v>
      </c>
      <c r="B1" s="385"/>
      <c r="C1" s="385"/>
      <c r="D1" s="385"/>
      <c r="E1" s="385"/>
      <c r="F1" s="386"/>
      <c r="G1" s="386"/>
      <c r="H1" s="386"/>
      <c r="I1" s="386"/>
      <c r="J1" s="386"/>
      <c r="K1" s="386"/>
      <c r="L1" s="386"/>
      <c r="M1" s="386"/>
      <c r="N1" s="386"/>
      <c r="O1" s="386"/>
      <c r="P1" s="386"/>
    </row>
    <row r="2" ht="15.6" spans="1:16">
      <c r="A2" s="387" t="s">
        <v>97</v>
      </c>
      <c r="B2" s="388" t="e">
        <f ca="1">SUMIF(B6:B13,"&lt;&gt;#ref!",B6:B13)</f>
        <v>#DIV/0!</v>
      </c>
      <c r="C2" s="387" t="s">
        <v>2079</v>
      </c>
      <c r="D2" s="387" t="s">
        <v>2080</v>
      </c>
      <c r="E2" s="389">
        <f ca="1">SUMIF(E6:E13,"&lt;&gt;#ref!",E6:E13)</f>
        <v>0</v>
      </c>
      <c r="F2" s="386"/>
      <c r="G2" s="386"/>
      <c r="H2" s="386"/>
      <c r="I2" s="386"/>
      <c r="J2" s="386"/>
      <c r="K2" s="386"/>
      <c r="L2" s="386"/>
      <c r="M2" s="386"/>
      <c r="N2" s="386"/>
      <c r="O2" s="386"/>
      <c r="P2" s="386"/>
    </row>
    <row r="3" ht="15.6" spans="1:16">
      <c r="A3" s="387" t="s">
        <v>2081</v>
      </c>
      <c r="B3" s="388" t="e">
        <f ca="1">ROUND(B2*10000/E2,0)</f>
        <v>#DIV/0!</v>
      </c>
      <c r="C3" s="387" t="s">
        <v>2082</v>
      </c>
      <c r="D3" s="386"/>
      <c r="E3" s="386"/>
      <c r="F3" s="386"/>
      <c r="G3" s="386"/>
      <c r="H3" s="386"/>
      <c r="I3" s="386"/>
      <c r="J3" s="386"/>
      <c r="K3" s="386"/>
      <c r="L3" s="386"/>
      <c r="M3" s="386"/>
      <c r="N3" s="386"/>
      <c r="O3" s="386"/>
      <c r="P3" s="386"/>
    </row>
    <row r="4" ht="15.6" spans="1:16">
      <c r="A4" s="390"/>
      <c r="B4" s="386"/>
      <c r="C4" s="386"/>
      <c r="D4" s="386"/>
      <c r="E4" s="386"/>
      <c r="F4" s="386"/>
      <c r="G4" s="386"/>
      <c r="H4" s="386"/>
      <c r="I4" s="386"/>
      <c r="J4" s="386"/>
      <c r="K4" s="386"/>
      <c r="L4" s="386"/>
      <c r="M4" s="386"/>
      <c r="N4" s="386"/>
      <c r="O4" s="386"/>
      <c r="P4" s="386"/>
    </row>
    <row r="5" ht="31.2" spans="1:16">
      <c r="A5" s="391" t="s">
        <v>2083</v>
      </c>
      <c r="B5" s="392" t="s">
        <v>2084</v>
      </c>
      <c r="C5" s="393"/>
      <c r="D5" s="386"/>
      <c r="E5" s="394" t="s">
        <v>2085</v>
      </c>
      <c r="F5" s="386"/>
      <c r="G5" s="386"/>
      <c r="H5" s="386"/>
      <c r="I5" s="386"/>
      <c r="J5" s="386"/>
      <c r="K5" s="386"/>
      <c r="L5" s="386"/>
      <c r="M5" s="386"/>
      <c r="N5" s="386"/>
      <c r="O5" s="386"/>
      <c r="P5" s="386"/>
    </row>
    <row r="6" ht="15.6" spans="1:16">
      <c r="A6" s="395" t="s">
        <v>2086</v>
      </c>
      <c r="B6" s="388" t="e">
        <f ca="1">SUMIF(INDIRECT("'"&amp;A6&amp;"'"&amp;"!A:A"),"总价",INDIRECT("'"&amp;A6&amp;"'"&amp;"!B:B"))</f>
        <v>#DIV/0!</v>
      </c>
      <c r="C6" s="387" t="s">
        <v>2079</v>
      </c>
      <c r="D6" s="386"/>
      <c r="E6" s="389">
        <f ca="1">SUMIF(INDIRECT("'"&amp;A6&amp;"'"&amp;"!C:C"),"建筑面积",INDIRECT("'"&amp;A6&amp;"'"&amp;"!D:D"))</f>
        <v>0</v>
      </c>
      <c r="F6" s="386"/>
      <c r="G6" s="386"/>
      <c r="H6" s="386"/>
      <c r="I6" s="386"/>
      <c r="J6" s="386"/>
      <c r="K6" s="386"/>
      <c r="L6" s="386"/>
      <c r="M6" s="386"/>
      <c r="N6" s="386"/>
      <c r="O6" s="386"/>
      <c r="P6" s="386"/>
    </row>
    <row r="7" ht="15.6" spans="1:16">
      <c r="A7" s="395"/>
      <c r="B7" s="388" t="e">
        <f ca="1">SUMIF(INDIRECT("'"&amp;A7&amp;"'"&amp;"!A:A"),"总价",INDIRECT("'"&amp;A7&amp;"'"&amp;"!B:B"))</f>
        <v>#REF!</v>
      </c>
      <c r="C7" s="387" t="s">
        <v>2079</v>
      </c>
      <c r="D7" s="386"/>
      <c r="E7" s="389" t="e">
        <f ca="1" t="shared" ref="E7:E13" si="0">SUMIF(INDIRECT("'"&amp;A7&amp;"'"&amp;"!C:C"),"建筑面积",INDIRECT("'"&amp;A7&amp;"'"&amp;"!D:D"))</f>
        <v>#REF!</v>
      </c>
      <c r="F7" s="386"/>
      <c r="G7" s="386"/>
      <c r="H7" s="386"/>
      <c r="I7" s="386"/>
      <c r="J7" s="386"/>
      <c r="K7" s="386"/>
      <c r="L7" s="386"/>
      <c r="M7" s="386"/>
      <c r="N7" s="386"/>
      <c r="O7" s="386"/>
      <c r="P7" s="386"/>
    </row>
    <row r="8" ht="15.6" spans="1:16">
      <c r="A8" s="395"/>
      <c r="B8" s="388" t="e">
        <f ca="1" t="shared" ref="B8:B13" si="1">SUMIF(INDIRECT("'"&amp;A8&amp;"'"&amp;"!A:A"),"总价",INDIRECT("'"&amp;A8&amp;"'"&amp;"!B:B"))</f>
        <v>#REF!</v>
      </c>
      <c r="C8" s="387" t="s">
        <v>2079</v>
      </c>
      <c r="D8" s="386"/>
      <c r="E8" s="389" t="e">
        <f ca="1" t="shared" si="0"/>
        <v>#REF!</v>
      </c>
      <c r="F8" s="386"/>
      <c r="G8" s="386"/>
      <c r="H8" s="386"/>
      <c r="I8" s="386"/>
      <c r="J8" s="386"/>
      <c r="K8" s="386"/>
      <c r="L8" s="386"/>
      <c r="M8" s="386"/>
      <c r="N8" s="386"/>
      <c r="O8" s="386"/>
      <c r="P8" s="386"/>
    </row>
    <row r="9" ht="15.6" spans="1:16">
      <c r="A9" s="395"/>
      <c r="B9" s="388" t="e">
        <f ca="1" t="shared" si="1"/>
        <v>#REF!</v>
      </c>
      <c r="C9" s="387" t="s">
        <v>2079</v>
      </c>
      <c r="D9" s="386"/>
      <c r="E9" s="389" t="e">
        <f ca="1" t="shared" si="0"/>
        <v>#REF!</v>
      </c>
      <c r="F9" s="386"/>
      <c r="G9" s="386"/>
      <c r="H9" s="386"/>
      <c r="I9" s="386"/>
      <c r="J9" s="386"/>
      <c r="K9" s="386"/>
      <c r="L9" s="386"/>
      <c r="M9" s="386"/>
      <c r="N9" s="386"/>
      <c r="O9" s="386"/>
      <c r="P9" s="386"/>
    </row>
    <row r="10" ht="15.6" spans="1:16">
      <c r="A10" s="395"/>
      <c r="B10" s="388" t="e">
        <f ca="1" t="shared" si="1"/>
        <v>#REF!</v>
      </c>
      <c r="C10" s="387" t="s">
        <v>2079</v>
      </c>
      <c r="D10" s="386"/>
      <c r="E10" s="389" t="e">
        <f ca="1" t="shared" si="0"/>
        <v>#REF!</v>
      </c>
      <c r="F10" s="386"/>
      <c r="G10" s="386"/>
      <c r="H10" s="386"/>
      <c r="I10" s="386"/>
      <c r="J10" s="386"/>
      <c r="K10" s="386"/>
      <c r="L10" s="386"/>
      <c r="M10" s="386"/>
      <c r="N10" s="386"/>
      <c r="O10" s="386"/>
      <c r="P10" s="386"/>
    </row>
    <row r="11" ht="15.6" spans="1:16">
      <c r="A11" s="395"/>
      <c r="B11" s="388" t="e">
        <f ca="1" t="shared" si="1"/>
        <v>#REF!</v>
      </c>
      <c r="C11" s="387" t="s">
        <v>2079</v>
      </c>
      <c r="D11" s="386"/>
      <c r="E11" s="389" t="e">
        <f ca="1" t="shared" si="0"/>
        <v>#REF!</v>
      </c>
      <c r="F11" s="386"/>
      <c r="G11" s="386"/>
      <c r="H11" s="386"/>
      <c r="I11" s="386"/>
      <c r="J11" s="386"/>
      <c r="K11" s="386"/>
      <c r="L11" s="386"/>
      <c r="M11" s="386"/>
      <c r="N11" s="386"/>
      <c r="O11" s="386"/>
      <c r="P11" s="386"/>
    </row>
    <row r="12" ht="15.6" spans="1:16">
      <c r="A12" s="395"/>
      <c r="B12" s="388" t="e">
        <f ca="1" t="shared" si="1"/>
        <v>#REF!</v>
      </c>
      <c r="C12" s="387" t="s">
        <v>2079</v>
      </c>
      <c r="D12" s="386"/>
      <c r="E12" s="389" t="e">
        <f ca="1" t="shared" si="0"/>
        <v>#REF!</v>
      </c>
      <c r="F12" s="386"/>
      <c r="G12" s="386"/>
      <c r="H12" s="386"/>
      <c r="I12" s="386"/>
      <c r="J12" s="386"/>
      <c r="K12" s="386"/>
      <c r="L12" s="386"/>
      <c r="M12" s="386"/>
      <c r="N12" s="386"/>
      <c r="O12" s="386"/>
      <c r="P12" s="386"/>
    </row>
    <row r="13" ht="15.6" spans="1:16">
      <c r="A13" s="395"/>
      <c r="B13" s="388" t="e">
        <f ca="1" t="shared" si="1"/>
        <v>#REF!</v>
      </c>
      <c r="C13" s="387" t="s">
        <v>2079</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9"/>
    <col min="2" max="6" width="9" style="249" customWidth="1"/>
    <col min="7" max="7" width="9" style="250"/>
    <col min="8" max="8" width="9" style="249"/>
    <col min="9" max="12" width="9" style="249" customWidth="1"/>
    <col min="13" max="13" width="2.22222222222222" style="249" customWidth="1"/>
    <col min="14" max="14" width="9" style="250" customWidth="1"/>
    <col min="15" max="17" width="9" style="249" customWidth="1"/>
    <col min="18" max="18" width="2.33333333333333" style="249" customWidth="1"/>
    <col min="19" max="19" width="7.11111111111111" style="250" customWidth="1"/>
    <col min="20" max="22" width="7.11111111111111" style="249" customWidth="1"/>
    <col min="23" max="23" width="24.2222222222222" style="249" customWidth="1"/>
    <col min="24" max="25" width="9" style="249"/>
    <col min="26" max="27" width="11.6666666666667" style="249" customWidth="1"/>
    <col min="28" max="28" width="9" style="249"/>
    <col min="29" max="29" width="2" style="249" customWidth="1"/>
    <col min="30" max="16384" width="9" style="249"/>
  </cols>
  <sheetData>
    <row r="1" s="240" customFormat="1" spans="2:30">
      <c r="B1" s="251" t="s">
        <v>2087</v>
      </c>
      <c r="C1" s="251"/>
      <c r="D1" s="251"/>
      <c r="E1" s="251"/>
      <c r="F1" s="251"/>
      <c r="G1" s="240" t="s">
        <v>2088</v>
      </c>
      <c r="N1" s="240" t="s">
        <v>2089</v>
      </c>
      <c r="S1" s="240" t="s">
        <v>2090</v>
      </c>
      <c r="X1" s="328" t="s">
        <v>2091</v>
      </c>
      <c r="AD1" s="328" t="s">
        <v>2092</v>
      </c>
    </row>
    <row r="2" s="241" customFormat="1" ht="15.15" spans="2:34">
      <c r="B2" s="252" t="s">
        <v>2093</v>
      </c>
      <c r="C2" s="252" t="s">
        <v>2094</v>
      </c>
      <c r="D2" s="253" t="s">
        <v>454</v>
      </c>
      <c r="E2" s="253" t="s">
        <v>1831</v>
      </c>
      <c r="F2" s="252" t="s">
        <v>2095</v>
      </c>
      <c r="G2" s="254"/>
      <c r="I2" s="252" t="s">
        <v>2093</v>
      </c>
      <c r="J2" s="253" t="s">
        <v>1849</v>
      </c>
      <c r="K2" s="253" t="s">
        <v>1831</v>
      </c>
      <c r="L2" s="252" t="s">
        <v>2095</v>
      </c>
      <c r="N2" s="252" t="s">
        <v>2093</v>
      </c>
      <c r="O2" s="253" t="s">
        <v>1849</v>
      </c>
      <c r="P2" s="253" t="s">
        <v>1831</v>
      </c>
      <c r="Q2" s="252" t="s">
        <v>2095</v>
      </c>
      <c r="S2" s="252" t="s">
        <v>2093</v>
      </c>
      <c r="T2" s="253" t="s">
        <v>1849</v>
      </c>
      <c r="U2" s="253" t="s">
        <v>1831</v>
      </c>
      <c r="V2" s="252" t="s">
        <v>2095</v>
      </c>
      <c r="X2" s="252" t="s">
        <v>2093</v>
      </c>
      <c r="Y2" s="252" t="s">
        <v>2094</v>
      </c>
      <c r="Z2" s="253" t="s">
        <v>454</v>
      </c>
      <c r="AA2" s="253" t="s">
        <v>1831</v>
      </c>
      <c r="AB2" s="252" t="s">
        <v>2095</v>
      </c>
      <c r="AD2" s="252" t="s">
        <v>2093</v>
      </c>
      <c r="AE2" s="252" t="s">
        <v>2094</v>
      </c>
      <c r="AF2" s="253" t="s">
        <v>454</v>
      </c>
      <c r="AG2" s="253" t="s">
        <v>1831</v>
      </c>
      <c r="AH2" s="252" t="s">
        <v>2095</v>
      </c>
    </row>
    <row r="3" s="242" customFormat="1" ht="14.4" spans="1:34">
      <c r="A3" s="255" t="s">
        <v>2096</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4"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2097</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2098</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2099</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2100</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2101</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2102</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2103</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2104</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2105</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2106</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2107</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95" spans="1:34">
      <c r="A15" s="268" t="s">
        <v>2108</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2109</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95" spans="1:34">
      <c r="A17" s="268" t="s">
        <v>2110</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2111</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 customHeight="1" spans="1:34">
      <c r="A19" s="268" t="s">
        <v>2112</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 customHeight="1" spans="1:34">
      <c r="A20" s="268" t="s">
        <v>2113</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2114</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2115</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 customHeight="1" spans="1:34">
      <c r="A23" s="268" t="s">
        <v>2116</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 customHeight="1" spans="1:34">
      <c r="A24" s="268" t="s">
        <v>2117</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2118</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2119</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2120</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2121</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95" spans="1:34">
      <c r="A29" s="268" t="s">
        <v>2122</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95" spans="1:34">
      <c r="A30" s="268" t="s">
        <v>2123</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2124</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2125</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2126</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95" spans="1:34">
      <c r="A34" s="268" t="s">
        <v>2127</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2128</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95" spans="1:34">
      <c r="A36" s="268" t="s">
        <v>2129</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95" spans="1:34">
      <c r="A37" s="286" t="s">
        <v>2130</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2131</v>
      </c>
      <c r="X37" s="342">
        <v>1</v>
      </c>
      <c r="Y37" s="342">
        <v>1</v>
      </c>
      <c r="Z37" s="342">
        <v>1</v>
      </c>
      <c r="AA37" s="342">
        <v>1</v>
      </c>
      <c r="AB37" s="342">
        <v>1</v>
      </c>
      <c r="AD37" s="320">
        <f>I37/100</f>
        <v>0.0297</v>
      </c>
      <c r="AE37" s="320">
        <f>J37/100</f>
        <v>0.0234</v>
      </c>
      <c r="AF37" s="320">
        <f t="shared" si="221"/>
        <v>0.0234</v>
      </c>
      <c r="AG37" s="320">
        <f>K37/100</f>
        <v>0.0328</v>
      </c>
      <c r="AH37" s="320">
        <f>L37/100</f>
        <v>0.0136</v>
      </c>
    </row>
    <row r="38" ht="13.95" spans="1:26">
      <c r="A38" s="268" t="s">
        <v>2132</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2133</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2134</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2135</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95" spans="1:26">
      <c r="A42" s="268" t="s">
        <v>2136</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2137</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2138</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95" spans="1:26">
      <c r="A45" s="268" t="s">
        <v>2139</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95" spans="1:26">
      <c r="A46" s="268" t="s">
        <v>2140</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2141</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2142</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95" spans="1:26">
      <c r="A49" s="268" t="s">
        <v>2143</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95" spans="1:26">
      <c r="A50" s="268" t="s">
        <v>2144</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2145</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2146</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95" spans="1:26">
      <c r="A53" s="268" t="s">
        <v>2147</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95" spans="1:26">
      <c r="A54" s="268" t="s">
        <v>2148</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2149</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2150</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2151</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95" spans="1:26">
      <c r="A58" s="268" t="s">
        <v>2152</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2153</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2154</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95" spans="1:26">
      <c r="A61" s="268" t="s">
        <v>2155</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95" spans="1:26">
      <c r="A62" s="268" t="s">
        <v>2156</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2157</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2158</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2159</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95" spans="1:26">
      <c r="A66" s="268" t="s">
        <v>2160</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2161</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2162</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2163</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95" spans="1:26">
      <c r="A70" s="268" t="s">
        <v>2164</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2165</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2166</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2167</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95" spans="1:26">
      <c r="A74" s="268" t="s">
        <v>2168</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2169</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2170</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95" spans="1:26">
      <c r="A77" s="268" t="s">
        <v>2171</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95" spans="1:26">
      <c r="A78" s="268" t="s">
        <v>2172</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2173</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2174</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95" spans="1:26">
      <c r="A81" s="268" t="s">
        <v>2175</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95" spans="1:26">
      <c r="A82" s="268" t="s">
        <v>2176</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2177</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2178</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95" spans="1:26">
      <c r="A85" s="286" t="s">
        <v>2179</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9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2180</v>
      </c>
      <c r="G88" s="362"/>
      <c r="N88" s="362"/>
      <c r="S88" s="362"/>
    </row>
    <row r="89" s="248" customFormat="1" spans="1:19">
      <c r="A89" s="248" t="s">
        <v>2181</v>
      </c>
      <c r="G89" s="362"/>
      <c r="N89" s="362"/>
      <c r="S89" s="362"/>
    </row>
    <row r="90" s="248" customFormat="1" spans="1:22">
      <c r="A90" s="248" t="s">
        <v>2182</v>
      </c>
      <c r="G90" s="362"/>
      <c r="I90" s="371"/>
      <c r="J90" s="371"/>
      <c r="K90" s="371"/>
      <c r="L90" s="371"/>
      <c r="N90" s="372"/>
      <c r="O90" s="371"/>
      <c r="P90" s="371"/>
      <c r="Q90" s="371"/>
      <c r="S90" s="372"/>
      <c r="T90" s="371"/>
      <c r="U90" s="371"/>
      <c r="V90" s="371"/>
    </row>
    <row r="91" s="248" customFormat="1" spans="1:19">
      <c r="A91" s="248" t="s">
        <v>2183</v>
      </c>
      <c r="G91" s="362"/>
      <c r="N91" s="362"/>
      <c r="S91" s="362"/>
    </row>
    <row r="98" ht="13.95"/>
    <row r="99" spans="7:22">
      <c r="G99" s="249"/>
      <c r="S99" s="375" t="s">
        <v>2184</v>
      </c>
      <c r="T99" s="376" t="s">
        <v>2185</v>
      </c>
      <c r="U99" s="376" t="s">
        <v>2186</v>
      </c>
      <c r="V99" s="376" t="s">
        <v>2187</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9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t="e">
        <f ca="1">结果表!H101</f>
        <v>#REF!</v>
      </c>
      <c r="E5" s="3445"/>
    </row>
    <row r="6" ht="15.6" spans="1:5">
      <c r="A6" s="3445"/>
      <c r="B6" s="3449"/>
      <c r="C6" s="3450" t="s">
        <v>98</v>
      </c>
      <c r="D6" s="3451" t="e">
        <f ca="1">NUMBERSTRING(INT(D5*10000),2)&amp;"元整"</f>
        <v>#REF!</v>
      </c>
      <c r="E6" s="3445"/>
    </row>
    <row r="7" ht="15.6" spans="1:5">
      <c r="A7" s="3445"/>
      <c r="B7" s="3452"/>
      <c r="C7" s="3453" t="s">
        <v>99</v>
      </c>
      <c r="D7" s="3454" t="e">
        <f ca="1">结果表!H102</f>
        <v>#REF!</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t="e">
        <f ca="1">结果表!H107</f>
        <v>#REF!</v>
      </c>
      <c r="E13" s="3445"/>
    </row>
    <row r="14" ht="15.6" spans="1:5">
      <c r="A14" s="3445"/>
      <c r="B14" s="3449"/>
      <c r="C14" s="3450" t="s">
        <v>98</v>
      </c>
      <c r="D14" s="3451" t="e">
        <f ca="1">NUMBERSTRING(INT(D13*10000),2)&amp;"元整"</f>
        <v>#REF!</v>
      </c>
      <c r="E14" s="3445"/>
    </row>
    <row r="15" ht="15.6" spans="1:5">
      <c r="A15" s="3445"/>
      <c r="B15" s="3452"/>
      <c r="C15" s="3453" t="s">
        <v>99</v>
      </c>
      <c r="D15" s="3464" t="e">
        <f ca="1">结果表!H108</f>
        <v>#REF!</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0.4" spans="1:7">
      <c r="A1" s="152" t="s">
        <v>2188</v>
      </c>
      <c r="B1" s="153"/>
      <c r="C1" s="154"/>
      <c r="D1" s="154"/>
      <c r="E1" s="154"/>
      <c r="F1" s="154"/>
      <c r="G1" s="155"/>
    </row>
    <row r="2" s="144" customFormat="1" ht="18" customHeight="1" spans="1:7">
      <c r="A2" s="156" t="s">
        <v>2189</v>
      </c>
      <c r="B2" s="157">
        <f ca="1">C52</f>
        <v>29247</v>
      </c>
      <c r="C2" s="158" t="s">
        <v>2190</v>
      </c>
      <c r="D2" s="155"/>
      <c r="E2" s="155"/>
      <c r="F2" s="155"/>
      <c r="G2" s="155"/>
    </row>
    <row r="3" s="144" customFormat="1" ht="18" customHeight="1" spans="1:7">
      <c r="A3" s="159" t="s">
        <v>2191</v>
      </c>
      <c r="B3" s="160">
        <f ca="1">ROUND(B2*10000/'数据-汇总表'!E3,0)</f>
        <v>104757</v>
      </c>
      <c r="C3" s="158" t="s">
        <v>2192</v>
      </c>
      <c r="D3" s="155"/>
      <c r="E3" s="155"/>
      <c r="F3" s="155"/>
      <c r="G3" s="155"/>
    </row>
    <row r="4" s="145" customFormat="1" ht="15.6" spans="1:7">
      <c r="A4" s="161" t="s">
        <v>2193</v>
      </c>
      <c r="B4" s="162"/>
      <c r="C4" s="162"/>
      <c r="D4" s="162"/>
      <c r="E4" s="162"/>
      <c r="F4" s="162"/>
      <c r="G4" s="163"/>
    </row>
    <row r="5" s="146" customFormat="1" ht="13.5" customHeight="1" spans="1:7">
      <c r="A5" s="164" t="s">
        <v>1035</v>
      </c>
      <c r="B5" s="165" t="s">
        <v>2194</v>
      </c>
      <c r="C5" s="166">
        <f>C6+C7+C8</f>
        <v>20610</v>
      </c>
      <c r="D5" s="166" t="s">
        <v>2195</v>
      </c>
      <c r="E5" s="167" t="s">
        <v>2196</v>
      </c>
      <c r="F5" s="167" t="s">
        <v>2197</v>
      </c>
      <c r="G5" s="168"/>
    </row>
    <row r="6" s="146" customFormat="1" ht="13.5" customHeight="1" spans="1:7">
      <c r="A6" s="169" t="s">
        <v>1039</v>
      </c>
      <c r="B6" s="170" t="s">
        <v>2198</v>
      </c>
      <c r="C6" s="171">
        <v>20000</v>
      </c>
      <c r="D6" s="172"/>
      <c r="E6" s="173"/>
      <c r="F6" s="173"/>
      <c r="G6" s="174"/>
    </row>
    <row r="7" s="146" customFormat="1" ht="13.5" customHeight="1" spans="1:7">
      <c r="A7" s="169" t="s">
        <v>1041</v>
      </c>
      <c r="B7" s="170" t="s">
        <v>2199</v>
      </c>
      <c r="C7" s="175">
        <f>ROUND(C6*F7,0)</f>
        <v>610</v>
      </c>
      <c r="D7" s="175"/>
      <c r="E7" s="173"/>
      <c r="F7" s="176">
        <f>'数据-取费表'!B48+'数据-取费表'!B49</f>
        <v>0.0305</v>
      </c>
      <c r="G7" s="174"/>
    </row>
    <row r="8" s="147" customFormat="1" spans="1:7">
      <c r="A8" s="169" t="s">
        <v>1043</v>
      </c>
      <c r="B8" s="170" t="s">
        <v>2200</v>
      </c>
      <c r="C8" s="175" t="str">
        <f>IF(G8="已包含在土地购买价格中","0",'数据-取费表'!B29)</f>
        <v>0</v>
      </c>
      <c r="D8" s="177"/>
      <c r="E8" s="175"/>
      <c r="F8" s="176"/>
      <c r="G8" s="178" t="s">
        <v>2201</v>
      </c>
    </row>
    <row r="9" s="146" customFormat="1" ht="13.5" customHeight="1" spans="1:7">
      <c r="A9" s="179" t="s">
        <v>1046</v>
      </c>
      <c r="B9" s="180" t="s">
        <v>2202</v>
      </c>
      <c r="C9" s="181">
        <f>ROUND(D9*E9/10000,0)</f>
        <v>0</v>
      </c>
      <c r="D9" s="182">
        <f>'数据-汇总表'!E5</f>
        <v>0</v>
      </c>
      <c r="E9" s="181">
        <f>'数据-取费表'!B27</f>
        <v>0</v>
      </c>
      <c r="F9" s="176"/>
      <c r="G9" s="183"/>
    </row>
    <row r="10" s="146" customFormat="1" ht="13.5" customHeight="1" spans="1:7">
      <c r="A10" s="179" t="s">
        <v>1050</v>
      </c>
      <c r="B10" s="180" t="s">
        <v>2203</v>
      </c>
      <c r="C10" s="181">
        <f>ROUND(D10*E10/10000,0)</f>
        <v>56</v>
      </c>
      <c r="D10" s="182">
        <f>'数据-汇总表'!E6</f>
        <v>2791.88</v>
      </c>
      <c r="E10" s="181">
        <f>'数据-取费表'!B28</f>
        <v>200</v>
      </c>
      <c r="F10" s="176"/>
      <c r="G10" s="183"/>
    </row>
    <row r="11" s="146" customFormat="1" ht="13.5" hidden="1" customHeight="1" spans="1:7">
      <c r="A11" s="184" t="s">
        <v>1052</v>
      </c>
      <c r="B11" s="170" t="s">
        <v>2204</v>
      </c>
      <c r="C11" s="166"/>
      <c r="D11" s="185"/>
      <c r="E11" s="173"/>
      <c r="F11" s="173"/>
      <c r="G11" s="174"/>
    </row>
    <row r="12" s="146" customFormat="1" ht="13.5" hidden="1" customHeight="1" spans="1:7">
      <c r="A12" s="184" t="s">
        <v>1054</v>
      </c>
      <c r="B12" s="170" t="s">
        <v>2205</v>
      </c>
      <c r="C12" s="166">
        <v>0</v>
      </c>
      <c r="D12" s="185"/>
      <c r="E12" s="186"/>
      <c r="F12" s="176">
        <v>0.0305</v>
      </c>
      <c r="G12" s="174"/>
    </row>
    <row r="13" s="146" customFormat="1" ht="13.5" hidden="1" customHeight="1" spans="1:7">
      <c r="A13" s="184" t="s">
        <v>1055</v>
      </c>
      <c r="B13" s="170" t="s">
        <v>2206</v>
      </c>
      <c r="C13" s="166"/>
      <c r="D13" s="185"/>
      <c r="E13" s="173"/>
      <c r="F13" s="173"/>
      <c r="G13" s="174"/>
    </row>
    <row r="14" s="146" customFormat="1" ht="13.5" hidden="1" customHeight="1" spans="1:7">
      <c r="A14" s="184" t="s">
        <v>1057</v>
      </c>
      <c r="B14" s="170" t="s">
        <v>2200</v>
      </c>
      <c r="C14" s="166"/>
      <c r="D14" s="185"/>
      <c r="E14" s="173"/>
      <c r="F14" s="173"/>
      <c r="G14" s="174" t="s">
        <v>2207</v>
      </c>
    </row>
    <row r="15" s="146" customFormat="1" ht="13.5" hidden="1" customHeight="1" spans="1:7">
      <c r="A15" s="184" t="s">
        <v>1059</v>
      </c>
      <c r="B15" s="170" t="s">
        <v>2208</v>
      </c>
      <c r="C15" s="175"/>
      <c r="D15" s="185"/>
      <c r="E15" s="173"/>
      <c r="F15" s="173"/>
      <c r="G15" s="174" t="s">
        <v>2209</v>
      </c>
    </row>
    <row r="16" s="146" customFormat="1" ht="13.5" hidden="1" customHeight="1" spans="1:7">
      <c r="A16" s="184" t="s">
        <v>1062</v>
      </c>
      <c r="B16" s="170" t="s">
        <v>2200</v>
      </c>
      <c r="C16" s="175"/>
      <c r="D16" s="185"/>
      <c r="E16" s="173"/>
      <c r="F16" s="173"/>
      <c r="G16" s="174"/>
    </row>
    <row r="17" s="146" customFormat="1" ht="13.5" hidden="1" customHeight="1" spans="1:7">
      <c r="A17" s="184" t="s">
        <v>1063</v>
      </c>
      <c r="B17" s="170" t="s">
        <v>2210</v>
      </c>
      <c r="C17" s="187"/>
      <c r="D17" s="188"/>
      <c r="E17" s="187"/>
      <c r="F17" s="187"/>
      <c r="G17" s="174" t="s">
        <v>2209</v>
      </c>
    </row>
    <row r="18" s="146" customFormat="1" ht="13.5" hidden="1" customHeight="1" spans="1:7">
      <c r="A18" s="184" t="s">
        <v>1065</v>
      </c>
      <c r="B18" s="170" t="s">
        <v>2211</v>
      </c>
      <c r="C18" s="175">
        <v>0</v>
      </c>
      <c r="D18" s="185"/>
      <c r="E18" s="173"/>
      <c r="F18" s="176">
        <v>0.0305</v>
      </c>
      <c r="G18" s="174" t="s">
        <v>2212</v>
      </c>
    </row>
    <row r="19" s="147" customFormat="1" ht="13.5" customHeight="1" spans="1:7">
      <c r="A19" s="189" t="s">
        <v>2213</v>
      </c>
      <c r="B19" s="165" t="s">
        <v>2214</v>
      </c>
      <c r="C19" s="166">
        <f>IF(G19="已包含在土地取得成本中","0",ROUND(D19*E19/10000,0))</f>
        <v>56</v>
      </c>
      <c r="D19" s="190">
        <f>'数据-汇总表'!E3</f>
        <v>2791.88</v>
      </c>
      <c r="E19" s="166">
        <f>'数据-取费表'!B31</f>
        <v>200</v>
      </c>
      <c r="F19" s="191"/>
      <c r="G19" s="178" t="s">
        <v>2215</v>
      </c>
    </row>
    <row r="20" s="146" customFormat="1" ht="13.5" customHeight="1" spans="1:7">
      <c r="A20" s="189" t="s">
        <v>2216</v>
      </c>
      <c r="B20" s="165" t="s">
        <v>2217</v>
      </c>
      <c r="C20" s="192">
        <f>ROUND((C5+C19)*F20,0)</f>
        <v>413</v>
      </c>
      <c r="D20" s="192"/>
      <c r="E20" s="192"/>
      <c r="F20" s="193">
        <f>'数据-取费表'!B37</f>
        <v>0.02</v>
      </c>
      <c r="G20" s="194" t="s">
        <v>2218</v>
      </c>
    </row>
    <row r="21" s="146" customFormat="1" ht="13.5" customHeight="1" spans="1:7">
      <c r="A21" s="189" t="s">
        <v>2219</v>
      </c>
      <c r="B21" s="165" t="s">
        <v>2220</v>
      </c>
      <c r="C21" s="195">
        <f>F21</f>
        <v>0.02</v>
      </c>
      <c r="D21" s="196" t="s">
        <v>2221</v>
      </c>
      <c r="E21" s="192"/>
      <c r="F21" s="193">
        <f>'数据-取费表'!B38</f>
        <v>0.02</v>
      </c>
      <c r="G21" s="197" t="s">
        <v>2222</v>
      </c>
    </row>
    <row r="22" s="146" customFormat="1" ht="13.5" customHeight="1" spans="1:7">
      <c r="A22" s="189" t="s">
        <v>2223</v>
      </c>
      <c r="B22" s="165" t="s">
        <v>2224</v>
      </c>
      <c r="C22" s="198">
        <f ca="1">ROUND(SUM(C23:C25),0)</f>
        <v>1768</v>
      </c>
      <c r="D22" s="195">
        <f ca="1">C26</f>
        <v>0.0008</v>
      </c>
      <c r="E22" s="196" t="s">
        <v>2221</v>
      </c>
      <c r="F22" s="199">
        <f ca="1">'数据-取费表'!B40</f>
        <v>0.0415</v>
      </c>
      <c r="G22" s="194" t="str">
        <f>IF('数据-取费表'!B22&lt;=1,"单利计息","复利计息")</f>
        <v>复利计息</v>
      </c>
    </row>
    <row r="23" s="146" customFormat="1" ht="13.5" customHeight="1" spans="1:7">
      <c r="A23" s="200" t="s">
        <v>1039</v>
      </c>
      <c r="B23" s="170" t="s">
        <v>2225</v>
      </c>
      <c r="C23" s="201">
        <f ca="1">ROUND(IF('数据-取费表'!B22&lt;=1,C5*F22*'数据-取费表'!B23,C5*(POWER((1+F22),'数据-取费表'!B23)-1)),0)</f>
        <v>1746</v>
      </c>
      <c r="D23" s="202"/>
      <c r="E23" s="202"/>
      <c r="F23" s="203"/>
      <c r="G23" s="204" t="s">
        <v>2226</v>
      </c>
    </row>
    <row r="24" s="146" customFormat="1" ht="13.5" customHeight="1" spans="1:7">
      <c r="A24" s="200" t="s">
        <v>1041</v>
      </c>
      <c r="B24" s="170" t="s">
        <v>2227</v>
      </c>
      <c r="C24" s="201">
        <f ca="1">ROUND(IF('数据-取费表'!B22&lt;=1,C19*F22*('数据-取费表'!B19/2+'数据-取费表'!B21),C19*(POWER((1+F22),('数据-取费表'!B19/2+'数据-取费表'!B21))-1)),0)</f>
        <v>5</v>
      </c>
      <c r="D24" s="202"/>
      <c r="E24" s="202"/>
      <c r="F24" s="203"/>
      <c r="G24" s="204" t="s">
        <v>2228</v>
      </c>
    </row>
    <row r="25" s="146" customFormat="1" ht="24" spans="1:7">
      <c r="A25" s="200" t="s">
        <v>1043</v>
      </c>
      <c r="B25" s="170" t="s">
        <v>2229</v>
      </c>
      <c r="C25" s="201">
        <f ca="1">ROUND(IF('数据-取费表'!B22&lt;=1,C20*F22*'数据-取费表'!B23/2,C20*(POWER((1+F22),'数据-取费表'!B23/2)-1)),0)</f>
        <v>17</v>
      </c>
      <c r="D25" s="202"/>
      <c r="E25" s="205"/>
      <c r="F25" s="203"/>
      <c r="G25" s="206" t="s">
        <v>2230</v>
      </c>
    </row>
    <row r="26" s="146" customFormat="1" spans="1:7">
      <c r="A26" s="200" t="s">
        <v>1086</v>
      </c>
      <c r="B26" s="170" t="s">
        <v>2231</v>
      </c>
      <c r="C26" s="202">
        <f ca="1">ROUND(IF('数据-取费表'!B22&lt;=1,F21*F22*'数据-取费表'!B23/2,F21*(POWER((1+F22),'数据-取费表'!B23/2)-1)),4)</f>
        <v>0.0008</v>
      </c>
      <c r="D26" s="202"/>
      <c r="E26" s="205"/>
      <c r="F26" s="203"/>
      <c r="G26" s="207"/>
    </row>
    <row r="27" s="146" customFormat="1" ht="26.4" spans="1:7">
      <c r="A27" s="189" t="s">
        <v>2232</v>
      </c>
      <c r="B27" s="208" t="s">
        <v>2233</v>
      </c>
      <c r="C27" s="209">
        <f>C28</f>
        <v>3162</v>
      </c>
      <c r="D27" s="195">
        <f>C29</f>
        <v>0.003</v>
      </c>
      <c r="E27" s="196" t="s">
        <v>2221</v>
      </c>
      <c r="F27" s="210">
        <f>'数据-取费表'!Q16</f>
        <v>0.15</v>
      </c>
      <c r="G27" s="211" t="s">
        <v>2234</v>
      </c>
    </row>
    <row r="28" s="146" customFormat="1" ht="13.5" customHeight="1" spans="1:7">
      <c r="A28" s="200" t="s">
        <v>1039</v>
      </c>
      <c r="B28" s="212" t="s">
        <v>2235</v>
      </c>
      <c r="C28" s="213">
        <f>ROUND((C5+C19+C20)*F27*'数据-取费表'!B21/'数据-取费表'!B20,0)</f>
        <v>3162</v>
      </c>
      <c r="D28" s="195"/>
      <c r="E28" s="196"/>
      <c r="F28" s="210"/>
      <c r="G28" s="211"/>
    </row>
    <row r="29" s="146" customFormat="1" ht="13.5" customHeight="1" spans="1:7">
      <c r="A29" s="200" t="s">
        <v>1041</v>
      </c>
      <c r="B29" s="212" t="s">
        <v>2236</v>
      </c>
      <c r="C29" s="202">
        <f>ROUND(C21*F27*'数据-取费表'!B21/'数据-取费表'!B20,4)</f>
        <v>0.003</v>
      </c>
      <c r="D29" s="195"/>
      <c r="E29" s="196"/>
      <c r="F29" s="210"/>
      <c r="G29" s="211"/>
    </row>
    <row r="30" s="146" customFormat="1" ht="13.5" customHeight="1" spans="1:7">
      <c r="A30" s="189" t="s">
        <v>2237</v>
      </c>
      <c r="B30" s="165" t="s">
        <v>2238</v>
      </c>
      <c r="C30" s="195">
        <f>F30</f>
        <v>0.056</v>
      </c>
      <c r="D30" s="196" t="s">
        <v>2239</v>
      </c>
      <c r="E30" s="205"/>
      <c r="F30" s="199">
        <f>'数据-取费表'!B41</f>
        <v>0.056</v>
      </c>
      <c r="G30" s="197" t="s">
        <v>2240</v>
      </c>
    </row>
    <row r="31" ht="16.5" customHeight="1" spans="1:7">
      <c r="A31" s="214">
        <v>1</v>
      </c>
      <c r="B31" s="165" t="s">
        <v>2241</v>
      </c>
      <c r="C31" s="166">
        <f ca="1">ROUND((C5+C19+C20+C22+C27)/(1-C21-D22-D27-C30/(1+'数据-取费表'!B42)),0)</f>
        <v>28183</v>
      </c>
      <c r="D31" s="215"/>
      <c r="E31" s="166"/>
      <c r="F31" s="216"/>
      <c r="G31" s="197" t="s">
        <v>2242</v>
      </c>
    </row>
    <row r="32" s="145" customFormat="1" ht="15.6" spans="1:7">
      <c r="A32" s="217" t="s">
        <v>2243</v>
      </c>
      <c r="B32" s="218"/>
      <c r="C32" s="218"/>
      <c r="D32" s="218"/>
      <c r="E32" s="218"/>
      <c r="F32" s="218"/>
      <c r="G32" s="219"/>
    </row>
    <row r="33" s="146" customFormat="1" ht="13.5" customHeight="1" spans="1:7">
      <c r="A33" s="164" t="s">
        <v>1035</v>
      </c>
      <c r="B33" s="165" t="s">
        <v>2244</v>
      </c>
      <c r="C33" s="220">
        <f>SUM(C34:C38)</f>
        <v>1077</v>
      </c>
      <c r="D33" s="192"/>
      <c r="E33" s="167"/>
      <c r="F33" s="205"/>
      <c r="G33" s="197"/>
    </row>
    <row r="34" s="148" customFormat="1" ht="13.5" customHeight="1" spans="1:7">
      <c r="A34" s="200" t="s">
        <v>1039</v>
      </c>
      <c r="B34" s="170" t="s">
        <v>2245</v>
      </c>
      <c r="C34" s="175">
        <f>IF(F34=100%,'数据-取费表'!M16-SUMIF('数据-取费表'!C:C,"公共配套",'数据-取费表'!M:M),'数据-取费表'!O16-SUMIF('数据-取费表'!C:C,"公共配套",'数据-取费表'!O:O))</f>
        <v>977</v>
      </c>
      <c r="D34" s="172"/>
      <c r="E34" s="175"/>
      <c r="F34" s="221">
        <f>IF('数据-取费表'!B24=0,1,'数据-取费表'!N16)</f>
        <v>1</v>
      </c>
      <c r="G34" s="174" t="s">
        <v>2246</v>
      </c>
    </row>
    <row r="35" ht="13.5" customHeight="1" spans="1:7">
      <c r="A35" s="200" t="s">
        <v>1041</v>
      </c>
      <c r="B35" s="170" t="s">
        <v>2247</v>
      </c>
      <c r="C35" s="175">
        <f>ROUND(C34*F35,0)</f>
        <v>29</v>
      </c>
      <c r="D35" s="175"/>
      <c r="E35" s="175"/>
      <c r="F35" s="222">
        <f>'数据-取费表'!B33</f>
        <v>0.03</v>
      </c>
      <c r="G35" s="174" t="s">
        <v>2248</v>
      </c>
    </row>
    <row r="36" ht="24" spans="1:7">
      <c r="A36" s="200" t="s">
        <v>1043</v>
      </c>
      <c r="B36" s="170" t="s">
        <v>2249</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2250</v>
      </c>
    </row>
    <row r="37" s="148" customFormat="1" ht="13.5" customHeight="1" spans="1:7">
      <c r="A37" s="200" t="s">
        <v>1086</v>
      </c>
      <c r="B37" s="170" t="s">
        <v>2251</v>
      </c>
      <c r="C37" s="213">
        <f>ROUND(E37*D37*F34/10000,0)</f>
        <v>56</v>
      </c>
      <c r="D37" s="172">
        <f>'数据-汇总表'!E3</f>
        <v>2791.88</v>
      </c>
      <c r="E37" s="213">
        <f>'数据-取费表'!B35</f>
        <v>200</v>
      </c>
      <c r="F37" s="222"/>
      <c r="G37" s="224" t="s">
        <v>2252</v>
      </c>
    </row>
    <row r="38" ht="13.5" customHeight="1" spans="1:7">
      <c r="A38" s="200" t="s">
        <v>1108</v>
      </c>
      <c r="B38" s="170" t="s">
        <v>2205</v>
      </c>
      <c r="C38" s="175">
        <f>ROUND(C34*F38,0)</f>
        <v>15</v>
      </c>
      <c r="D38" s="175"/>
      <c r="E38" s="175"/>
      <c r="F38" s="222">
        <f>'数据-取费表'!B36</f>
        <v>0.015</v>
      </c>
      <c r="G38" s="174" t="s">
        <v>2248</v>
      </c>
    </row>
    <row r="39" s="146" customFormat="1" ht="13.5" customHeight="1" spans="1:7">
      <c r="A39" s="189" t="s">
        <v>2213</v>
      </c>
      <c r="B39" s="165" t="s">
        <v>2217</v>
      </c>
      <c r="C39" s="192">
        <f>ROUND(C33*F20,0)</f>
        <v>22</v>
      </c>
      <c r="D39" s="192"/>
      <c r="E39" s="192"/>
      <c r="F39" s="193"/>
      <c r="G39" s="194" t="s">
        <v>2253</v>
      </c>
    </row>
    <row r="40" s="146" customFormat="1" ht="13.5" customHeight="1" spans="1:7">
      <c r="A40" s="189" t="s">
        <v>2216</v>
      </c>
      <c r="B40" s="165" t="s">
        <v>2220</v>
      </c>
      <c r="C40" s="225">
        <f>F21</f>
        <v>0.02</v>
      </c>
      <c r="D40" s="196" t="s">
        <v>2254</v>
      </c>
      <c r="E40" s="192"/>
      <c r="F40" s="193"/>
      <c r="G40" s="197" t="s">
        <v>2255</v>
      </c>
    </row>
    <row r="41" s="146" customFormat="1" ht="13.5" customHeight="1" spans="1:7">
      <c r="A41" s="189" t="s">
        <v>2219</v>
      </c>
      <c r="B41" s="165" t="s">
        <v>2224</v>
      </c>
      <c r="C41" s="192">
        <f ca="1">ROUND(SUM(C42:C43),0)</f>
        <v>46</v>
      </c>
      <c r="D41" s="195">
        <f ca="1">C44</f>
        <v>0.0008</v>
      </c>
      <c r="E41" s="196" t="s">
        <v>2254</v>
      </c>
      <c r="F41" s="199"/>
      <c r="G41" s="194" t="str">
        <f>IF('数据-取费表'!B22&lt;=1,"单利计息","复利计息")</f>
        <v>复利计息</v>
      </c>
    </row>
    <row r="42" ht="13.5" customHeight="1" spans="1:7">
      <c r="A42" s="200" t="s">
        <v>1039</v>
      </c>
      <c r="B42" s="170" t="s">
        <v>2225</v>
      </c>
      <c r="C42" s="202">
        <f ca="1">ROUND(IF('数据-取费表'!B22&lt;=1,C33*F22*'数据-取费表'!B21/2,C33*(POWER((1+F22),'数据-取费表'!B21/2)-1)),0)</f>
        <v>45</v>
      </c>
      <c r="D42" s="202"/>
      <c r="E42" s="202"/>
      <c r="F42" s="203"/>
      <c r="G42" s="226" t="s">
        <v>2256</v>
      </c>
    </row>
    <row r="43" ht="13.5" customHeight="1" spans="1:7">
      <c r="A43" s="200" t="s">
        <v>1041</v>
      </c>
      <c r="B43" s="170" t="s">
        <v>2227</v>
      </c>
      <c r="C43" s="202">
        <f ca="1">ROUND(IF('数据-取费表'!B22&lt;=1,C39*F22*'数据-取费表'!B21/2,C39*(POWER((1+F22),'数据-取费表'!B21/2)-1)),0)</f>
        <v>1</v>
      </c>
      <c r="D43" s="202"/>
      <c r="E43" s="202"/>
      <c r="F43" s="203"/>
      <c r="G43" s="227"/>
    </row>
    <row r="44" ht="13.5" customHeight="1" spans="1:7">
      <c r="A44" s="200" t="s">
        <v>1043</v>
      </c>
      <c r="B44" s="170" t="s">
        <v>2229</v>
      </c>
      <c r="C44" s="202">
        <f ca="1">ROUND(IF('数据-取费表'!B22&lt;=1,C40*F22*'数据-取费表'!B21/2,C40*(POWER((1+F22),'数据-取费表'!B21/2)-1)),4)</f>
        <v>0.0008</v>
      </c>
      <c r="D44" s="202"/>
      <c r="E44" s="202"/>
      <c r="F44" s="203"/>
      <c r="G44" s="228"/>
    </row>
    <row r="45" s="146" customFormat="1" ht="13.5" customHeight="1" spans="1:7">
      <c r="A45" s="189" t="s">
        <v>2223</v>
      </c>
      <c r="B45" s="208" t="s">
        <v>2233</v>
      </c>
      <c r="C45" s="209">
        <f>C46</f>
        <v>165</v>
      </c>
      <c r="D45" s="195">
        <f>C47</f>
        <v>0.003</v>
      </c>
      <c r="E45" s="196" t="s">
        <v>2254</v>
      </c>
      <c r="F45" s="210"/>
      <c r="G45" s="211" t="s">
        <v>2257</v>
      </c>
    </row>
    <row r="46" s="146" customFormat="1" ht="13.5" customHeight="1" spans="1:7">
      <c r="A46" s="200" t="s">
        <v>1039</v>
      </c>
      <c r="B46" s="212" t="s">
        <v>2258</v>
      </c>
      <c r="C46" s="213">
        <f>ROUND((C33+C39)*F27,0)</f>
        <v>165</v>
      </c>
      <c r="D46" s="229"/>
      <c r="E46" s="196"/>
      <c r="F46" s="210"/>
      <c r="G46" s="211"/>
    </row>
    <row r="47" s="146" customFormat="1" ht="13.5" customHeight="1" spans="1:7">
      <c r="A47" s="200" t="s">
        <v>1041</v>
      </c>
      <c r="B47" s="212" t="s">
        <v>2259</v>
      </c>
      <c r="C47" s="202">
        <f>ROUND(C40*F27,4)</f>
        <v>0.003</v>
      </c>
      <c r="D47" s="229"/>
      <c r="E47" s="196"/>
      <c r="F47" s="210"/>
      <c r="G47" s="211"/>
    </row>
    <row r="48" s="146" customFormat="1" ht="13.5" customHeight="1" spans="1:7">
      <c r="A48" s="189" t="s">
        <v>2232</v>
      </c>
      <c r="B48" s="165" t="s">
        <v>2238</v>
      </c>
      <c r="C48" s="225">
        <f>F30</f>
        <v>0.056</v>
      </c>
      <c r="D48" s="196" t="s">
        <v>2260</v>
      </c>
      <c r="E48" s="192"/>
      <c r="F48" s="199"/>
      <c r="G48" s="197" t="s">
        <v>2261</v>
      </c>
    </row>
    <row r="49" ht="16.5" customHeight="1" spans="1:7">
      <c r="A49" s="189" t="s">
        <v>2237</v>
      </c>
      <c r="B49" s="165" t="s">
        <v>2262</v>
      </c>
      <c r="C49" s="192">
        <f ca="1">ROUND((C33+C39+C41+C45)/(1-C40-D41-D45-C48/(1+'数据-取费表'!B42)),0)</f>
        <v>1419</v>
      </c>
      <c r="D49" s="192"/>
      <c r="E49" s="192"/>
      <c r="F49" s="230"/>
      <c r="G49" s="197" t="s">
        <v>2263</v>
      </c>
    </row>
    <row r="50" s="148" customFormat="1" ht="24" spans="1:7">
      <c r="A50" s="189" t="s">
        <v>2264</v>
      </c>
      <c r="B50" s="165" t="s">
        <v>2265</v>
      </c>
      <c r="C50" s="192"/>
      <c r="D50" s="192"/>
      <c r="E50" s="192"/>
      <c r="F50" s="230">
        <f>IF('数据-取费表'!B24=0,'数据-取费表'!N16,1)</f>
        <v>0.75</v>
      </c>
      <c r="G50" s="211" t="s">
        <v>2266</v>
      </c>
    </row>
    <row r="51" ht="16.5" customHeight="1" spans="1:7">
      <c r="A51" s="189" t="s">
        <v>2267</v>
      </c>
      <c r="B51" s="165" t="s">
        <v>2268</v>
      </c>
      <c r="C51" s="192">
        <f ca="1">ROUND(C49*F50,0)</f>
        <v>1064</v>
      </c>
      <c r="D51" s="192"/>
      <c r="E51" s="192"/>
      <c r="F51" s="230"/>
      <c r="G51" s="197" t="s">
        <v>2269</v>
      </c>
    </row>
    <row r="52" s="145" customFormat="1" ht="16.35" spans="1:7">
      <c r="A52" s="231" t="s">
        <v>2270</v>
      </c>
      <c r="B52" s="232"/>
      <c r="C52" s="233">
        <f ca="1">C31+C51</f>
        <v>29247</v>
      </c>
      <c r="D52" s="232"/>
      <c r="E52" s="232"/>
      <c r="F52" s="232"/>
      <c r="G52" s="234"/>
    </row>
    <row r="55" ht="15" spans="2:3">
      <c r="B55" s="235" t="s">
        <v>2271</v>
      </c>
      <c r="C55" s="236"/>
    </row>
    <row r="56" spans="2:3">
      <c r="B56" s="237" t="s">
        <v>2272</v>
      </c>
      <c r="C56" s="238">
        <f ca="1">ROUND(C51/C52,3)</f>
        <v>0.036</v>
      </c>
    </row>
    <row r="57" spans="2:3">
      <c r="B57" s="237" t="s">
        <v>2273</v>
      </c>
      <c r="C57" s="239">
        <f ca="1">1-C56</f>
        <v>0.964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0" customWidth="1"/>
    <col min="2" max="5" width="10.2222222222222" style="91" customWidth="1"/>
    <col min="6" max="6" width="9" style="91"/>
    <col min="7" max="8" width="9" style="122"/>
    <col min="9" max="16384" width="9" style="91"/>
  </cols>
  <sheetData>
    <row r="1" spans="1:19">
      <c r="A1" s="92" t="s">
        <v>2274</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2275</v>
      </c>
      <c r="B2" s="124"/>
      <c r="C2" s="124"/>
      <c r="D2" s="124"/>
      <c r="E2" s="124"/>
      <c r="F2" s="124"/>
      <c r="H2" s="125" t="s">
        <v>2276</v>
      </c>
      <c r="I2" s="100" t="s">
        <v>2277</v>
      </c>
      <c r="J2" s="100" t="s">
        <v>2278</v>
      </c>
      <c r="K2" s="100" t="s">
        <v>2279</v>
      </c>
      <c r="L2" s="100" t="s">
        <v>2280</v>
      </c>
      <c r="M2" s="100" t="s">
        <v>2281</v>
      </c>
      <c r="N2" s="100" t="s">
        <v>2282</v>
      </c>
      <c r="O2" s="100" t="s">
        <v>2283</v>
      </c>
      <c r="P2" s="100" t="s">
        <v>2284</v>
      </c>
      <c r="Q2" s="100" t="s">
        <v>2285</v>
      </c>
      <c r="R2" s="100" t="s">
        <v>2286</v>
      </c>
      <c r="S2" s="100" t="s">
        <v>2287</v>
      </c>
    </row>
    <row r="3" s="121" customFormat="1" ht="19.5" customHeight="1" spans="1:19">
      <c r="A3" s="126" t="s">
        <v>2288</v>
      </c>
      <c r="B3" s="127"/>
      <c r="C3" s="128" t="s">
        <v>1830</v>
      </c>
      <c r="D3" s="128" t="s">
        <v>454</v>
      </c>
      <c r="E3" s="128" t="s">
        <v>1831</v>
      </c>
      <c r="F3" s="128" t="s">
        <v>1832</v>
      </c>
      <c r="G3" s="129"/>
      <c r="H3" s="125" t="s">
        <v>2289</v>
      </c>
      <c r="I3" s="100" t="s">
        <v>2290</v>
      </c>
      <c r="J3" s="100" t="s">
        <v>2291</v>
      </c>
      <c r="K3" s="100" t="s">
        <v>2292</v>
      </c>
      <c r="L3" s="100" t="s">
        <v>2293</v>
      </c>
      <c r="M3" s="100" t="s">
        <v>2294</v>
      </c>
      <c r="N3" s="100" t="s">
        <v>2295</v>
      </c>
      <c r="O3" s="100" t="s">
        <v>2296</v>
      </c>
      <c r="P3" s="100" t="s">
        <v>2297</v>
      </c>
      <c r="Q3" s="100" t="s">
        <v>2298</v>
      </c>
      <c r="R3" s="100" t="s">
        <v>2299</v>
      </c>
      <c r="S3" s="100" t="s">
        <v>2300</v>
      </c>
    </row>
    <row r="4" s="121" customFormat="1" ht="19.5" customHeight="1" spans="1:19">
      <c r="A4" s="130"/>
      <c r="B4" s="131" t="s">
        <v>2301</v>
      </c>
      <c r="C4" s="131" t="s">
        <v>2302</v>
      </c>
      <c r="D4" s="131" t="s">
        <v>2302</v>
      </c>
      <c r="E4" s="131" t="s">
        <v>2302</v>
      </c>
      <c r="F4" s="132" t="s">
        <v>2302</v>
      </c>
      <c r="G4" s="129"/>
      <c r="H4" s="125" t="s">
        <v>2303</v>
      </c>
      <c r="I4" s="100" t="s">
        <v>2304</v>
      </c>
      <c r="J4" s="100" t="s">
        <v>2305</v>
      </c>
      <c r="K4" s="100" t="s">
        <v>2306</v>
      </c>
      <c r="L4" s="100" t="s">
        <v>2307</v>
      </c>
      <c r="M4" s="100" t="s">
        <v>2308</v>
      </c>
      <c r="N4" s="100" t="s">
        <v>2309</v>
      </c>
      <c r="O4" s="100" t="s">
        <v>2310</v>
      </c>
      <c r="P4" s="100" t="s">
        <v>2311</v>
      </c>
      <c r="Q4" s="100" t="s">
        <v>2312</v>
      </c>
      <c r="R4" s="100" t="s">
        <v>2313</v>
      </c>
      <c r="S4" s="100" t="s">
        <v>2314</v>
      </c>
    </row>
    <row r="5" ht="14.25" customHeight="1" spans="1:19">
      <c r="A5" s="96" t="s">
        <v>230</v>
      </c>
      <c r="B5" s="97" t="s">
        <v>2276</v>
      </c>
      <c r="C5" s="97">
        <v>29530</v>
      </c>
      <c r="D5" s="97">
        <v>28130</v>
      </c>
      <c r="E5" s="97">
        <v>27930</v>
      </c>
      <c r="F5" s="133">
        <v>11300</v>
      </c>
      <c r="G5" s="129"/>
      <c r="H5" s="125" t="s">
        <v>2315</v>
      </c>
      <c r="I5" s="100" t="s">
        <v>2316</v>
      </c>
      <c r="J5" s="100" t="s">
        <v>2317</v>
      </c>
      <c r="K5" s="100" t="s">
        <v>2318</v>
      </c>
      <c r="L5" s="100" t="s">
        <v>2319</v>
      </c>
      <c r="M5" s="100" t="s">
        <v>2320</v>
      </c>
      <c r="N5" s="100" t="s">
        <v>2321</v>
      </c>
      <c r="O5" s="100" t="s">
        <v>2322</v>
      </c>
      <c r="P5" s="100" t="s">
        <v>2323</v>
      </c>
      <c r="Q5" s="100" t="s">
        <v>2324</v>
      </c>
      <c r="R5" s="100" t="s">
        <v>2325</v>
      </c>
      <c r="S5" s="100" t="s">
        <v>2326</v>
      </c>
    </row>
    <row r="6" ht="14.25" customHeight="1" spans="1:19">
      <c r="A6" s="96" t="s">
        <v>230</v>
      </c>
      <c r="B6" s="100" t="s">
        <v>2289</v>
      </c>
      <c r="C6" s="100">
        <v>30290</v>
      </c>
      <c r="D6" s="100">
        <v>29210</v>
      </c>
      <c r="E6" s="100">
        <v>28860</v>
      </c>
      <c r="F6" s="134">
        <v>12600</v>
      </c>
      <c r="G6" s="129"/>
      <c r="H6" s="125" t="s">
        <v>2327</v>
      </c>
      <c r="I6" s="100" t="s">
        <v>2328</v>
      </c>
      <c r="J6" s="100" t="s">
        <v>2329</v>
      </c>
      <c r="K6" s="100" t="s">
        <v>2330</v>
      </c>
      <c r="L6" s="100" t="s">
        <v>2331</v>
      </c>
      <c r="M6" s="100" t="s">
        <v>2332</v>
      </c>
      <c r="N6" s="100" t="s">
        <v>2333</v>
      </c>
      <c r="O6" s="100" t="s">
        <v>2334</v>
      </c>
      <c r="P6" s="100" t="s">
        <v>2335</v>
      </c>
      <c r="Q6" s="100" t="s">
        <v>2336</v>
      </c>
      <c r="R6" s="100" t="s">
        <v>2337</v>
      </c>
      <c r="S6" s="100" t="s">
        <v>2338</v>
      </c>
    </row>
    <row r="7" ht="14.25" customHeight="1" spans="1:19">
      <c r="A7" s="96" t="s">
        <v>230</v>
      </c>
      <c r="B7" s="103" t="s">
        <v>2303</v>
      </c>
      <c r="C7" s="100">
        <v>29350</v>
      </c>
      <c r="D7" s="100">
        <v>28410</v>
      </c>
      <c r="E7" s="100">
        <v>27990</v>
      </c>
      <c r="F7" s="134">
        <v>12300</v>
      </c>
      <c r="G7" s="129"/>
      <c r="I7" s="100" t="s">
        <v>2339</v>
      </c>
      <c r="J7" s="100" t="s">
        <v>2340</v>
      </c>
      <c r="K7" s="100" t="s">
        <v>2341</v>
      </c>
      <c r="L7" s="100" t="s">
        <v>2342</v>
      </c>
      <c r="M7" s="100" t="s">
        <v>2343</v>
      </c>
      <c r="N7" s="100" t="s">
        <v>2344</v>
      </c>
      <c r="O7" s="100" t="s">
        <v>2345</v>
      </c>
      <c r="P7" s="100" t="s">
        <v>2346</v>
      </c>
      <c r="Q7" s="100" t="s">
        <v>2347</v>
      </c>
      <c r="R7" s="100" t="s">
        <v>2348</v>
      </c>
      <c r="S7" s="103" t="s">
        <v>2349</v>
      </c>
    </row>
    <row r="8" ht="14.25" customHeight="1" spans="1:19">
      <c r="A8" s="96" t="s">
        <v>230</v>
      </c>
      <c r="B8" s="100" t="s">
        <v>2315</v>
      </c>
      <c r="C8" s="100">
        <v>30890</v>
      </c>
      <c r="D8" s="100">
        <v>29780</v>
      </c>
      <c r="E8" s="100">
        <v>29270</v>
      </c>
      <c r="F8" s="134">
        <v>11600</v>
      </c>
      <c r="G8" s="129"/>
      <c r="I8" s="100" t="s">
        <v>2350</v>
      </c>
      <c r="J8" s="100" t="s">
        <v>2351</v>
      </c>
      <c r="K8" s="100" t="s">
        <v>2352</v>
      </c>
      <c r="L8" s="100" t="s">
        <v>2353</v>
      </c>
      <c r="M8" s="100" t="s">
        <v>2354</v>
      </c>
      <c r="N8" s="100" t="s">
        <v>2355</v>
      </c>
      <c r="O8" s="100" t="s">
        <v>2356</v>
      </c>
      <c r="P8" s="100" t="s">
        <v>2357</v>
      </c>
      <c r="Q8" s="100" t="s">
        <v>2358</v>
      </c>
      <c r="R8" s="100" t="s">
        <v>2359</v>
      </c>
      <c r="S8" s="100" t="s">
        <v>2360</v>
      </c>
    </row>
    <row r="9" ht="14.25" customHeight="1" spans="1:18">
      <c r="A9" s="96" t="s">
        <v>230</v>
      </c>
      <c r="B9" s="105" t="s">
        <v>2327</v>
      </c>
      <c r="C9" s="111">
        <v>28140</v>
      </c>
      <c r="D9" s="111"/>
      <c r="E9" s="111"/>
      <c r="F9" s="135"/>
      <c r="G9" s="129"/>
      <c r="I9" s="100" t="s">
        <v>2361</v>
      </c>
      <c r="J9" s="100" t="s">
        <v>2362</v>
      </c>
      <c r="K9" s="100" t="s">
        <v>2363</v>
      </c>
      <c r="L9" s="100" t="s">
        <v>2364</v>
      </c>
      <c r="M9" s="100" t="s">
        <v>2365</v>
      </c>
      <c r="N9" s="100" t="s">
        <v>2366</v>
      </c>
      <c r="O9" s="100" t="s">
        <v>2367</v>
      </c>
      <c r="P9" s="100" t="s">
        <v>2368</v>
      </c>
      <c r="Q9" s="100" t="s">
        <v>2369</v>
      </c>
      <c r="R9" s="100" t="s">
        <v>2370</v>
      </c>
    </row>
    <row r="10" ht="14.25" customHeight="1" spans="1:18">
      <c r="A10" s="96" t="s">
        <v>241</v>
      </c>
      <c r="B10" s="97" t="s">
        <v>2277</v>
      </c>
      <c r="C10" s="97">
        <v>27450</v>
      </c>
      <c r="D10" s="97">
        <v>26180</v>
      </c>
      <c r="E10" s="97">
        <v>25980</v>
      </c>
      <c r="F10" s="133">
        <v>8910</v>
      </c>
      <c r="G10" s="129"/>
      <c r="I10" s="100" t="s">
        <v>2371</v>
      </c>
      <c r="J10" s="100" t="s">
        <v>2372</v>
      </c>
      <c r="K10" s="100" t="s">
        <v>2373</v>
      </c>
      <c r="L10" s="100" t="s">
        <v>2374</v>
      </c>
      <c r="M10" s="100" t="s">
        <v>2375</v>
      </c>
      <c r="N10" s="100" t="s">
        <v>2376</v>
      </c>
      <c r="O10" s="100" t="s">
        <v>2377</v>
      </c>
      <c r="P10" s="100" t="s">
        <v>2378</v>
      </c>
      <c r="Q10" s="100" t="s">
        <v>2379</v>
      </c>
      <c r="R10" s="100" t="s">
        <v>2380</v>
      </c>
    </row>
    <row r="11" ht="14.25" customHeight="1" spans="1:18">
      <c r="A11" s="96" t="s">
        <v>241</v>
      </c>
      <c r="B11" s="103" t="s">
        <v>2290</v>
      </c>
      <c r="C11" s="100">
        <v>22950</v>
      </c>
      <c r="D11" s="100">
        <v>22630</v>
      </c>
      <c r="E11" s="100">
        <v>22030</v>
      </c>
      <c r="F11" s="136">
        <v>8330</v>
      </c>
      <c r="G11" s="129"/>
      <c r="I11" s="100" t="s">
        <v>2381</v>
      </c>
      <c r="J11" s="100" t="s">
        <v>2382</v>
      </c>
      <c r="K11" s="100" t="s">
        <v>2383</v>
      </c>
      <c r="L11" s="100" t="s">
        <v>2384</v>
      </c>
      <c r="M11" s="100" t="s">
        <v>2385</v>
      </c>
      <c r="N11" s="100" t="s">
        <v>2386</v>
      </c>
      <c r="O11" s="100" t="s">
        <v>2387</v>
      </c>
      <c r="P11" s="100" t="s">
        <v>2388</v>
      </c>
      <c r="Q11" s="100" t="s">
        <v>2389</v>
      </c>
      <c r="R11" s="100" t="s">
        <v>2390</v>
      </c>
    </row>
    <row r="12" ht="14.25" customHeight="1" spans="1:18">
      <c r="A12" s="96" t="s">
        <v>241</v>
      </c>
      <c r="B12" s="103" t="s">
        <v>2304</v>
      </c>
      <c r="C12" s="100">
        <v>24940</v>
      </c>
      <c r="D12" s="100">
        <v>23180</v>
      </c>
      <c r="E12" s="100">
        <v>22910</v>
      </c>
      <c r="F12" s="136">
        <v>7180</v>
      </c>
      <c r="G12" s="129"/>
      <c r="I12" s="100" t="s">
        <v>2391</v>
      </c>
      <c r="J12" s="100" t="s">
        <v>2392</v>
      </c>
      <c r="K12" s="100" t="s">
        <v>2393</v>
      </c>
      <c r="L12" s="100" t="s">
        <v>2394</v>
      </c>
      <c r="M12" s="100" t="s">
        <v>2395</v>
      </c>
      <c r="N12" s="100" t="s">
        <v>2396</v>
      </c>
      <c r="O12" s="100" t="s">
        <v>2397</v>
      </c>
      <c r="P12" s="100" t="s">
        <v>2398</v>
      </c>
      <c r="Q12" s="100" t="s">
        <v>2399</v>
      </c>
      <c r="R12" s="100" t="s">
        <v>2400</v>
      </c>
    </row>
    <row r="13" ht="14.25" customHeight="1" spans="1:18">
      <c r="A13" s="96" t="s">
        <v>241</v>
      </c>
      <c r="B13" s="103" t="s">
        <v>2316</v>
      </c>
      <c r="C13" s="100">
        <v>24140</v>
      </c>
      <c r="D13" s="100">
        <v>22270</v>
      </c>
      <c r="E13" s="100">
        <v>21950</v>
      </c>
      <c r="F13" s="136">
        <v>7600</v>
      </c>
      <c r="G13" s="129"/>
      <c r="I13" s="100" t="s">
        <v>2401</v>
      </c>
      <c r="J13" s="100" t="s">
        <v>2402</v>
      </c>
      <c r="K13" s="100" t="s">
        <v>2403</v>
      </c>
      <c r="L13" s="100" t="s">
        <v>2404</v>
      </c>
      <c r="M13" s="100" t="s">
        <v>2405</v>
      </c>
      <c r="N13" s="100" t="s">
        <v>2406</v>
      </c>
      <c r="O13" s="100" t="s">
        <v>2407</v>
      </c>
      <c r="P13" s="100" t="s">
        <v>2408</v>
      </c>
      <c r="Q13" s="100" t="s">
        <v>2409</v>
      </c>
      <c r="R13" s="100" t="s">
        <v>2410</v>
      </c>
    </row>
    <row r="14" ht="14.25" customHeight="1" spans="1:18">
      <c r="A14" s="96" t="s">
        <v>241</v>
      </c>
      <c r="B14" s="103" t="s">
        <v>2328</v>
      </c>
      <c r="C14" s="100">
        <v>25600</v>
      </c>
      <c r="D14" s="100">
        <v>22260</v>
      </c>
      <c r="E14" s="100">
        <v>22110</v>
      </c>
      <c r="F14" s="136">
        <v>7630</v>
      </c>
      <c r="G14" s="129"/>
      <c r="I14" s="100" t="s">
        <v>2411</v>
      </c>
      <c r="J14" s="100" t="s">
        <v>2412</v>
      </c>
      <c r="K14" s="100" t="s">
        <v>2413</v>
      </c>
      <c r="L14" s="100" t="s">
        <v>2414</v>
      </c>
      <c r="M14" s="100" t="s">
        <v>2415</v>
      </c>
      <c r="N14" s="100" t="s">
        <v>2416</v>
      </c>
      <c r="O14" s="100" t="s">
        <v>2417</v>
      </c>
      <c r="P14" s="100" t="s">
        <v>2418</v>
      </c>
      <c r="Q14" s="100" t="s">
        <v>2419</v>
      </c>
      <c r="R14" s="100" t="s">
        <v>2420</v>
      </c>
    </row>
    <row r="15" ht="14.25" customHeight="1" spans="1:18">
      <c r="A15" s="96" t="s">
        <v>241</v>
      </c>
      <c r="B15" s="103" t="s">
        <v>2339</v>
      </c>
      <c r="C15" s="100">
        <v>24760</v>
      </c>
      <c r="D15" s="100">
        <v>24440</v>
      </c>
      <c r="E15" s="100">
        <v>24130</v>
      </c>
      <c r="F15" s="136">
        <v>9480</v>
      </c>
      <c r="G15" s="129"/>
      <c r="I15" s="100" t="s">
        <v>2421</v>
      </c>
      <c r="J15" s="100" t="s">
        <v>2422</v>
      </c>
      <c r="K15" s="100" t="s">
        <v>2423</v>
      </c>
      <c r="L15" s="100" t="s">
        <v>2424</v>
      </c>
      <c r="M15" s="100" t="s">
        <v>2425</v>
      </c>
      <c r="N15" s="100" t="s">
        <v>2426</v>
      </c>
      <c r="O15" s="100" t="s">
        <v>2427</v>
      </c>
      <c r="P15" s="100" t="s">
        <v>2428</v>
      </c>
      <c r="Q15" s="100" t="s">
        <v>2429</v>
      </c>
      <c r="R15" s="100" t="s">
        <v>2430</v>
      </c>
    </row>
    <row r="16" ht="14.25" customHeight="1" spans="1:18">
      <c r="A16" s="96" t="s">
        <v>241</v>
      </c>
      <c r="B16" s="103" t="s">
        <v>2350</v>
      </c>
      <c r="C16" s="100">
        <v>22220</v>
      </c>
      <c r="D16" s="100">
        <v>22310</v>
      </c>
      <c r="E16" s="100">
        <v>22000</v>
      </c>
      <c r="F16" s="136">
        <v>8900</v>
      </c>
      <c r="G16" s="129"/>
      <c r="I16" s="100" t="s">
        <v>2431</v>
      </c>
      <c r="J16" s="100" t="s">
        <v>2432</v>
      </c>
      <c r="K16" s="100" t="s">
        <v>2433</v>
      </c>
      <c r="L16" s="100" t="s">
        <v>2434</v>
      </c>
      <c r="M16" s="100" t="s">
        <v>2435</v>
      </c>
      <c r="N16" s="100" t="s">
        <v>2436</v>
      </c>
      <c r="O16" s="100" t="s">
        <v>2437</v>
      </c>
      <c r="P16" s="100" t="s">
        <v>2438</v>
      </c>
      <c r="Q16" s="100" t="s">
        <v>2439</v>
      </c>
      <c r="R16" s="100" t="s">
        <v>2440</v>
      </c>
    </row>
    <row r="17" ht="14.25" customHeight="1" spans="1:18">
      <c r="A17" s="96" t="s">
        <v>241</v>
      </c>
      <c r="B17" s="103" t="s">
        <v>2361</v>
      </c>
      <c r="C17" s="100">
        <v>24700</v>
      </c>
      <c r="D17" s="100">
        <v>25150</v>
      </c>
      <c r="E17" s="100">
        <v>24700</v>
      </c>
      <c r="F17" s="137"/>
      <c r="G17" s="129"/>
      <c r="I17" s="100" t="s">
        <v>2441</v>
      </c>
      <c r="J17" s="100" t="s">
        <v>2442</v>
      </c>
      <c r="K17" s="100" t="s">
        <v>2443</v>
      </c>
      <c r="L17" s="100" t="s">
        <v>2444</v>
      </c>
      <c r="M17" s="100" t="s">
        <v>2445</v>
      </c>
      <c r="N17" s="100" t="s">
        <v>2446</v>
      </c>
      <c r="O17" s="100" t="s">
        <v>2447</v>
      </c>
      <c r="P17" s="100" t="s">
        <v>2448</v>
      </c>
      <c r="Q17" s="100" t="s">
        <v>2449</v>
      </c>
      <c r="R17" s="100" t="s">
        <v>2450</v>
      </c>
    </row>
    <row r="18" ht="14.25" customHeight="1" spans="1:18">
      <c r="A18" s="96" t="s">
        <v>241</v>
      </c>
      <c r="B18" s="103" t="s">
        <v>2371</v>
      </c>
      <c r="C18" s="100">
        <v>22350</v>
      </c>
      <c r="D18" s="100">
        <v>24340</v>
      </c>
      <c r="E18" s="100">
        <v>24100</v>
      </c>
      <c r="F18" s="137"/>
      <c r="G18" s="129"/>
      <c r="I18" s="100" t="s">
        <v>2451</v>
      </c>
      <c r="J18" s="100" t="s">
        <v>2452</v>
      </c>
      <c r="K18" s="100" t="s">
        <v>2453</v>
      </c>
      <c r="L18" s="100" t="s">
        <v>2454</v>
      </c>
      <c r="M18" s="100" t="s">
        <v>2455</v>
      </c>
      <c r="N18" s="100" t="s">
        <v>2456</v>
      </c>
      <c r="O18" s="100" t="s">
        <v>2457</v>
      </c>
      <c r="P18" s="100" t="s">
        <v>2458</v>
      </c>
      <c r="Q18" s="100" t="s">
        <v>2459</v>
      </c>
      <c r="R18" s="100" t="s">
        <v>2460</v>
      </c>
    </row>
    <row r="19" ht="14.25" customHeight="1" spans="1:18">
      <c r="A19" s="96" t="s">
        <v>241</v>
      </c>
      <c r="B19" s="103" t="s">
        <v>2381</v>
      </c>
      <c r="C19" s="100">
        <v>23430</v>
      </c>
      <c r="D19" s="100">
        <v>21580</v>
      </c>
      <c r="E19" s="100">
        <v>21350</v>
      </c>
      <c r="F19" s="137"/>
      <c r="G19" s="129"/>
      <c r="I19" s="100" t="s">
        <v>2461</v>
      </c>
      <c r="J19" s="100" t="s">
        <v>2462</v>
      </c>
      <c r="K19" s="100" t="s">
        <v>2463</v>
      </c>
      <c r="L19" s="100" t="s">
        <v>2464</v>
      </c>
      <c r="M19" s="100" t="s">
        <v>2465</v>
      </c>
      <c r="N19" s="100" t="s">
        <v>2466</v>
      </c>
      <c r="O19" s="100" t="s">
        <v>2467</v>
      </c>
      <c r="P19" s="100" t="s">
        <v>2468</v>
      </c>
      <c r="Q19" s="100" t="s">
        <v>2469</v>
      </c>
      <c r="R19" s="100" t="s">
        <v>2470</v>
      </c>
    </row>
    <row r="20" ht="14.25" customHeight="1" spans="1:18">
      <c r="A20" s="96" t="s">
        <v>241</v>
      </c>
      <c r="B20" s="103" t="s">
        <v>2391</v>
      </c>
      <c r="C20" s="100">
        <v>27660</v>
      </c>
      <c r="D20" s="100">
        <v>24240</v>
      </c>
      <c r="E20" s="100">
        <v>24020</v>
      </c>
      <c r="F20" s="137"/>
      <c r="I20" s="100" t="s">
        <v>2471</v>
      </c>
      <c r="J20" s="100" t="s">
        <v>2472</v>
      </c>
      <c r="K20" s="100" t="s">
        <v>2473</v>
      </c>
      <c r="L20" s="100" t="s">
        <v>2474</v>
      </c>
      <c r="M20" s="100" t="s">
        <v>2475</v>
      </c>
      <c r="N20" s="100" t="s">
        <v>2476</v>
      </c>
      <c r="O20" s="100" t="s">
        <v>2477</v>
      </c>
      <c r="P20" s="100" t="s">
        <v>2478</v>
      </c>
      <c r="Q20" s="100" t="s">
        <v>2479</v>
      </c>
      <c r="R20" s="100" t="s">
        <v>2480</v>
      </c>
    </row>
    <row r="21" ht="14.25" customHeight="1" spans="1:18">
      <c r="A21" s="96" t="s">
        <v>241</v>
      </c>
      <c r="B21" s="103" t="s">
        <v>2401</v>
      </c>
      <c r="C21" s="100">
        <v>24720</v>
      </c>
      <c r="D21" s="100">
        <v>21670</v>
      </c>
      <c r="E21" s="100">
        <v>21510</v>
      </c>
      <c r="F21" s="137"/>
      <c r="J21" s="100" t="s">
        <v>2481</v>
      </c>
      <c r="K21" s="100" t="s">
        <v>2482</v>
      </c>
      <c r="L21" s="100" t="s">
        <v>2483</v>
      </c>
      <c r="M21" s="100" t="s">
        <v>2484</v>
      </c>
      <c r="N21" s="100" t="s">
        <v>2485</v>
      </c>
      <c r="O21" s="100" t="s">
        <v>2486</v>
      </c>
      <c r="P21" s="100" t="s">
        <v>2487</v>
      </c>
      <c r="Q21" s="100" t="s">
        <v>2488</v>
      </c>
      <c r="R21" s="100" t="s">
        <v>2489</v>
      </c>
    </row>
    <row r="22" ht="14.25" customHeight="1" spans="1:18">
      <c r="A22" s="96" t="s">
        <v>241</v>
      </c>
      <c r="B22" s="103" t="s">
        <v>2411</v>
      </c>
      <c r="C22" s="100">
        <v>26530</v>
      </c>
      <c r="D22" s="100">
        <v>22980</v>
      </c>
      <c r="E22" s="100">
        <v>22650</v>
      </c>
      <c r="F22" s="137"/>
      <c r="K22" s="100" t="s">
        <v>2490</v>
      </c>
      <c r="L22" s="100" t="s">
        <v>2491</v>
      </c>
      <c r="M22" s="100" t="s">
        <v>2492</v>
      </c>
      <c r="N22" s="100" t="s">
        <v>2493</v>
      </c>
      <c r="O22" s="100" t="s">
        <v>2494</v>
      </c>
      <c r="P22" s="100" t="s">
        <v>2495</v>
      </c>
      <c r="Q22" s="100" t="s">
        <v>2496</v>
      </c>
      <c r="R22" s="103" t="s">
        <v>2497</v>
      </c>
    </row>
    <row r="23" ht="14.25" customHeight="1" spans="1:17">
      <c r="A23" s="96" t="s">
        <v>241</v>
      </c>
      <c r="B23" s="103" t="s">
        <v>2421</v>
      </c>
      <c r="C23" s="100">
        <v>24700</v>
      </c>
      <c r="D23" s="100">
        <v>27290</v>
      </c>
      <c r="E23" s="100">
        <v>26710</v>
      </c>
      <c r="F23" s="137"/>
      <c r="K23" s="100" t="s">
        <v>2498</v>
      </c>
      <c r="L23" s="100" t="s">
        <v>2499</v>
      </c>
      <c r="M23" s="100" t="s">
        <v>2500</v>
      </c>
      <c r="N23" s="100" t="s">
        <v>2501</v>
      </c>
      <c r="O23" s="100" t="s">
        <v>2502</v>
      </c>
      <c r="P23" s="100" t="s">
        <v>2503</v>
      </c>
      <c r="Q23" s="100" t="s">
        <v>2504</v>
      </c>
    </row>
    <row r="24" ht="14.25" customHeight="1" spans="1:17">
      <c r="A24" s="96" t="s">
        <v>241</v>
      </c>
      <c r="B24" s="103" t="s">
        <v>2431</v>
      </c>
      <c r="C24" s="100">
        <v>23070</v>
      </c>
      <c r="D24" s="100">
        <v>24130</v>
      </c>
      <c r="E24" s="100">
        <v>23860</v>
      </c>
      <c r="F24" s="137"/>
      <c r="K24" s="100" t="s">
        <v>2505</v>
      </c>
      <c r="L24" s="100" t="s">
        <v>2506</v>
      </c>
      <c r="M24" s="100" t="s">
        <v>2507</v>
      </c>
      <c r="N24" s="100" t="s">
        <v>2508</v>
      </c>
      <c r="O24" s="100" t="s">
        <v>2509</v>
      </c>
      <c r="P24" s="100" t="s">
        <v>2510</v>
      </c>
      <c r="Q24" s="100" t="s">
        <v>2511</v>
      </c>
    </row>
    <row r="25" ht="14.25" customHeight="1" spans="1:17">
      <c r="A25" s="96" t="s">
        <v>241</v>
      </c>
      <c r="B25" s="103" t="s">
        <v>2441</v>
      </c>
      <c r="C25" s="100">
        <v>27550</v>
      </c>
      <c r="D25" s="100">
        <v>25850</v>
      </c>
      <c r="E25" s="100">
        <v>25340</v>
      </c>
      <c r="F25" s="137"/>
      <c r="K25" s="100" t="s">
        <v>2512</v>
      </c>
      <c r="L25" s="100" t="s">
        <v>2513</v>
      </c>
      <c r="M25" s="100" t="s">
        <v>2514</v>
      </c>
      <c r="N25" s="100" t="s">
        <v>2515</v>
      </c>
      <c r="O25" s="100" t="s">
        <v>2516</v>
      </c>
      <c r="P25" s="100" t="s">
        <v>2517</v>
      </c>
      <c r="Q25" s="100" t="s">
        <v>2518</v>
      </c>
    </row>
    <row r="26" ht="14.25" customHeight="1" spans="1:17">
      <c r="A26" s="96" t="s">
        <v>241</v>
      </c>
      <c r="B26" s="103" t="s">
        <v>2451</v>
      </c>
      <c r="C26" s="100"/>
      <c r="D26" s="100">
        <v>23900</v>
      </c>
      <c r="E26" s="100">
        <v>23590</v>
      </c>
      <c r="F26" s="137"/>
      <c r="K26" s="100" t="s">
        <v>2519</v>
      </c>
      <c r="L26" s="100" t="s">
        <v>2520</v>
      </c>
      <c r="M26" s="100" t="s">
        <v>2521</v>
      </c>
      <c r="N26" s="100" t="s">
        <v>2522</v>
      </c>
      <c r="O26" s="100" t="s">
        <v>2523</v>
      </c>
      <c r="P26" s="100" t="s">
        <v>2524</v>
      </c>
      <c r="Q26" s="100" t="s">
        <v>2525</v>
      </c>
    </row>
    <row r="27" ht="14.25" customHeight="1" spans="1:17">
      <c r="A27" s="96" t="s">
        <v>241</v>
      </c>
      <c r="B27" s="103" t="s">
        <v>2461</v>
      </c>
      <c r="C27" s="100"/>
      <c r="D27" s="100">
        <v>22850</v>
      </c>
      <c r="E27" s="100">
        <v>21920</v>
      </c>
      <c r="F27" s="137"/>
      <c r="K27" s="100" t="s">
        <v>2526</v>
      </c>
      <c r="L27" s="100" t="s">
        <v>2527</v>
      </c>
      <c r="M27" s="100" t="s">
        <v>2528</v>
      </c>
      <c r="N27" s="100" t="s">
        <v>2529</v>
      </c>
      <c r="O27" s="100" t="s">
        <v>2530</v>
      </c>
      <c r="P27" s="100" t="s">
        <v>2531</v>
      </c>
      <c r="Q27" s="100" t="s">
        <v>2532</v>
      </c>
    </row>
    <row r="28" ht="14.25" customHeight="1" spans="1:16">
      <c r="A28" s="104" t="s">
        <v>241</v>
      </c>
      <c r="B28" s="105" t="s">
        <v>2471</v>
      </c>
      <c r="C28" s="111"/>
      <c r="D28" s="111">
        <v>26610</v>
      </c>
      <c r="E28" s="111">
        <v>26370</v>
      </c>
      <c r="F28" s="135"/>
      <c r="K28" s="100" t="s">
        <v>2533</v>
      </c>
      <c r="L28" s="100" t="s">
        <v>2534</v>
      </c>
      <c r="M28" s="100" t="s">
        <v>2535</v>
      </c>
      <c r="N28" s="100" t="s">
        <v>2536</v>
      </c>
      <c r="O28" s="100" t="s">
        <v>2537</v>
      </c>
      <c r="P28" s="100" t="s">
        <v>2538</v>
      </c>
    </row>
    <row r="29" ht="14.25" customHeight="1" spans="1:16">
      <c r="A29" s="96" t="s">
        <v>251</v>
      </c>
      <c r="B29" s="97" t="s">
        <v>2278</v>
      </c>
      <c r="C29" s="97">
        <v>22090</v>
      </c>
      <c r="D29" s="97">
        <v>21860</v>
      </c>
      <c r="E29" s="97">
        <v>19380</v>
      </c>
      <c r="F29" s="133">
        <v>6610</v>
      </c>
      <c r="L29" s="100" t="s">
        <v>2539</v>
      </c>
      <c r="M29" s="100" t="s">
        <v>2540</v>
      </c>
      <c r="N29" s="100" t="s">
        <v>2541</v>
      </c>
      <c r="O29" s="100" t="s">
        <v>2542</v>
      </c>
      <c r="P29" s="100" t="s">
        <v>2543</v>
      </c>
    </row>
    <row r="30" ht="14.25" customHeight="1" spans="1:16">
      <c r="A30" s="96" t="s">
        <v>251</v>
      </c>
      <c r="B30" s="103" t="s">
        <v>2291</v>
      </c>
      <c r="C30" s="100">
        <v>21380</v>
      </c>
      <c r="D30" s="100">
        <v>19930</v>
      </c>
      <c r="E30" s="100">
        <v>19860</v>
      </c>
      <c r="F30" s="136">
        <v>6010</v>
      </c>
      <c r="L30" s="100" t="s">
        <v>2544</v>
      </c>
      <c r="M30" s="100" t="s">
        <v>2545</v>
      </c>
      <c r="N30" s="100" t="s">
        <v>2546</v>
      </c>
      <c r="O30" s="100" t="s">
        <v>2547</v>
      </c>
      <c r="P30" s="100" t="s">
        <v>2548</v>
      </c>
    </row>
    <row r="31" ht="14.25" customHeight="1" spans="1:16">
      <c r="A31" s="96" t="s">
        <v>251</v>
      </c>
      <c r="B31" s="103" t="s">
        <v>2305</v>
      </c>
      <c r="C31" s="100">
        <v>21670</v>
      </c>
      <c r="D31" s="100">
        <v>20660</v>
      </c>
      <c r="E31" s="100">
        <v>20290</v>
      </c>
      <c r="F31" s="136">
        <v>5840</v>
      </c>
      <c r="L31" s="100" t="s">
        <v>2549</v>
      </c>
      <c r="M31" s="100" t="s">
        <v>2550</v>
      </c>
      <c r="N31" s="100" t="s">
        <v>2551</v>
      </c>
      <c r="O31" s="100" t="s">
        <v>2552</v>
      </c>
      <c r="P31" s="100" t="s">
        <v>2553</v>
      </c>
    </row>
    <row r="32" ht="14.25" customHeight="1" spans="1:16">
      <c r="A32" s="96" t="s">
        <v>251</v>
      </c>
      <c r="B32" s="103" t="s">
        <v>2317</v>
      </c>
      <c r="C32" s="100">
        <v>22280</v>
      </c>
      <c r="D32" s="100">
        <v>21800</v>
      </c>
      <c r="E32" s="100">
        <v>17650</v>
      </c>
      <c r="F32" s="136">
        <v>4690</v>
      </c>
      <c r="L32" s="100" t="s">
        <v>2554</v>
      </c>
      <c r="M32" s="100" t="s">
        <v>2555</v>
      </c>
      <c r="N32" s="100" t="s">
        <v>2556</v>
      </c>
      <c r="O32" s="100" t="s">
        <v>2557</v>
      </c>
      <c r="P32" s="100" t="s">
        <v>2558</v>
      </c>
    </row>
    <row r="33" ht="14.25" customHeight="1" spans="1:16">
      <c r="A33" s="96" t="s">
        <v>251</v>
      </c>
      <c r="B33" s="103" t="s">
        <v>2329</v>
      </c>
      <c r="C33" s="100">
        <v>22130</v>
      </c>
      <c r="D33" s="100">
        <v>20460</v>
      </c>
      <c r="E33" s="100">
        <v>18500</v>
      </c>
      <c r="F33" s="136">
        <v>5340</v>
      </c>
      <c r="L33" s="100" t="s">
        <v>2559</v>
      </c>
      <c r="M33" s="100" t="s">
        <v>2560</v>
      </c>
      <c r="N33" s="100" t="s">
        <v>2561</v>
      </c>
      <c r="O33" s="100" t="s">
        <v>2562</v>
      </c>
      <c r="P33" s="100" t="s">
        <v>2563</v>
      </c>
    </row>
    <row r="34" ht="14.25" customHeight="1" spans="1:16">
      <c r="A34" s="96" t="s">
        <v>251</v>
      </c>
      <c r="B34" s="103" t="s">
        <v>2340</v>
      </c>
      <c r="C34" s="100">
        <v>22070</v>
      </c>
      <c r="D34" s="100">
        <v>20110</v>
      </c>
      <c r="E34" s="100">
        <v>18830</v>
      </c>
      <c r="F34" s="136">
        <v>5190</v>
      </c>
      <c r="L34" s="100" t="s">
        <v>2564</v>
      </c>
      <c r="M34" s="100" t="s">
        <v>2565</v>
      </c>
      <c r="N34" s="100" t="s">
        <v>2566</v>
      </c>
      <c r="O34" s="100" t="s">
        <v>2567</v>
      </c>
      <c r="P34" s="100" t="s">
        <v>2568</v>
      </c>
    </row>
    <row r="35" ht="14.25" customHeight="1" spans="1:16">
      <c r="A35" s="96" t="s">
        <v>251</v>
      </c>
      <c r="B35" s="103" t="s">
        <v>2351</v>
      </c>
      <c r="C35" s="100">
        <v>22240</v>
      </c>
      <c r="D35" s="100">
        <v>19550</v>
      </c>
      <c r="E35" s="100">
        <v>19220</v>
      </c>
      <c r="F35" s="136">
        <v>5800</v>
      </c>
      <c r="L35" s="100" t="s">
        <v>2569</v>
      </c>
      <c r="M35" s="100" t="s">
        <v>2570</v>
      </c>
      <c r="N35" s="100" t="s">
        <v>2571</v>
      </c>
      <c r="O35" s="100" t="s">
        <v>2572</v>
      </c>
      <c r="P35" s="100" t="s">
        <v>2573</v>
      </c>
    </row>
    <row r="36" ht="14.25" customHeight="1" spans="1:16">
      <c r="A36" s="96" t="s">
        <v>251</v>
      </c>
      <c r="B36" s="103" t="s">
        <v>2362</v>
      </c>
      <c r="C36" s="100">
        <v>19750</v>
      </c>
      <c r="D36" s="100">
        <v>19790</v>
      </c>
      <c r="E36" s="100">
        <v>18510</v>
      </c>
      <c r="F36" s="136">
        <v>6520</v>
      </c>
      <c r="M36" s="100" t="s">
        <v>2574</v>
      </c>
      <c r="N36" s="100" t="s">
        <v>2575</v>
      </c>
      <c r="O36" s="100" t="s">
        <v>2576</v>
      </c>
      <c r="P36" s="100" t="s">
        <v>2577</v>
      </c>
    </row>
    <row r="37" ht="14.25" customHeight="1" spans="1:16">
      <c r="A37" s="96" t="s">
        <v>251</v>
      </c>
      <c r="B37" s="103" t="s">
        <v>2372</v>
      </c>
      <c r="C37" s="100">
        <v>22380</v>
      </c>
      <c r="D37" s="100">
        <v>18530</v>
      </c>
      <c r="E37" s="100">
        <v>17930</v>
      </c>
      <c r="F37" s="136">
        <v>6270</v>
      </c>
      <c r="M37" s="100" t="s">
        <v>2578</v>
      </c>
      <c r="N37" s="100" t="s">
        <v>2579</v>
      </c>
      <c r="O37" s="100" t="s">
        <v>2580</v>
      </c>
      <c r="P37" s="100" t="s">
        <v>2581</v>
      </c>
    </row>
    <row r="38" ht="14.25" customHeight="1" spans="1:16">
      <c r="A38" s="96" t="s">
        <v>251</v>
      </c>
      <c r="B38" s="103" t="s">
        <v>2382</v>
      </c>
      <c r="C38" s="100">
        <v>20200</v>
      </c>
      <c r="D38" s="100">
        <v>20070</v>
      </c>
      <c r="E38" s="100">
        <v>19950</v>
      </c>
      <c r="F38" s="136"/>
      <c r="M38" s="100" t="s">
        <v>2582</v>
      </c>
      <c r="N38" s="100" t="s">
        <v>2583</v>
      </c>
      <c r="O38" s="100" t="s">
        <v>2584</v>
      </c>
      <c r="P38" s="100" t="s">
        <v>2585</v>
      </c>
    </row>
    <row r="39" ht="14.25" customHeight="1" spans="1:16">
      <c r="A39" s="96" t="s">
        <v>251</v>
      </c>
      <c r="B39" s="103" t="s">
        <v>2392</v>
      </c>
      <c r="C39" s="100">
        <v>19300</v>
      </c>
      <c r="D39" s="100">
        <v>20360</v>
      </c>
      <c r="E39" s="100">
        <v>20230</v>
      </c>
      <c r="F39" s="136"/>
      <c r="M39" s="100" t="s">
        <v>2586</v>
      </c>
      <c r="N39" s="100" t="s">
        <v>2587</v>
      </c>
      <c r="O39" s="100" t="s">
        <v>2588</v>
      </c>
      <c r="P39" s="100" t="s">
        <v>2589</v>
      </c>
    </row>
    <row r="40" ht="14.25" customHeight="1" spans="1:16">
      <c r="A40" s="96" t="s">
        <v>251</v>
      </c>
      <c r="B40" s="103" t="s">
        <v>2402</v>
      </c>
      <c r="C40" s="100">
        <v>20210</v>
      </c>
      <c r="D40" s="100">
        <v>19060</v>
      </c>
      <c r="E40" s="100">
        <v>18890</v>
      </c>
      <c r="F40" s="136"/>
      <c r="M40" s="100" t="s">
        <v>2590</v>
      </c>
      <c r="N40" s="100" t="s">
        <v>2591</v>
      </c>
      <c r="O40" s="100" t="s">
        <v>2592</v>
      </c>
      <c r="P40" s="100" t="s">
        <v>2593</v>
      </c>
    </row>
    <row r="41" ht="14.25" customHeight="1" spans="1:16">
      <c r="A41" s="96" t="s">
        <v>251</v>
      </c>
      <c r="B41" s="103" t="s">
        <v>2412</v>
      </c>
      <c r="C41" s="100">
        <v>20560</v>
      </c>
      <c r="D41" s="100">
        <v>21040</v>
      </c>
      <c r="E41" s="100">
        <v>20740</v>
      </c>
      <c r="F41" s="136"/>
      <c r="M41" s="103" t="s">
        <v>2594</v>
      </c>
      <c r="N41" s="103" t="s">
        <v>2595</v>
      </c>
      <c r="P41" s="103" t="s">
        <v>2596</v>
      </c>
    </row>
    <row r="42" ht="14.25" customHeight="1" spans="1:16">
      <c r="A42" s="96" t="s">
        <v>251</v>
      </c>
      <c r="B42" s="103" t="s">
        <v>2422</v>
      </c>
      <c r="C42" s="100">
        <v>19280</v>
      </c>
      <c r="D42" s="100">
        <v>22940</v>
      </c>
      <c r="E42" s="100">
        <v>22500</v>
      </c>
      <c r="F42" s="136"/>
      <c r="M42" s="100" t="s">
        <v>2597</v>
      </c>
      <c r="N42" s="100" t="s">
        <v>2598</v>
      </c>
      <c r="P42" s="100" t="s">
        <v>2599</v>
      </c>
    </row>
    <row r="43" ht="14.25" customHeight="1" spans="1:16">
      <c r="A43" s="96" t="s">
        <v>251</v>
      </c>
      <c r="B43" s="103" t="s">
        <v>2432</v>
      </c>
      <c r="C43" s="100">
        <v>21520</v>
      </c>
      <c r="D43" s="100">
        <v>19230</v>
      </c>
      <c r="E43" s="100">
        <v>18540</v>
      </c>
      <c r="F43" s="136"/>
      <c r="M43" s="100" t="s">
        <v>2600</v>
      </c>
      <c r="N43" s="100" t="s">
        <v>2601</v>
      </c>
      <c r="P43" s="100" t="s">
        <v>2602</v>
      </c>
    </row>
    <row r="44" ht="14.25" customHeight="1" spans="1:16">
      <c r="A44" s="96" t="s">
        <v>251</v>
      </c>
      <c r="B44" s="103" t="s">
        <v>2442</v>
      </c>
      <c r="C44" s="100">
        <v>23260</v>
      </c>
      <c r="D44" s="100">
        <v>21180</v>
      </c>
      <c r="E44" s="100">
        <v>20730</v>
      </c>
      <c r="F44" s="136"/>
      <c r="M44" s="100" t="s">
        <v>2603</v>
      </c>
      <c r="N44" s="100" t="s">
        <v>2604</v>
      </c>
      <c r="P44" s="100" t="s">
        <v>2605</v>
      </c>
    </row>
    <row r="45" ht="14.25" customHeight="1" spans="1:16">
      <c r="A45" s="96" t="s">
        <v>251</v>
      </c>
      <c r="B45" s="103" t="s">
        <v>2452</v>
      </c>
      <c r="C45" s="100">
        <v>19610</v>
      </c>
      <c r="D45" s="100">
        <v>18090</v>
      </c>
      <c r="E45" s="100">
        <v>17970</v>
      </c>
      <c r="F45" s="136"/>
      <c r="M45" s="100" t="s">
        <v>2606</v>
      </c>
      <c r="N45" s="100" t="s">
        <v>2607</v>
      </c>
      <c r="P45" s="100" t="s">
        <v>2608</v>
      </c>
    </row>
    <row r="46" ht="14.25" customHeight="1" spans="1:16">
      <c r="A46" s="96" t="s">
        <v>251</v>
      </c>
      <c r="B46" s="103" t="s">
        <v>2462</v>
      </c>
      <c r="C46" s="100">
        <v>21660</v>
      </c>
      <c r="D46" s="100">
        <v>19190</v>
      </c>
      <c r="E46" s="100">
        <v>19790</v>
      </c>
      <c r="F46" s="136"/>
      <c r="M46" s="100" t="s">
        <v>2609</v>
      </c>
      <c r="N46" s="100" t="s">
        <v>2610</v>
      </c>
      <c r="P46" s="100" t="s">
        <v>2611</v>
      </c>
    </row>
    <row r="47" ht="14.25" customHeight="1" spans="1:14">
      <c r="A47" s="96" t="s">
        <v>251</v>
      </c>
      <c r="B47" s="103" t="s">
        <v>2472</v>
      </c>
      <c r="C47" s="100">
        <v>18220</v>
      </c>
      <c r="D47" s="100"/>
      <c r="E47" s="100">
        <v>17220</v>
      </c>
      <c r="F47" s="136"/>
      <c r="M47" s="100" t="s">
        <v>2612</v>
      </c>
      <c r="N47" s="100" t="s">
        <v>2613</v>
      </c>
    </row>
    <row r="48" ht="14.25" customHeight="1" spans="1:14">
      <c r="A48" s="96" t="s">
        <v>251</v>
      </c>
      <c r="B48" s="105" t="s">
        <v>2481</v>
      </c>
      <c r="C48" s="111">
        <v>19430</v>
      </c>
      <c r="D48" s="111"/>
      <c r="E48" s="111">
        <v>17830</v>
      </c>
      <c r="F48" s="138"/>
      <c r="M48" s="100" t="s">
        <v>2614</v>
      </c>
      <c r="N48" s="100" t="s">
        <v>2615</v>
      </c>
    </row>
    <row r="49" ht="14.25" customHeight="1" spans="1:14">
      <c r="A49" s="96" t="s">
        <v>259</v>
      </c>
      <c r="B49" s="97" t="s">
        <v>2279</v>
      </c>
      <c r="C49" s="97">
        <v>17090</v>
      </c>
      <c r="D49" s="97">
        <v>16950</v>
      </c>
      <c r="E49" s="97">
        <v>16310</v>
      </c>
      <c r="F49" s="133">
        <v>4540</v>
      </c>
      <c r="M49" s="100" t="s">
        <v>2616</v>
      </c>
      <c r="N49" s="100" t="s">
        <v>2617</v>
      </c>
    </row>
    <row r="50" ht="14.25" customHeight="1" spans="1:6">
      <c r="A50" s="96" t="s">
        <v>259</v>
      </c>
      <c r="B50" s="100" t="s">
        <v>2292</v>
      </c>
      <c r="C50" s="100">
        <v>19040</v>
      </c>
      <c r="D50" s="100">
        <v>16960</v>
      </c>
      <c r="E50" s="100">
        <v>14800</v>
      </c>
      <c r="F50" s="136">
        <v>3940</v>
      </c>
    </row>
    <row r="51" ht="14.25" customHeight="1" spans="1:6">
      <c r="A51" s="96" t="s">
        <v>259</v>
      </c>
      <c r="B51" s="100" t="s">
        <v>2306</v>
      </c>
      <c r="C51" s="100">
        <v>17040</v>
      </c>
      <c r="D51" s="100">
        <v>16930</v>
      </c>
      <c r="E51" s="100">
        <v>15030</v>
      </c>
      <c r="F51" s="136">
        <v>4120</v>
      </c>
    </row>
    <row r="52" ht="14.25" customHeight="1" spans="1:6">
      <c r="A52" s="96" t="s">
        <v>259</v>
      </c>
      <c r="B52" s="100" t="s">
        <v>2318</v>
      </c>
      <c r="C52" s="100">
        <v>17110</v>
      </c>
      <c r="D52" s="100">
        <v>17750</v>
      </c>
      <c r="E52" s="100">
        <v>17310</v>
      </c>
      <c r="F52" s="136">
        <v>3220</v>
      </c>
    </row>
    <row r="53" ht="14.25" customHeight="1" spans="1:6">
      <c r="A53" s="96" t="s">
        <v>259</v>
      </c>
      <c r="B53" s="100" t="s">
        <v>2330</v>
      </c>
      <c r="C53" s="100">
        <v>17810</v>
      </c>
      <c r="D53" s="100">
        <v>17260</v>
      </c>
      <c r="E53" s="100">
        <v>17090</v>
      </c>
      <c r="F53" s="136">
        <v>3520</v>
      </c>
    </row>
    <row r="54" ht="14.25" customHeight="1" spans="1:6">
      <c r="A54" s="96" t="s">
        <v>259</v>
      </c>
      <c r="B54" s="100" t="s">
        <v>2341</v>
      </c>
      <c r="C54" s="100">
        <v>17410</v>
      </c>
      <c r="D54" s="100">
        <v>16780</v>
      </c>
      <c r="E54" s="100">
        <v>16370</v>
      </c>
      <c r="F54" s="136">
        <v>3410</v>
      </c>
    </row>
    <row r="55" ht="14.25" customHeight="1" spans="1:6">
      <c r="A55" s="96" t="s">
        <v>259</v>
      </c>
      <c r="B55" s="100" t="s">
        <v>2352</v>
      </c>
      <c r="C55" s="100">
        <v>16930</v>
      </c>
      <c r="D55" s="100">
        <v>14720</v>
      </c>
      <c r="E55" s="100">
        <v>15000</v>
      </c>
      <c r="F55" s="136">
        <v>3710</v>
      </c>
    </row>
    <row r="56" ht="14.25" customHeight="1" spans="1:6">
      <c r="A56" s="96" t="s">
        <v>259</v>
      </c>
      <c r="B56" s="100" t="s">
        <v>2363</v>
      </c>
      <c r="C56" s="100">
        <v>14930</v>
      </c>
      <c r="D56" s="100">
        <v>15850</v>
      </c>
      <c r="E56" s="100">
        <v>14320</v>
      </c>
      <c r="F56" s="136">
        <v>3960</v>
      </c>
    </row>
    <row r="57" ht="14.25" customHeight="1" spans="1:6">
      <c r="A57" s="96" t="s">
        <v>259</v>
      </c>
      <c r="B57" s="100" t="s">
        <v>2373</v>
      </c>
      <c r="C57" s="100">
        <v>16160</v>
      </c>
      <c r="D57" s="100">
        <v>16190</v>
      </c>
      <c r="E57" s="100">
        <v>15650</v>
      </c>
      <c r="F57" s="136">
        <v>4200</v>
      </c>
    </row>
    <row r="58" ht="14.25" customHeight="1" spans="1:6">
      <c r="A58" s="96" t="s">
        <v>259</v>
      </c>
      <c r="B58" s="100" t="s">
        <v>2383</v>
      </c>
      <c r="C58" s="100">
        <v>16360</v>
      </c>
      <c r="D58" s="100">
        <v>14050</v>
      </c>
      <c r="E58" s="100">
        <v>16070</v>
      </c>
      <c r="F58" s="136">
        <v>3990</v>
      </c>
    </row>
    <row r="59" ht="14.25" customHeight="1" spans="1:6">
      <c r="A59" s="96" t="s">
        <v>259</v>
      </c>
      <c r="B59" s="100" t="s">
        <v>2393</v>
      </c>
      <c r="C59" s="100">
        <v>14160</v>
      </c>
      <c r="D59" s="100">
        <v>16620</v>
      </c>
      <c r="E59" s="100">
        <v>13940</v>
      </c>
      <c r="F59" s="136">
        <v>4260</v>
      </c>
    </row>
    <row r="60" ht="14.25" customHeight="1" spans="1:6">
      <c r="A60" s="96" t="s">
        <v>259</v>
      </c>
      <c r="B60" s="100" t="s">
        <v>2403</v>
      </c>
      <c r="C60" s="100">
        <v>16750</v>
      </c>
      <c r="D60" s="100">
        <v>13910</v>
      </c>
      <c r="E60" s="100">
        <v>16550</v>
      </c>
      <c r="F60" s="136">
        <v>4550</v>
      </c>
    </row>
    <row r="61" ht="14.25" customHeight="1" spans="1:6">
      <c r="A61" s="96" t="s">
        <v>259</v>
      </c>
      <c r="B61" s="100" t="s">
        <v>2413</v>
      </c>
      <c r="C61" s="100">
        <v>14000</v>
      </c>
      <c r="D61" s="100">
        <v>14550</v>
      </c>
      <c r="E61" s="100">
        <v>13860</v>
      </c>
      <c r="F61" s="139"/>
    </row>
    <row r="62" ht="14.25" customHeight="1" spans="1:6">
      <c r="A62" s="96" t="s">
        <v>259</v>
      </c>
      <c r="B62" s="100" t="s">
        <v>2423</v>
      </c>
      <c r="C62" s="100">
        <v>14660</v>
      </c>
      <c r="D62" s="100">
        <v>17450</v>
      </c>
      <c r="E62" s="100">
        <v>14470</v>
      </c>
      <c r="F62" s="139"/>
    </row>
    <row r="63" ht="14.25" customHeight="1" spans="1:6">
      <c r="A63" s="96" t="s">
        <v>259</v>
      </c>
      <c r="B63" s="100" t="s">
        <v>2433</v>
      </c>
      <c r="C63" s="100">
        <v>17610</v>
      </c>
      <c r="D63" s="100">
        <v>16500</v>
      </c>
      <c r="E63" s="100">
        <v>17330</v>
      </c>
      <c r="F63" s="139"/>
    </row>
    <row r="64" ht="14.25" customHeight="1" spans="1:6">
      <c r="A64" s="96" t="s">
        <v>259</v>
      </c>
      <c r="B64" s="100" t="s">
        <v>2443</v>
      </c>
      <c r="C64" s="100">
        <v>16590</v>
      </c>
      <c r="D64" s="100">
        <v>15130</v>
      </c>
      <c r="E64" s="100">
        <v>16420</v>
      </c>
      <c r="F64" s="139"/>
    </row>
    <row r="65" s="122" customFormat="1" ht="14.25" customHeight="1" spans="1:6">
      <c r="A65" s="96" t="s">
        <v>259</v>
      </c>
      <c r="B65" s="100" t="s">
        <v>2453</v>
      </c>
      <c r="C65" s="100">
        <v>15220</v>
      </c>
      <c r="D65" s="100">
        <v>14660</v>
      </c>
      <c r="E65" s="100">
        <v>15060</v>
      </c>
      <c r="F65" s="136"/>
    </row>
    <row r="66" s="122" customFormat="1" ht="14.25" customHeight="1" spans="1:6">
      <c r="A66" s="96" t="s">
        <v>259</v>
      </c>
      <c r="B66" s="100" t="s">
        <v>2463</v>
      </c>
      <c r="C66" s="100">
        <v>14720</v>
      </c>
      <c r="D66" s="100">
        <v>15970</v>
      </c>
      <c r="E66" s="100">
        <v>14610</v>
      </c>
      <c r="F66" s="136"/>
    </row>
    <row r="67" s="122" customFormat="1" ht="14.25" customHeight="1" spans="1:6">
      <c r="A67" s="96" t="s">
        <v>259</v>
      </c>
      <c r="B67" s="100" t="s">
        <v>2473</v>
      </c>
      <c r="C67" s="100">
        <v>16080</v>
      </c>
      <c r="D67" s="100">
        <v>14840</v>
      </c>
      <c r="E67" s="100">
        <v>15630</v>
      </c>
      <c r="F67" s="136"/>
    </row>
    <row r="68" s="122" customFormat="1" ht="14.25" customHeight="1" spans="1:6">
      <c r="A68" s="96" t="s">
        <v>259</v>
      </c>
      <c r="B68" s="100" t="s">
        <v>2482</v>
      </c>
      <c r="C68" s="100">
        <v>14940</v>
      </c>
      <c r="D68" s="100">
        <v>18000</v>
      </c>
      <c r="E68" s="100">
        <v>14040</v>
      </c>
      <c r="F68" s="136"/>
    </row>
    <row r="69" s="122" customFormat="1" ht="14.25" customHeight="1" spans="1:6">
      <c r="A69" s="96" t="s">
        <v>259</v>
      </c>
      <c r="B69" s="100" t="s">
        <v>2490</v>
      </c>
      <c r="C69" s="100">
        <v>18810</v>
      </c>
      <c r="D69" s="100">
        <v>15100</v>
      </c>
      <c r="E69" s="100">
        <v>14710</v>
      </c>
      <c r="F69" s="136"/>
    </row>
    <row r="70" s="122" customFormat="1" ht="14.25" customHeight="1" spans="1:6">
      <c r="A70" s="96" t="s">
        <v>259</v>
      </c>
      <c r="B70" s="100" t="s">
        <v>2498</v>
      </c>
      <c r="C70" s="100">
        <v>18270</v>
      </c>
      <c r="D70" s="100"/>
      <c r="E70" s="100"/>
      <c r="F70" s="136"/>
    </row>
    <row r="71" s="122" customFormat="1" ht="14.25" customHeight="1" spans="1:6">
      <c r="A71" s="96" t="s">
        <v>259</v>
      </c>
      <c r="B71" s="100" t="s">
        <v>2505</v>
      </c>
      <c r="C71" s="100">
        <v>15230</v>
      </c>
      <c r="D71" s="100"/>
      <c r="E71" s="100"/>
      <c r="F71" s="136"/>
    </row>
    <row r="72" s="122" customFormat="1" ht="14.25" customHeight="1" spans="1:6">
      <c r="A72" s="96" t="s">
        <v>259</v>
      </c>
      <c r="B72" s="100" t="s">
        <v>2512</v>
      </c>
      <c r="C72" s="100"/>
      <c r="D72" s="100"/>
      <c r="E72" s="100"/>
      <c r="F72" s="136">
        <v>4120</v>
      </c>
    </row>
    <row r="73" s="122" customFormat="1" ht="14.25" customHeight="1" spans="1:6">
      <c r="A73" s="96" t="s">
        <v>259</v>
      </c>
      <c r="B73" s="100" t="s">
        <v>2519</v>
      </c>
      <c r="C73" s="100"/>
      <c r="D73" s="100"/>
      <c r="E73" s="100"/>
      <c r="F73" s="136">
        <v>3930</v>
      </c>
    </row>
    <row r="74" s="122" customFormat="1" ht="14.25" customHeight="1" spans="1:6">
      <c r="A74" s="96" t="s">
        <v>259</v>
      </c>
      <c r="B74" s="100" t="s">
        <v>2526</v>
      </c>
      <c r="C74" s="100"/>
      <c r="D74" s="100"/>
      <c r="E74" s="100"/>
      <c r="F74" s="136">
        <v>4060</v>
      </c>
    </row>
    <row r="75" s="122" customFormat="1" ht="14.25" customHeight="1" spans="1:6">
      <c r="A75" s="96" t="s">
        <v>259</v>
      </c>
      <c r="B75" s="111" t="s">
        <v>2533</v>
      </c>
      <c r="C75" s="111"/>
      <c r="D75" s="111"/>
      <c r="E75" s="111"/>
      <c r="F75" s="138">
        <v>3750</v>
      </c>
    </row>
    <row r="76" s="122" customFormat="1" ht="14.25" customHeight="1" spans="1:6">
      <c r="A76" s="96" t="s">
        <v>267</v>
      </c>
      <c r="B76" s="97" t="s">
        <v>2280</v>
      </c>
      <c r="C76" s="97">
        <v>14690</v>
      </c>
      <c r="D76" s="97">
        <v>14640</v>
      </c>
      <c r="E76" s="97">
        <v>14590</v>
      </c>
      <c r="F76" s="133">
        <v>3060</v>
      </c>
    </row>
    <row r="77" s="122" customFormat="1" ht="14.25" customHeight="1" spans="1:6">
      <c r="A77" s="96" t="s">
        <v>267</v>
      </c>
      <c r="B77" s="100" t="s">
        <v>2293</v>
      </c>
      <c r="C77" s="100">
        <v>12550</v>
      </c>
      <c r="D77" s="100">
        <v>12480</v>
      </c>
      <c r="E77" s="100">
        <v>12450</v>
      </c>
      <c r="F77" s="136">
        <v>2590</v>
      </c>
    </row>
    <row r="78" s="122" customFormat="1" ht="14.25" customHeight="1" spans="1:6">
      <c r="A78" s="96" t="s">
        <v>267</v>
      </c>
      <c r="B78" s="100" t="s">
        <v>2307</v>
      </c>
      <c r="C78" s="100">
        <v>14360</v>
      </c>
      <c r="D78" s="100">
        <v>14320</v>
      </c>
      <c r="E78" s="100">
        <v>12510</v>
      </c>
      <c r="F78" s="136">
        <v>2700</v>
      </c>
    </row>
    <row r="79" s="122" customFormat="1" ht="14.25" customHeight="1" spans="1:6">
      <c r="A79" s="96" t="s">
        <v>267</v>
      </c>
      <c r="B79" s="100" t="s">
        <v>2319</v>
      </c>
      <c r="C79" s="100">
        <v>12590</v>
      </c>
      <c r="D79" s="100">
        <v>12540</v>
      </c>
      <c r="E79" s="100">
        <v>12350</v>
      </c>
      <c r="F79" s="136">
        <v>2740</v>
      </c>
    </row>
    <row r="80" s="122" customFormat="1" ht="14.25" customHeight="1" spans="1:6">
      <c r="A80" s="96" t="s">
        <v>267</v>
      </c>
      <c r="B80" s="100" t="s">
        <v>2331</v>
      </c>
      <c r="C80" s="100">
        <v>12450</v>
      </c>
      <c r="D80" s="100">
        <v>12370</v>
      </c>
      <c r="E80" s="100">
        <v>10790</v>
      </c>
      <c r="F80" s="136">
        <v>2290</v>
      </c>
    </row>
    <row r="81" s="122" customFormat="1" ht="14.25" customHeight="1" spans="1:6">
      <c r="A81" s="96" t="s">
        <v>267</v>
      </c>
      <c r="B81" s="100" t="s">
        <v>2342</v>
      </c>
      <c r="C81" s="100">
        <v>14210</v>
      </c>
      <c r="D81" s="100">
        <v>14150</v>
      </c>
      <c r="E81" s="100">
        <v>12730</v>
      </c>
      <c r="F81" s="136">
        <v>2240</v>
      </c>
    </row>
    <row r="82" s="122" customFormat="1" ht="14.25" customHeight="1" spans="1:6">
      <c r="A82" s="96" t="s">
        <v>267</v>
      </c>
      <c r="B82" s="100" t="s">
        <v>2353</v>
      </c>
      <c r="C82" s="100">
        <v>10860</v>
      </c>
      <c r="D82" s="100">
        <v>10820</v>
      </c>
      <c r="E82" s="100">
        <v>14720</v>
      </c>
      <c r="F82" s="136">
        <v>2490</v>
      </c>
    </row>
    <row r="83" s="122" customFormat="1" ht="14.25" customHeight="1" spans="1:6">
      <c r="A83" s="96" t="s">
        <v>267</v>
      </c>
      <c r="B83" s="100" t="s">
        <v>2364</v>
      </c>
      <c r="C83" s="100">
        <v>12810</v>
      </c>
      <c r="D83" s="100">
        <v>12760</v>
      </c>
      <c r="E83" s="100">
        <v>14830</v>
      </c>
      <c r="F83" s="136">
        <v>2450</v>
      </c>
    </row>
    <row r="84" s="122" customFormat="1" ht="14.25" customHeight="1" spans="1:6">
      <c r="A84" s="96" t="s">
        <v>267</v>
      </c>
      <c r="B84" s="100" t="s">
        <v>2374</v>
      </c>
      <c r="C84" s="100">
        <v>14950</v>
      </c>
      <c r="D84" s="100">
        <v>14810</v>
      </c>
      <c r="E84" s="100">
        <v>12590</v>
      </c>
      <c r="F84" s="136">
        <v>2540</v>
      </c>
    </row>
    <row r="85" s="122" customFormat="1" ht="14.25" customHeight="1" spans="1:6">
      <c r="A85" s="96" t="s">
        <v>267</v>
      </c>
      <c r="B85" s="100" t="s">
        <v>2384</v>
      </c>
      <c r="C85" s="100">
        <v>14960</v>
      </c>
      <c r="D85" s="100">
        <v>14890</v>
      </c>
      <c r="E85" s="100">
        <v>12840</v>
      </c>
      <c r="F85" s="136">
        <v>2840</v>
      </c>
    </row>
    <row r="86" s="122" customFormat="1" ht="14.25" customHeight="1" spans="1:6">
      <c r="A86" s="96" t="s">
        <v>267</v>
      </c>
      <c r="B86" s="100" t="s">
        <v>2394</v>
      </c>
      <c r="C86" s="100">
        <v>12730</v>
      </c>
      <c r="D86" s="100">
        <v>12660</v>
      </c>
      <c r="E86" s="100">
        <v>13310</v>
      </c>
      <c r="F86" s="136">
        <v>3140</v>
      </c>
    </row>
    <row r="87" s="122" customFormat="1" ht="14.25" customHeight="1" spans="1:6">
      <c r="A87" s="96" t="s">
        <v>267</v>
      </c>
      <c r="B87" s="100" t="s">
        <v>2404</v>
      </c>
      <c r="C87" s="100">
        <v>12940</v>
      </c>
      <c r="D87" s="100">
        <v>12890</v>
      </c>
      <c r="E87" s="100">
        <v>11580</v>
      </c>
      <c r="F87" s="139"/>
    </row>
    <row r="88" s="122" customFormat="1" ht="14.25" customHeight="1" spans="1:6">
      <c r="A88" s="96" t="s">
        <v>267</v>
      </c>
      <c r="B88" s="100" t="s">
        <v>2414</v>
      </c>
      <c r="C88" s="100">
        <v>13430</v>
      </c>
      <c r="D88" s="100">
        <v>13360</v>
      </c>
      <c r="E88" s="100">
        <v>12790</v>
      </c>
      <c r="F88" s="139"/>
    </row>
    <row r="89" s="122" customFormat="1" ht="14.25" customHeight="1" spans="1:6">
      <c r="A89" s="96" t="s">
        <v>267</v>
      </c>
      <c r="B89" s="100" t="s">
        <v>2424</v>
      </c>
      <c r="C89" s="100">
        <v>11680</v>
      </c>
      <c r="D89" s="100">
        <v>11630</v>
      </c>
      <c r="E89" s="100">
        <v>11320</v>
      </c>
      <c r="F89" s="139"/>
    </row>
    <row r="90" s="122" customFormat="1" ht="14.25" customHeight="1" spans="1:6">
      <c r="A90" s="96" t="s">
        <v>267</v>
      </c>
      <c r="B90" s="100" t="s">
        <v>2434</v>
      </c>
      <c r="C90" s="100">
        <v>12890</v>
      </c>
      <c r="D90" s="100">
        <v>12820</v>
      </c>
      <c r="E90" s="100">
        <v>12710</v>
      </c>
      <c r="F90" s="139"/>
    </row>
    <row r="91" s="122" customFormat="1" ht="14.25" customHeight="1" spans="1:6">
      <c r="A91" s="96" t="s">
        <v>267</v>
      </c>
      <c r="B91" s="100" t="s">
        <v>2444</v>
      </c>
      <c r="C91" s="100">
        <v>11410</v>
      </c>
      <c r="D91" s="100">
        <v>11360</v>
      </c>
      <c r="E91" s="100">
        <v>12670</v>
      </c>
      <c r="F91" s="139"/>
    </row>
    <row r="92" s="122" customFormat="1" ht="14.25" customHeight="1" spans="1:6">
      <c r="A92" s="96" t="s">
        <v>267</v>
      </c>
      <c r="B92" s="100" t="s">
        <v>2454</v>
      </c>
      <c r="C92" s="100">
        <v>12770</v>
      </c>
      <c r="D92" s="100">
        <v>12740</v>
      </c>
      <c r="E92" s="100">
        <v>11970</v>
      </c>
      <c r="F92" s="139"/>
    </row>
    <row r="93" s="122" customFormat="1" ht="14.25" customHeight="1" spans="1:6">
      <c r="A93" s="96" t="s">
        <v>267</v>
      </c>
      <c r="B93" s="100" t="s">
        <v>2464</v>
      </c>
      <c r="C93" s="100">
        <v>12740</v>
      </c>
      <c r="D93" s="100">
        <v>12700</v>
      </c>
      <c r="E93" s="100">
        <v>12540</v>
      </c>
      <c r="F93" s="139"/>
    </row>
    <row r="94" s="122" customFormat="1" ht="14.25" customHeight="1" spans="1:6">
      <c r="A94" s="96" t="s">
        <v>267</v>
      </c>
      <c r="B94" s="100" t="s">
        <v>2474</v>
      </c>
      <c r="C94" s="100">
        <v>12020</v>
      </c>
      <c r="D94" s="100">
        <v>11990</v>
      </c>
      <c r="E94" s="100">
        <v>13110</v>
      </c>
      <c r="F94" s="139"/>
    </row>
    <row r="95" s="122" customFormat="1" ht="14.25" customHeight="1" spans="1:6">
      <c r="A95" s="96" t="s">
        <v>267</v>
      </c>
      <c r="B95" s="100" t="s">
        <v>2483</v>
      </c>
      <c r="C95" s="100">
        <v>12620</v>
      </c>
      <c r="D95" s="100">
        <v>12580</v>
      </c>
      <c r="E95" s="100">
        <v>13160</v>
      </c>
      <c r="F95" s="136"/>
    </row>
    <row r="96" s="122" customFormat="1" ht="14.25" customHeight="1" spans="1:6">
      <c r="A96" s="96" t="s">
        <v>267</v>
      </c>
      <c r="B96" s="100" t="s">
        <v>2491</v>
      </c>
      <c r="C96" s="100">
        <v>13200</v>
      </c>
      <c r="D96" s="100">
        <v>13150</v>
      </c>
      <c r="E96" s="100">
        <v>12900</v>
      </c>
      <c r="F96" s="136"/>
    </row>
    <row r="97" s="122" customFormat="1" ht="14.25" customHeight="1" spans="1:6">
      <c r="A97" s="96" t="s">
        <v>267</v>
      </c>
      <c r="B97" s="100" t="s">
        <v>2499</v>
      </c>
      <c r="C97" s="100">
        <v>13270</v>
      </c>
      <c r="D97" s="100">
        <v>13210</v>
      </c>
      <c r="E97" s="100">
        <v>11080</v>
      </c>
      <c r="F97" s="136"/>
    </row>
    <row r="98" s="122" customFormat="1" ht="14.25" customHeight="1" spans="1:6">
      <c r="A98" s="96" t="s">
        <v>267</v>
      </c>
      <c r="B98" s="100" t="s">
        <v>2506</v>
      </c>
      <c r="C98" s="100">
        <v>13010</v>
      </c>
      <c r="D98" s="100">
        <v>12930</v>
      </c>
      <c r="E98" s="100">
        <v>12840</v>
      </c>
      <c r="F98" s="136"/>
    </row>
    <row r="99" s="122" customFormat="1" ht="14.25" customHeight="1" spans="1:6">
      <c r="A99" s="96" t="s">
        <v>267</v>
      </c>
      <c r="B99" s="100" t="s">
        <v>2513</v>
      </c>
      <c r="C99" s="100">
        <v>11190</v>
      </c>
      <c r="D99" s="100">
        <v>11130</v>
      </c>
      <c r="E99" s="100"/>
      <c r="F99" s="136"/>
    </row>
    <row r="100" s="122" customFormat="1" ht="14.25" customHeight="1" spans="1:6">
      <c r="A100" s="96" t="s">
        <v>267</v>
      </c>
      <c r="B100" s="100" t="s">
        <v>2520</v>
      </c>
      <c r="C100" s="100">
        <v>14280</v>
      </c>
      <c r="D100" s="100">
        <v>14180</v>
      </c>
      <c r="E100" s="100"/>
      <c r="F100" s="136"/>
    </row>
    <row r="101" s="122" customFormat="1" ht="14.25" customHeight="1" spans="1:6">
      <c r="A101" s="96" t="s">
        <v>267</v>
      </c>
      <c r="B101" s="100" t="s">
        <v>2527</v>
      </c>
      <c r="C101" s="100">
        <v>12960</v>
      </c>
      <c r="D101" s="100">
        <v>12890</v>
      </c>
      <c r="E101" s="100"/>
      <c r="F101" s="136"/>
    </row>
    <row r="102" s="122" customFormat="1" ht="14.25" customHeight="1" spans="1:6">
      <c r="A102" s="96" t="s">
        <v>267</v>
      </c>
      <c r="B102" s="100" t="s">
        <v>2534</v>
      </c>
      <c r="C102" s="100"/>
      <c r="D102" s="100"/>
      <c r="E102" s="100"/>
      <c r="F102" s="136">
        <v>3100</v>
      </c>
    </row>
    <row r="103" s="122" customFormat="1" ht="14.25" customHeight="1" spans="1:6">
      <c r="A103" s="96" t="s">
        <v>267</v>
      </c>
      <c r="B103" s="100" t="s">
        <v>2539</v>
      </c>
      <c r="C103" s="100"/>
      <c r="D103" s="100"/>
      <c r="E103" s="100"/>
      <c r="F103" s="136">
        <v>2320</v>
      </c>
    </row>
    <row r="104" s="122" customFormat="1" ht="14.25" customHeight="1" spans="1:6">
      <c r="A104" s="96" t="s">
        <v>267</v>
      </c>
      <c r="B104" s="100" t="s">
        <v>2544</v>
      </c>
      <c r="C104" s="100"/>
      <c r="D104" s="100"/>
      <c r="E104" s="100"/>
      <c r="F104" s="136">
        <v>2320</v>
      </c>
    </row>
    <row r="105" s="122" customFormat="1" ht="14.25" customHeight="1" spans="1:6">
      <c r="A105" s="96" t="s">
        <v>267</v>
      </c>
      <c r="B105" s="100" t="s">
        <v>2549</v>
      </c>
      <c r="C105" s="100"/>
      <c r="D105" s="100"/>
      <c r="E105" s="100"/>
      <c r="F105" s="136">
        <v>2320</v>
      </c>
    </row>
    <row r="106" s="122" customFormat="1" ht="14.25" customHeight="1" spans="1:6">
      <c r="A106" s="96" t="s">
        <v>267</v>
      </c>
      <c r="B106" s="100" t="s">
        <v>2554</v>
      </c>
      <c r="C106" s="100"/>
      <c r="D106" s="100"/>
      <c r="E106" s="100"/>
      <c r="F106" s="136">
        <v>2320</v>
      </c>
    </row>
    <row r="107" s="122" customFormat="1" ht="14.25" customHeight="1" spans="1:6">
      <c r="A107" s="96" t="s">
        <v>267</v>
      </c>
      <c r="B107" s="100" t="s">
        <v>2559</v>
      </c>
      <c r="C107" s="100"/>
      <c r="D107" s="100"/>
      <c r="E107" s="100"/>
      <c r="F107" s="136">
        <v>2280</v>
      </c>
    </row>
    <row r="108" s="122" customFormat="1" ht="14.25" customHeight="1" spans="1:6">
      <c r="A108" s="96" t="s">
        <v>267</v>
      </c>
      <c r="B108" s="100" t="s">
        <v>2564</v>
      </c>
      <c r="C108" s="100"/>
      <c r="D108" s="100"/>
      <c r="E108" s="100"/>
      <c r="F108" s="136">
        <v>2280</v>
      </c>
    </row>
    <row r="109" s="122" customFormat="1" ht="14.25" customHeight="1" spans="1:6">
      <c r="A109" s="96" t="s">
        <v>267</v>
      </c>
      <c r="B109" s="111" t="s">
        <v>2569</v>
      </c>
      <c r="C109" s="111"/>
      <c r="D109" s="111"/>
      <c r="E109" s="111"/>
      <c r="F109" s="138">
        <v>2280</v>
      </c>
    </row>
    <row r="110" s="122" customFormat="1" ht="14.25" customHeight="1" spans="1:6">
      <c r="A110" s="96" t="s">
        <v>273</v>
      </c>
      <c r="B110" s="97" t="s">
        <v>2281</v>
      </c>
      <c r="C110" s="97">
        <v>10520</v>
      </c>
      <c r="D110" s="97">
        <v>10490</v>
      </c>
      <c r="E110" s="97">
        <v>10760</v>
      </c>
      <c r="F110" s="133">
        <v>2160</v>
      </c>
    </row>
    <row r="111" s="122" customFormat="1" ht="14.25" customHeight="1" spans="1:6">
      <c r="A111" s="96" t="s">
        <v>273</v>
      </c>
      <c r="B111" s="100" t="s">
        <v>2294</v>
      </c>
      <c r="C111" s="100">
        <v>10090</v>
      </c>
      <c r="D111" s="100">
        <v>10060</v>
      </c>
      <c r="E111" s="100">
        <v>10300</v>
      </c>
      <c r="F111" s="136">
        <v>2010</v>
      </c>
    </row>
    <row r="112" s="122" customFormat="1" ht="14.25" customHeight="1" spans="1:6">
      <c r="A112" s="96" t="s">
        <v>273</v>
      </c>
      <c r="B112" s="100" t="s">
        <v>2308</v>
      </c>
      <c r="C112" s="100">
        <v>9910</v>
      </c>
      <c r="D112" s="100">
        <v>9850</v>
      </c>
      <c r="E112" s="100">
        <v>9960</v>
      </c>
      <c r="F112" s="136">
        <v>2090</v>
      </c>
    </row>
    <row r="113" s="122" customFormat="1" ht="14.25" customHeight="1" spans="1:6">
      <c r="A113" s="96" t="s">
        <v>273</v>
      </c>
      <c r="B113" s="100" t="s">
        <v>2320</v>
      </c>
      <c r="C113" s="100">
        <v>11430</v>
      </c>
      <c r="D113" s="100">
        <v>11400</v>
      </c>
      <c r="E113" s="100">
        <v>11710</v>
      </c>
      <c r="F113" s="136">
        <v>2050</v>
      </c>
    </row>
    <row r="114" s="122" customFormat="1" ht="14.25" customHeight="1" spans="1:6">
      <c r="A114" s="96" t="s">
        <v>273</v>
      </c>
      <c r="B114" s="100" t="s">
        <v>2332</v>
      </c>
      <c r="C114" s="100">
        <v>11390</v>
      </c>
      <c r="D114" s="100">
        <v>11350</v>
      </c>
      <c r="E114" s="100">
        <v>11640</v>
      </c>
      <c r="F114" s="136">
        <v>1620</v>
      </c>
    </row>
    <row r="115" s="122" customFormat="1" ht="14.25" customHeight="1" spans="1:6">
      <c r="A115" s="96" t="s">
        <v>273</v>
      </c>
      <c r="B115" s="100" t="s">
        <v>2343</v>
      </c>
      <c r="C115" s="100">
        <v>9930</v>
      </c>
      <c r="D115" s="100">
        <v>9900</v>
      </c>
      <c r="E115" s="100">
        <v>10160</v>
      </c>
      <c r="F115" s="136">
        <v>1580</v>
      </c>
    </row>
    <row r="116" s="122" customFormat="1" ht="14.25" customHeight="1" spans="1:6">
      <c r="A116" s="96" t="s">
        <v>273</v>
      </c>
      <c r="B116" s="100" t="s">
        <v>2354</v>
      </c>
      <c r="C116" s="100">
        <v>9150</v>
      </c>
      <c r="D116" s="100">
        <v>9120</v>
      </c>
      <c r="E116" s="100">
        <v>9380</v>
      </c>
      <c r="F116" s="136">
        <v>1750</v>
      </c>
    </row>
    <row r="117" s="122" customFormat="1" ht="14.25" customHeight="1" spans="1:6">
      <c r="A117" s="96" t="s">
        <v>273</v>
      </c>
      <c r="B117" s="100" t="s">
        <v>2365</v>
      </c>
      <c r="C117" s="100">
        <v>10680</v>
      </c>
      <c r="D117" s="100">
        <v>10650</v>
      </c>
      <c r="E117" s="100">
        <v>10970</v>
      </c>
      <c r="F117" s="136">
        <v>1730</v>
      </c>
    </row>
    <row r="118" s="122" customFormat="1" ht="14.25" customHeight="1" spans="1:6">
      <c r="A118" s="96" t="s">
        <v>273</v>
      </c>
      <c r="B118" s="100" t="s">
        <v>2375</v>
      </c>
      <c r="C118" s="100">
        <v>10080</v>
      </c>
      <c r="D118" s="100">
        <v>10050</v>
      </c>
      <c r="E118" s="100">
        <v>10350</v>
      </c>
      <c r="F118" s="136">
        <v>1920</v>
      </c>
    </row>
    <row r="119" s="122" customFormat="1" ht="14.25" customHeight="1" spans="1:6">
      <c r="A119" s="96" t="s">
        <v>273</v>
      </c>
      <c r="B119" s="100" t="s">
        <v>2385</v>
      </c>
      <c r="C119" s="100">
        <v>9450</v>
      </c>
      <c r="D119" s="100">
        <v>9410</v>
      </c>
      <c r="E119" s="100">
        <v>9680</v>
      </c>
      <c r="F119" s="136">
        <v>1880</v>
      </c>
    </row>
    <row r="120" s="122" customFormat="1" ht="14.25" customHeight="1" spans="1:6">
      <c r="A120" s="96" t="s">
        <v>273</v>
      </c>
      <c r="B120" s="100" t="s">
        <v>2395</v>
      </c>
      <c r="C120" s="100">
        <v>8730</v>
      </c>
      <c r="D120" s="100">
        <v>8700</v>
      </c>
      <c r="E120" s="100">
        <v>8950</v>
      </c>
      <c r="F120" s="136">
        <v>1830</v>
      </c>
    </row>
    <row r="121" s="122" customFormat="1" ht="14.25" customHeight="1" spans="1:6">
      <c r="A121" s="96" t="s">
        <v>273</v>
      </c>
      <c r="B121" s="100" t="s">
        <v>2405</v>
      </c>
      <c r="C121" s="100">
        <v>10070</v>
      </c>
      <c r="D121" s="100">
        <v>10040</v>
      </c>
      <c r="E121" s="100">
        <v>10270</v>
      </c>
      <c r="F121" s="136">
        <v>1960</v>
      </c>
    </row>
    <row r="122" s="122" customFormat="1" ht="14.25" customHeight="1" spans="1:6">
      <c r="A122" s="96" t="s">
        <v>273</v>
      </c>
      <c r="B122" s="100" t="s">
        <v>2415</v>
      </c>
      <c r="C122" s="100">
        <v>10500</v>
      </c>
      <c r="D122" s="100">
        <v>10470</v>
      </c>
      <c r="E122" s="100">
        <v>10780</v>
      </c>
      <c r="F122" s="136">
        <v>2180</v>
      </c>
    </row>
    <row r="123" s="122" customFormat="1" ht="14.25" customHeight="1" spans="1:6">
      <c r="A123" s="96" t="s">
        <v>273</v>
      </c>
      <c r="B123" s="100" t="s">
        <v>2425</v>
      </c>
      <c r="C123" s="100">
        <v>10390</v>
      </c>
      <c r="D123" s="100">
        <v>10360</v>
      </c>
      <c r="E123" s="100">
        <v>10660</v>
      </c>
      <c r="F123" s="136">
        <v>2040</v>
      </c>
    </row>
    <row r="124" s="122" customFormat="1" ht="14.25" customHeight="1" spans="1:6">
      <c r="A124" s="96" t="s">
        <v>273</v>
      </c>
      <c r="B124" s="100" t="s">
        <v>2435</v>
      </c>
      <c r="C124" s="100">
        <v>10390</v>
      </c>
      <c r="D124" s="100">
        <v>10360</v>
      </c>
      <c r="E124" s="100">
        <v>10680</v>
      </c>
      <c r="F124" s="139"/>
    </row>
    <row r="125" s="122" customFormat="1" ht="14.25" customHeight="1" spans="1:6">
      <c r="A125" s="96" t="s">
        <v>273</v>
      </c>
      <c r="B125" s="100" t="s">
        <v>2445</v>
      </c>
      <c r="C125" s="100">
        <v>10440</v>
      </c>
      <c r="D125" s="100">
        <v>10410</v>
      </c>
      <c r="E125" s="100">
        <v>10710</v>
      </c>
      <c r="F125" s="139"/>
    </row>
    <row r="126" s="122" customFormat="1" ht="14.25" customHeight="1" spans="1:6">
      <c r="A126" s="96" t="s">
        <v>273</v>
      </c>
      <c r="B126" s="100" t="s">
        <v>2455</v>
      </c>
      <c r="C126" s="100">
        <v>10780</v>
      </c>
      <c r="D126" s="100">
        <v>10750</v>
      </c>
      <c r="E126" s="100">
        <v>11080</v>
      </c>
      <c r="F126" s="139"/>
    </row>
    <row r="127" s="122" customFormat="1" ht="14.25" customHeight="1" spans="1:6">
      <c r="A127" s="96" t="s">
        <v>273</v>
      </c>
      <c r="B127" s="100" t="s">
        <v>2465</v>
      </c>
      <c r="C127" s="100">
        <v>10100</v>
      </c>
      <c r="D127" s="100">
        <v>10070</v>
      </c>
      <c r="E127" s="100">
        <v>10350</v>
      </c>
      <c r="F127" s="139"/>
    </row>
    <row r="128" s="122" customFormat="1" ht="14.25" customHeight="1" spans="1:6">
      <c r="A128" s="96" t="s">
        <v>273</v>
      </c>
      <c r="B128" s="100" t="s">
        <v>2475</v>
      </c>
      <c r="C128" s="100">
        <v>9200</v>
      </c>
      <c r="D128" s="100">
        <v>9160</v>
      </c>
      <c r="E128" s="100">
        <v>9660</v>
      </c>
      <c r="F128" s="139"/>
    </row>
    <row r="129" s="122" customFormat="1" ht="14.25" customHeight="1" spans="1:6">
      <c r="A129" s="96" t="s">
        <v>273</v>
      </c>
      <c r="B129" s="100" t="s">
        <v>2484</v>
      </c>
      <c r="C129" s="100">
        <v>10340</v>
      </c>
      <c r="D129" s="100">
        <v>10310</v>
      </c>
      <c r="E129" s="100">
        <v>10580</v>
      </c>
      <c r="F129" s="139"/>
    </row>
    <row r="130" s="122" customFormat="1" ht="14.25" customHeight="1" spans="1:6">
      <c r="A130" s="96" t="s">
        <v>273</v>
      </c>
      <c r="B130" s="100" t="s">
        <v>2492</v>
      </c>
      <c r="C130" s="100">
        <v>9680</v>
      </c>
      <c r="D130" s="100">
        <v>9660</v>
      </c>
      <c r="E130" s="100">
        <v>9950</v>
      </c>
      <c r="F130" s="139"/>
    </row>
    <row r="131" s="122" customFormat="1" ht="14.25" customHeight="1" spans="1:6">
      <c r="A131" s="96" t="s">
        <v>273</v>
      </c>
      <c r="B131" s="100" t="s">
        <v>2500</v>
      </c>
      <c r="C131" s="100">
        <v>9540</v>
      </c>
      <c r="D131" s="100">
        <v>9510</v>
      </c>
      <c r="E131" s="100">
        <v>9790</v>
      </c>
      <c r="F131" s="139"/>
    </row>
    <row r="132" s="122" customFormat="1" ht="14.25" customHeight="1" spans="1:6">
      <c r="A132" s="96" t="s">
        <v>273</v>
      </c>
      <c r="B132" s="100" t="s">
        <v>2507</v>
      </c>
      <c r="C132" s="100">
        <v>9320</v>
      </c>
      <c r="D132" s="100">
        <v>9290</v>
      </c>
      <c r="E132" s="100">
        <v>9570</v>
      </c>
      <c r="F132" s="139"/>
    </row>
    <row r="133" s="122" customFormat="1" ht="14.25" customHeight="1" spans="1:6">
      <c r="A133" s="96" t="s">
        <v>273</v>
      </c>
      <c r="B133" s="100" t="s">
        <v>2514</v>
      </c>
      <c r="C133" s="100">
        <v>10310</v>
      </c>
      <c r="D133" s="100">
        <v>10280</v>
      </c>
      <c r="E133" s="100">
        <v>10530</v>
      </c>
      <c r="F133" s="139"/>
    </row>
    <row r="134" s="122" customFormat="1" ht="14.25" customHeight="1" spans="1:6">
      <c r="A134" s="96" t="s">
        <v>273</v>
      </c>
      <c r="B134" s="100" t="s">
        <v>2521</v>
      </c>
      <c r="C134" s="100">
        <v>10370</v>
      </c>
      <c r="D134" s="100">
        <v>10310</v>
      </c>
      <c r="E134" s="100">
        <v>10240</v>
      </c>
      <c r="F134" s="136">
        <v>2060</v>
      </c>
    </row>
    <row r="135" s="122" customFormat="1" ht="14.25" customHeight="1" spans="1:6">
      <c r="A135" s="96" t="s">
        <v>273</v>
      </c>
      <c r="B135" s="100" t="s">
        <v>2528</v>
      </c>
      <c r="C135" s="100">
        <v>9300</v>
      </c>
      <c r="D135" s="100">
        <v>9270</v>
      </c>
      <c r="E135" s="100">
        <v>9350</v>
      </c>
      <c r="F135" s="139"/>
    </row>
    <row r="136" s="122" customFormat="1" ht="14.25" customHeight="1" spans="1:6">
      <c r="A136" s="96" t="s">
        <v>273</v>
      </c>
      <c r="B136" s="100" t="s">
        <v>2535</v>
      </c>
      <c r="C136" s="100">
        <v>10160</v>
      </c>
      <c r="D136" s="100">
        <v>10110</v>
      </c>
      <c r="E136" s="100">
        <v>10080</v>
      </c>
      <c r="F136" s="139"/>
    </row>
    <row r="137" s="122" customFormat="1" ht="14.25" customHeight="1" spans="1:6">
      <c r="A137" s="96" t="s">
        <v>273</v>
      </c>
      <c r="B137" s="100" t="s">
        <v>2540</v>
      </c>
      <c r="C137" s="100">
        <v>9200</v>
      </c>
      <c r="D137" s="100">
        <v>9170</v>
      </c>
      <c r="E137" s="100">
        <v>9450</v>
      </c>
      <c r="F137" s="139"/>
    </row>
    <row r="138" s="122" customFormat="1" ht="14.25" customHeight="1" spans="1:6">
      <c r="A138" s="96" t="s">
        <v>273</v>
      </c>
      <c r="B138" s="100" t="s">
        <v>2545</v>
      </c>
      <c r="C138" s="100">
        <v>9690</v>
      </c>
      <c r="D138" s="100">
        <v>9660</v>
      </c>
      <c r="E138" s="100">
        <v>9840</v>
      </c>
      <c r="F138" s="139"/>
    </row>
    <row r="139" s="122" customFormat="1" ht="14.25" customHeight="1" spans="1:6">
      <c r="A139" s="96" t="s">
        <v>273</v>
      </c>
      <c r="B139" s="100" t="s">
        <v>2550</v>
      </c>
      <c r="C139" s="100">
        <v>10290</v>
      </c>
      <c r="D139" s="100">
        <v>10260</v>
      </c>
      <c r="E139" s="100">
        <v>10550</v>
      </c>
      <c r="F139" s="136">
        <v>1700</v>
      </c>
    </row>
    <row r="140" s="122" customFormat="1" ht="14.25" customHeight="1" spans="1:6">
      <c r="A140" s="96" t="s">
        <v>273</v>
      </c>
      <c r="B140" s="100" t="s">
        <v>2555</v>
      </c>
      <c r="C140" s="100">
        <v>9740</v>
      </c>
      <c r="D140" s="100">
        <v>9710</v>
      </c>
      <c r="E140" s="100">
        <v>10000</v>
      </c>
      <c r="F140" s="136">
        <v>2000</v>
      </c>
    </row>
    <row r="141" s="122" customFormat="1" ht="14.25" customHeight="1" spans="1:6">
      <c r="A141" s="96" t="s">
        <v>273</v>
      </c>
      <c r="B141" s="100" t="s">
        <v>2560</v>
      </c>
      <c r="C141" s="100">
        <v>9810</v>
      </c>
      <c r="D141" s="100">
        <v>9770</v>
      </c>
      <c r="E141" s="100">
        <v>10060</v>
      </c>
      <c r="F141" s="139"/>
    </row>
    <row r="142" s="122" customFormat="1" ht="14.25" customHeight="1" spans="1:6">
      <c r="A142" s="96" t="s">
        <v>273</v>
      </c>
      <c r="B142" s="100" t="s">
        <v>2565</v>
      </c>
      <c r="C142" s="100">
        <v>9300</v>
      </c>
      <c r="D142" s="100">
        <v>9270</v>
      </c>
      <c r="E142" s="100">
        <v>9530</v>
      </c>
      <c r="F142" s="139"/>
    </row>
    <row r="143" s="122" customFormat="1" ht="14.25" customHeight="1" spans="1:6">
      <c r="A143" s="96" t="s">
        <v>273</v>
      </c>
      <c r="B143" s="100" t="s">
        <v>2570</v>
      </c>
      <c r="C143" s="100">
        <v>10080</v>
      </c>
      <c r="D143" s="100">
        <v>10050</v>
      </c>
      <c r="E143" s="100">
        <v>10340</v>
      </c>
      <c r="F143" s="139"/>
    </row>
    <row r="144" s="122" customFormat="1" ht="14.25" customHeight="1" spans="1:6">
      <c r="A144" s="96" t="s">
        <v>273</v>
      </c>
      <c r="B144" s="100" t="s">
        <v>2574</v>
      </c>
      <c r="C144" s="100">
        <v>9820</v>
      </c>
      <c r="D144" s="100">
        <v>9750</v>
      </c>
      <c r="E144" s="100">
        <v>9900</v>
      </c>
      <c r="F144" s="139"/>
    </row>
    <row r="145" s="122" customFormat="1" ht="14.25" customHeight="1" spans="1:6">
      <c r="A145" s="96" t="s">
        <v>273</v>
      </c>
      <c r="B145" s="100" t="s">
        <v>2578</v>
      </c>
      <c r="C145" s="100"/>
      <c r="D145" s="100"/>
      <c r="E145" s="100"/>
      <c r="F145" s="136">
        <v>1740</v>
      </c>
    </row>
    <row r="146" s="122" customFormat="1" ht="14.25" customHeight="1" spans="1:6">
      <c r="A146" s="96" t="s">
        <v>273</v>
      </c>
      <c r="B146" s="100" t="s">
        <v>2582</v>
      </c>
      <c r="C146" s="100"/>
      <c r="D146" s="100"/>
      <c r="E146" s="100"/>
      <c r="F146" s="136">
        <v>1740</v>
      </c>
    </row>
    <row r="147" s="122" customFormat="1" ht="14.25" customHeight="1" spans="1:6">
      <c r="A147" s="96" t="s">
        <v>273</v>
      </c>
      <c r="B147" s="100" t="s">
        <v>2586</v>
      </c>
      <c r="C147" s="100"/>
      <c r="D147" s="100"/>
      <c r="E147" s="100"/>
      <c r="F147" s="136">
        <v>1740</v>
      </c>
    </row>
    <row r="148" s="122" customFormat="1" ht="14.25" customHeight="1" spans="1:6">
      <c r="A148" s="96" t="s">
        <v>273</v>
      </c>
      <c r="B148" s="100" t="s">
        <v>2590</v>
      </c>
      <c r="C148" s="100"/>
      <c r="D148" s="100"/>
      <c r="E148" s="100"/>
      <c r="F148" s="136">
        <v>1740</v>
      </c>
    </row>
    <row r="149" s="122" customFormat="1" ht="14.25" customHeight="1" spans="1:6">
      <c r="A149" s="96" t="s">
        <v>273</v>
      </c>
      <c r="B149" s="100" t="s">
        <v>2594</v>
      </c>
      <c r="C149" s="100"/>
      <c r="D149" s="100"/>
      <c r="E149" s="100"/>
      <c r="F149" s="136">
        <v>1740</v>
      </c>
    </row>
    <row r="150" s="122" customFormat="1" ht="14.25" customHeight="1" spans="1:6">
      <c r="A150" s="96" t="s">
        <v>273</v>
      </c>
      <c r="B150" s="100" t="s">
        <v>2597</v>
      </c>
      <c r="C150" s="100"/>
      <c r="D150" s="100"/>
      <c r="E150" s="100"/>
      <c r="F150" s="136">
        <v>1610</v>
      </c>
    </row>
    <row r="151" s="122" customFormat="1" ht="14.25" customHeight="1" spans="1:6">
      <c r="A151" s="96" t="s">
        <v>273</v>
      </c>
      <c r="B151" s="100" t="s">
        <v>2600</v>
      </c>
      <c r="C151" s="100"/>
      <c r="D151" s="100"/>
      <c r="E151" s="100"/>
      <c r="F151" s="136">
        <v>1610</v>
      </c>
    </row>
    <row r="152" s="122" customFormat="1" ht="14.25" customHeight="1" spans="1:6">
      <c r="A152" s="96" t="s">
        <v>273</v>
      </c>
      <c r="B152" s="100" t="s">
        <v>2603</v>
      </c>
      <c r="C152" s="100"/>
      <c r="D152" s="100"/>
      <c r="E152" s="100"/>
      <c r="F152" s="136">
        <v>1610</v>
      </c>
    </row>
    <row r="153" s="122" customFormat="1" ht="14.25" customHeight="1" spans="1:6">
      <c r="A153" s="96" t="s">
        <v>273</v>
      </c>
      <c r="B153" s="100" t="s">
        <v>2606</v>
      </c>
      <c r="C153" s="100"/>
      <c r="D153" s="100"/>
      <c r="E153" s="100"/>
      <c r="F153" s="136">
        <v>1610</v>
      </c>
    </row>
    <row r="154" s="122" customFormat="1" ht="14.25" customHeight="1" spans="1:6">
      <c r="A154" s="96" t="s">
        <v>273</v>
      </c>
      <c r="B154" s="100" t="s">
        <v>2609</v>
      </c>
      <c r="C154" s="100"/>
      <c r="D154" s="100"/>
      <c r="E154" s="100"/>
      <c r="F154" s="136">
        <v>1610</v>
      </c>
    </row>
    <row r="155" s="122" customFormat="1" ht="14.25" customHeight="1" spans="1:6">
      <c r="A155" s="96" t="s">
        <v>273</v>
      </c>
      <c r="B155" s="100" t="s">
        <v>2612</v>
      </c>
      <c r="C155" s="100"/>
      <c r="D155" s="100"/>
      <c r="E155" s="100"/>
      <c r="F155" s="136">
        <v>1800</v>
      </c>
    </row>
    <row r="156" s="122" customFormat="1" ht="14.25" customHeight="1" spans="1:6">
      <c r="A156" s="96" t="s">
        <v>273</v>
      </c>
      <c r="B156" s="100" t="s">
        <v>2614</v>
      </c>
      <c r="C156" s="100"/>
      <c r="D156" s="100"/>
      <c r="E156" s="100"/>
      <c r="F156" s="136">
        <v>1910</v>
      </c>
    </row>
    <row r="157" s="122" customFormat="1" ht="14.25" customHeight="1" spans="1:6">
      <c r="A157" s="96" t="s">
        <v>273</v>
      </c>
      <c r="B157" s="111" t="s">
        <v>2616</v>
      </c>
      <c r="C157" s="111"/>
      <c r="D157" s="111"/>
      <c r="E157" s="111"/>
      <c r="F157" s="138">
        <v>1500</v>
      </c>
    </row>
    <row r="158" s="122" customFormat="1" ht="14.25" customHeight="1" spans="1:6">
      <c r="A158" s="96" t="s">
        <v>278</v>
      </c>
      <c r="B158" s="97" t="s">
        <v>2282</v>
      </c>
      <c r="C158" s="97">
        <v>8170</v>
      </c>
      <c r="D158" s="97">
        <v>8140</v>
      </c>
      <c r="E158" s="97">
        <v>8590</v>
      </c>
      <c r="F158" s="133">
        <v>1450</v>
      </c>
    </row>
    <row r="159" s="122" customFormat="1" ht="14.25" customHeight="1" spans="1:6">
      <c r="A159" s="96" t="s">
        <v>278</v>
      </c>
      <c r="B159" s="100" t="s">
        <v>2295</v>
      </c>
      <c r="C159" s="100">
        <v>7410</v>
      </c>
      <c r="D159" s="100">
        <v>7370</v>
      </c>
      <c r="E159" s="100">
        <v>8030</v>
      </c>
      <c r="F159" s="136">
        <v>1510</v>
      </c>
    </row>
    <row r="160" s="122" customFormat="1" ht="14.25" customHeight="1" spans="1:6">
      <c r="A160" s="96" t="s">
        <v>278</v>
      </c>
      <c r="B160" s="100" t="s">
        <v>2309</v>
      </c>
      <c r="C160" s="100">
        <v>7240</v>
      </c>
      <c r="D160" s="100">
        <v>7210</v>
      </c>
      <c r="E160" s="100">
        <v>7860</v>
      </c>
      <c r="F160" s="136">
        <v>1370</v>
      </c>
    </row>
    <row r="161" s="122" customFormat="1" ht="14.25" customHeight="1" spans="1:6">
      <c r="A161" s="96" t="s">
        <v>278</v>
      </c>
      <c r="B161" s="100" t="s">
        <v>2321</v>
      </c>
      <c r="C161" s="100">
        <v>7720</v>
      </c>
      <c r="D161" s="100">
        <v>7690</v>
      </c>
      <c r="E161" s="100">
        <v>8200</v>
      </c>
      <c r="F161" s="136">
        <v>1190</v>
      </c>
    </row>
    <row r="162" s="122" customFormat="1" ht="14.25" customHeight="1" spans="1:6">
      <c r="A162" s="96" t="s">
        <v>278</v>
      </c>
      <c r="B162" s="100" t="s">
        <v>2333</v>
      </c>
      <c r="C162" s="100">
        <v>6900</v>
      </c>
      <c r="D162" s="100">
        <v>6870</v>
      </c>
      <c r="E162" s="100">
        <v>7500</v>
      </c>
      <c r="F162" s="136">
        <v>1390</v>
      </c>
    </row>
    <row r="163" s="122" customFormat="1" ht="14.25" customHeight="1" spans="1:6">
      <c r="A163" s="96" t="s">
        <v>278</v>
      </c>
      <c r="B163" s="100" t="s">
        <v>2344</v>
      </c>
      <c r="C163" s="100">
        <v>7120</v>
      </c>
      <c r="D163" s="100">
        <v>7090</v>
      </c>
      <c r="E163" s="100">
        <v>7690</v>
      </c>
      <c r="F163" s="136">
        <v>1230</v>
      </c>
    </row>
    <row r="164" s="122" customFormat="1" ht="14.25" customHeight="1" spans="1:6">
      <c r="A164" s="96" t="s">
        <v>278</v>
      </c>
      <c r="B164" s="100" t="s">
        <v>2355</v>
      </c>
      <c r="C164" s="100">
        <v>6560</v>
      </c>
      <c r="D164" s="100">
        <v>6530</v>
      </c>
      <c r="E164" s="100">
        <v>7110</v>
      </c>
      <c r="F164" s="136">
        <v>1340</v>
      </c>
    </row>
    <row r="165" s="122" customFormat="1" ht="14.25" customHeight="1" spans="1:6">
      <c r="A165" s="96" t="s">
        <v>278</v>
      </c>
      <c r="B165" s="100" t="s">
        <v>2366</v>
      </c>
      <c r="C165" s="100">
        <v>7450</v>
      </c>
      <c r="D165" s="100">
        <v>7430</v>
      </c>
      <c r="E165" s="100">
        <v>8110</v>
      </c>
      <c r="F165" s="136">
        <v>1290</v>
      </c>
    </row>
    <row r="166" s="122" customFormat="1" ht="14.25" customHeight="1" spans="1:6">
      <c r="A166" s="96" t="s">
        <v>278</v>
      </c>
      <c r="B166" s="100" t="s">
        <v>2376</v>
      </c>
      <c r="C166" s="100">
        <v>7490</v>
      </c>
      <c r="D166" s="100">
        <v>7460</v>
      </c>
      <c r="E166" s="100">
        <v>8150</v>
      </c>
      <c r="F166" s="136">
        <v>1350</v>
      </c>
    </row>
    <row r="167" s="122" customFormat="1" ht="14.25" customHeight="1" spans="1:6">
      <c r="A167" s="96" t="s">
        <v>278</v>
      </c>
      <c r="B167" s="100" t="s">
        <v>2386</v>
      </c>
      <c r="C167" s="100">
        <v>7540</v>
      </c>
      <c r="D167" s="100">
        <v>7510</v>
      </c>
      <c r="E167" s="100">
        <v>8030</v>
      </c>
      <c r="F167" s="139"/>
    </row>
    <row r="168" s="122" customFormat="1" ht="14.25" customHeight="1" spans="1:6">
      <c r="A168" s="96" t="s">
        <v>278</v>
      </c>
      <c r="B168" s="100" t="s">
        <v>2396</v>
      </c>
      <c r="C168" s="100">
        <v>7210</v>
      </c>
      <c r="D168" s="100">
        <v>7180</v>
      </c>
      <c r="E168" s="100">
        <v>7830</v>
      </c>
      <c r="F168" s="139"/>
    </row>
    <row r="169" s="122" customFormat="1" ht="14.25" customHeight="1" spans="1:6">
      <c r="A169" s="96" t="s">
        <v>278</v>
      </c>
      <c r="B169" s="100" t="s">
        <v>2406</v>
      </c>
      <c r="C169" s="100">
        <v>7040</v>
      </c>
      <c r="D169" s="100">
        <v>7020</v>
      </c>
      <c r="E169" s="100">
        <v>7670</v>
      </c>
      <c r="F169" s="139"/>
    </row>
    <row r="170" s="122" customFormat="1" ht="14.25" customHeight="1" spans="1:6">
      <c r="A170" s="96" t="s">
        <v>278</v>
      </c>
      <c r="B170" s="100" t="s">
        <v>2416</v>
      </c>
      <c r="C170" s="100">
        <v>8040</v>
      </c>
      <c r="D170" s="100">
        <v>7190</v>
      </c>
      <c r="E170" s="100">
        <v>7850</v>
      </c>
      <c r="F170" s="139"/>
    </row>
    <row r="171" s="122" customFormat="1" ht="14.25" customHeight="1" spans="1:6">
      <c r="A171" s="96" t="s">
        <v>278</v>
      </c>
      <c r="B171" s="100" t="s">
        <v>2426</v>
      </c>
      <c r="C171" s="100">
        <v>7860</v>
      </c>
      <c r="D171" s="100">
        <v>7720</v>
      </c>
      <c r="E171" s="100">
        <v>8150</v>
      </c>
      <c r="F171" s="136">
        <v>1110</v>
      </c>
    </row>
    <row r="172" s="122" customFormat="1" ht="14.25" customHeight="1" spans="1:6">
      <c r="A172" s="96" t="s">
        <v>278</v>
      </c>
      <c r="B172" s="100" t="s">
        <v>2436</v>
      </c>
      <c r="C172" s="100">
        <v>7210</v>
      </c>
      <c r="D172" s="100">
        <v>7170</v>
      </c>
      <c r="E172" s="100">
        <v>7320</v>
      </c>
      <c r="F172" s="139"/>
    </row>
    <row r="173" s="122" customFormat="1" ht="14.25" customHeight="1" spans="1:6">
      <c r="A173" s="96" t="s">
        <v>278</v>
      </c>
      <c r="B173" s="100" t="s">
        <v>2446</v>
      </c>
      <c r="C173" s="100">
        <v>6860</v>
      </c>
      <c r="D173" s="100">
        <v>6810</v>
      </c>
      <c r="E173" s="100">
        <v>7440</v>
      </c>
      <c r="F173" s="139"/>
    </row>
    <row r="174" s="122" customFormat="1" ht="14.25" customHeight="1" spans="1:6">
      <c r="A174" s="96" t="s">
        <v>278</v>
      </c>
      <c r="B174" s="100" t="s">
        <v>2456</v>
      </c>
      <c r="C174" s="100">
        <v>7120</v>
      </c>
      <c r="D174" s="100">
        <v>7090</v>
      </c>
      <c r="E174" s="100">
        <v>7500</v>
      </c>
      <c r="F174" s="136">
        <v>1490</v>
      </c>
    </row>
    <row r="175" s="122" customFormat="1" ht="14.25" customHeight="1" spans="1:6">
      <c r="A175" s="96" t="s">
        <v>278</v>
      </c>
      <c r="B175" s="100" t="s">
        <v>2466</v>
      </c>
      <c r="C175" s="100">
        <v>7850</v>
      </c>
      <c r="D175" s="100">
        <v>7820</v>
      </c>
      <c r="E175" s="100">
        <v>8120</v>
      </c>
      <c r="F175" s="136">
        <v>1530</v>
      </c>
    </row>
    <row r="176" s="122" customFormat="1" ht="14.25" customHeight="1" spans="1:6">
      <c r="A176" s="96" t="s">
        <v>278</v>
      </c>
      <c r="B176" s="100" t="s">
        <v>2476</v>
      </c>
      <c r="C176" s="100">
        <v>7620</v>
      </c>
      <c r="D176" s="100">
        <v>7570</v>
      </c>
      <c r="E176" s="100">
        <v>7990</v>
      </c>
      <c r="F176" s="136">
        <v>1480</v>
      </c>
    </row>
    <row r="177" s="122" customFormat="1" ht="14.25" customHeight="1" spans="1:6">
      <c r="A177" s="96" t="s">
        <v>278</v>
      </c>
      <c r="B177" s="100" t="s">
        <v>2485</v>
      </c>
      <c r="C177" s="100">
        <v>8590</v>
      </c>
      <c r="D177" s="100">
        <v>8570</v>
      </c>
      <c r="E177" s="100">
        <v>8740</v>
      </c>
      <c r="F177" s="136">
        <v>1540</v>
      </c>
    </row>
    <row r="178" s="122" customFormat="1" ht="14.25" customHeight="1" spans="1:6">
      <c r="A178" s="96" t="s">
        <v>278</v>
      </c>
      <c r="B178" s="100" t="s">
        <v>2493</v>
      </c>
      <c r="C178" s="100">
        <v>7510</v>
      </c>
      <c r="D178" s="100">
        <v>7470</v>
      </c>
      <c r="E178" s="100">
        <v>8090</v>
      </c>
      <c r="F178" s="136">
        <v>1320</v>
      </c>
    </row>
    <row r="179" s="122" customFormat="1" ht="14.25" customHeight="1" spans="1:6">
      <c r="A179" s="96" t="s">
        <v>278</v>
      </c>
      <c r="B179" s="100" t="s">
        <v>2501</v>
      </c>
      <c r="C179" s="100">
        <v>6380</v>
      </c>
      <c r="D179" s="100">
        <v>6340</v>
      </c>
      <c r="E179" s="100">
        <v>6810</v>
      </c>
      <c r="F179" s="139"/>
    </row>
    <row r="180" s="122" customFormat="1" ht="14.25" customHeight="1" spans="1:6">
      <c r="A180" s="96" t="s">
        <v>278</v>
      </c>
      <c r="B180" s="100" t="s">
        <v>2508</v>
      </c>
      <c r="C180" s="100">
        <v>7830</v>
      </c>
      <c r="D180" s="100">
        <v>7800</v>
      </c>
      <c r="E180" s="100">
        <v>7780</v>
      </c>
      <c r="F180" s="136">
        <v>1440</v>
      </c>
    </row>
    <row r="181" s="122" customFormat="1" ht="14.25" customHeight="1" spans="1:6">
      <c r="A181" s="96" t="s">
        <v>278</v>
      </c>
      <c r="B181" s="100" t="s">
        <v>2515</v>
      </c>
      <c r="C181" s="100">
        <v>7110</v>
      </c>
      <c r="D181" s="100">
        <v>7080</v>
      </c>
      <c r="E181" s="100">
        <v>7730</v>
      </c>
      <c r="F181" s="136">
        <v>1350</v>
      </c>
    </row>
    <row r="182" s="122" customFormat="1" ht="14.25" customHeight="1" spans="1:6">
      <c r="A182" s="96" t="s">
        <v>278</v>
      </c>
      <c r="B182" s="100" t="s">
        <v>2522</v>
      </c>
      <c r="C182" s="100">
        <v>7310</v>
      </c>
      <c r="D182" s="100">
        <v>7280</v>
      </c>
      <c r="E182" s="100">
        <v>7950</v>
      </c>
      <c r="F182" s="136">
        <v>1220</v>
      </c>
    </row>
    <row r="183" s="122" customFormat="1" ht="14.25" customHeight="1" spans="1:6">
      <c r="A183" s="96" t="s">
        <v>278</v>
      </c>
      <c r="B183" s="100" t="s">
        <v>2529</v>
      </c>
      <c r="C183" s="100">
        <v>7470</v>
      </c>
      <c r="D183" s="100">
        <v>7440</v>
      </c>
      <c r="E183" s="100">
        <v>7880</v>
      </c>
      <c r="F183" s="139"/>
    </row>
    <row r="184" s="122" customFormat="1" ht="14.25" customHeight="1" spans="1:6">
      <c r="A184" s="96" t="s">
        <v>278</v>
      </c>
      <c r="B184" s="100" t="s">
        <v>2536</v>
      </c>
      <c r="C184" s="100">
        <v>6960</v>
      </c>
      <c r="D184" s="100">
        <v>6930</v>
      </c>
      <c r="E184" s="100">
        <v>7570</v>
      </c>
      <c r="F184" s="139"/>
    </row>
    <row r="185" s="122" customFormat="1" ht="14.25" customHeight="1" spans="1:6">
      <c r="A185" s="96" t="s">
        <v>278</v>
      </c>
      <c r="B185" s="100" t="s">
        <v>2541</v>
      </c>
      <c r="C185" s="100">
        <v>7260</v>
      </c>
      <c r="D185" s="100">
        <v>7230</v>
      </c>
      <c r="E185" s="100">
        <v>7710</v>
      </c>
      <c r="F185" s="136">
        <v>1360</v>
      </c>
    </row>
    <row r="186" s="122" customFormat="1" ht="14.25" customHeight="1" spans="1:6">
      <c r="A186" s="96" t="s">
        <v>278</v>
      </c>
      <c r="B186" s="100" t="s">
        <v>2546</v>
      </c>
      <c r="C186" s="100"/>
      <c r="D186" s="100"/>
      <c r="E186" s="100"/>
      <c r="F186" s="136">
        <v>1560</v>
      </c>
    </row>
    <row r="187" s="122" customFormat="1" ht="14.25" customHeight="1" spans="1:6">
      <c r="A187" s="96" t="s">
        <v>278</v>
      </c>
      <c r="B187" s="100" t="s">
        <v>2551</v>
      </c>
      <c r="C187" s="100"/>
      <c r="D187" s="100"/>
      <c r="E187" s="100"/>
      <c r="F187" s="136">
        <v>1560</v>
      </c>
    </row>
    <row r="188" s="122" customFormat="1" ht="14.25" customHeight="1" spans="1:6">
      <c r="A188" s="96" t="s">
        <v>278</v>
      </c>
      <c r="B188" s="100" t="s">
        <v>2556</v>
      </c>
      <c r="C188" s="100"/>
      <c r="D188" s="100"/>
      <c r="E188" s="100"/>
      <c r="F188" s="136">
        <v>1560</v>
      </c>
    </row>
    <row r="189" s="122" customFormat="1" ht="14.25" customHeight="1" spans="1:6">
      <c r="A189" s="96" t="s">
        <v>278</v>
      </c>
      <c r="B189" s="100" t="s">
        <v>2561</v>
      </c>
      <c r="C189" s="100"/>
      <c r="D189" s="100"/>
      <c r="E189" s="100"/>
      <c r="F189" s="136">
        <v>1320</v>
      </c>
    </row>
    <row r="190" s="122" customFormat="1" ht="14.25" customHeight="1" spans="1:6">
      <c r="A190" s="96" t="s">
        <v>278</v>
      </c>
      <c r="B190" s="100" t="s">
        <v>2566</v>
      </c>
      <c r="C190" s="100"/>
      <c r="D190" s="100"/>
      <c r="E190" s="100"/>
      <c r="F190" s="136">
        <v>1320</v>
      </c>
    </row>
    <row r="191" s="122" customFormat="1" ht="14.25" customHeight="1" spans="1:6">
      <c r="A191" s="96" t="s">
        <v>278</v>
      </c>
      <c r="B191" s="100" t="s">
        <v>2571</v>
      </c>
      <c r="C191" s="100"/>
      <c r="D191" s="100"/>
      <c r="E191" s="100"/>
      <c r="F191" s="136">
        <v>1320</v>
      </c>
    </row>
    <row r="192" s="122" customFormat="1" ht="14.25" customHeight="1" spans="1:6">
      <c r="A192" s="96" t="s">
        <v>278</v>
      </c>
      <c r="B192" s="100" t="s">
        <v>2575</v>
      </c>
      <c r="C192" s="100"/>
      <c r="D192" s="100"/>
      <c r="E192" s="100"/>
      <c r="F192" s="136">
        <v>1100</v>
      </c>
    </row>
    <row r="193" s="122" customFormat="1" ht="14.25" customHeight="1" spans="1:6">
      <c r="A193" s="96" t="s">
        <v>278</v>
      </c>
      <c r="B193" s="100" t="s">
        <v>2579</v>
      </c>
      <c r="C193" s="100"/>
      <c r="D193" s="100"/>
      <c r="E193" s="100"/>
      <c r="F193" s="136">
        <v>1100</v>
      </c>
    </row>
    <row r="194" s="122" customFormat="1" ht="14.25" customHeight="1" spans="1:6">
      <c r="A194" s="96" t="s">
        <v>278</v>
      </c>
      <c r="B194" s="100" t="s">
        <v>2583</v>
      </c>
      <c r="C194" s="100"/>
      <c r="D194" s="100"/>
      <c r="E194" s="100"/>
      <c r="F194" s="136">
        <v>1080</v>
      </c>
    </row>
    <row r="195" s="122" customFormat="1" ht="14.25" customHeight="1" spans="1:6">
      <c r="A195" s="96" t="s">
        <v>278</v>
      </c>
      <c r="B195" s="100" t="s">
        <v>2587</v>
      </c>
      <c r="C195" s="100"/>
      <c r="D195" s="100"/>
      <c r="E195" s="100"/>
      <c r="F195" s="136">
        <v>1270</v>
      </c>
    </row>
    <row r="196" s="122" customFormat="1" ht="14.25" customHeight="1" spans="1:6">
      <c r="A196" s="96" t="s">
        <v>278</v>
      </c>
      <c r="B196" s="100" t="s">
        <v>2591</v>
      </c>
      <c r="C196" s="100"/>
      <c r="D196" s="100"/>
      <c r="E196" s="100"/>
      <c r="F196" s="136">
        <v>1150</v>
      </c>
    </row>
    <row r="197" s="122" customFormat="1" ht="14.25" customHeight="1" spans="1:6">
      <c r="A197" s="96" t="s">
        <v>278</v>
      </c>
      <c r="B197" s="100" t="s">
        <v>2595</v>
      </c>
      <c r="C197" s="100"/>
      <c r="D197" s="100"/>
      <c r="E197" s="100"/>
      <c r="F197" s="136">
        <v>1330</v>
      </c>
    </row>
    <row r="198" s="122" customFormat="1" ht="14.25" customHeight="1" spans="1:6">
      <c r="A198" s="96" t="s">
        <v>278</v>
      </c>
      <c r="B198" s="100" t="s">
        <v>2598</v>
      </c>
      <c r="C198" s="100"/>
      <c r="D198" s="100"/>
      <c r="E198" s="100"/>
      <c r="F198" s="136">
        <v>1170</v>
      </c>
    </row>
    <row r="199" s="122" customFormat="1" ht="14.25" customHeight="1" spans="1:6">
      <c r="A199" s="96" t="s">
        <v>278</v>
      </c>
      <c r="B199" s="100" t="s">
        <v>2601</v>
      </c>
      <c r="C199" s="100"/>
      <c r="D199" s="100"/>
      <c r="E199" s="100"/>
      <c r="F199" s="136">
        <v>1120</v>
      </c>
    </row>
    <row r="200" s="122" customFormat="1" ht="14.25" customHeight="1" spans="1:6">
      <c r="A200" s="96" t="s">
        <v>278</v>
      </c>
      <c r="B200" s="100" t="s">
        <v>2604</v>
      </c>
      <c r="C200" s="100"/>
      <c r="D200" s="100"/>
      <c r="E200" s="100"/>
      <c r="F200" s="136">
        <v>1120</v>
      </c>
    </row>
    <row r="201" s="122" customFormat="1" ht="14.25" customHeight="1" spans="1:6">
      <c r="A201" s="96" t="s">
        <v>278</v>
      </c>
      <c r="B201" s="100" t="s">
        <v>2607</v>
      </c>
      <c r="C201" s="100"/>
      <c r="D201" s="100"/>
      <c r="E201" s="100"/>
      <c r="F201" s="136">
        <v>1540</v>
      </c>
    </row>
    <row r="202" s="122" customFormat="1" ht="14.25" customHeight="1" spans="1:6">
      <c r="A202" s="96" t="s">
        <v>278</v>
      </c>
      <c r="B202" s="100" t="s">
        <v>2610</v>
      </c>
      <c r="C202" s="100"/>
      <c r="D202" s="100"/>
      <c r="E202" s="100"/>
      <c r="F202" s="136">
        <v>1310</v>
      </c>
    </row>
    <row r="203" s="122" customFormat="1" ht="14.25" customHeight="1" spans="1:6">
      <c r="A203" s="96" t="s">
        <v>278</v>
      </c>
      <c r="B203" s="100" t="s">
        <v>2613</v>
      </c>
      <c r="C203" s="100"/>
      <c r="D203" s="100"/>
      <c r="E203" s="100"/>
      <c r="F203" s="136">
        <v>1310</v>
      </c>
    </row>
    <row r="204" s="122" customFormat="1" ht="14.25" customHeight="1" spans="1:6">
      <c r="A204" s="96" t="s">
        <v>278</v>
      </c>
      <c r="B204" s="100" t="s">
        <v>2615</v>
      </c>
      <c r="C204" s="100"/>
      <c r="D204" s="100"/>
      <c r="E204" s="100"/>
      <c r="F204" s="136">
        <v>1080</v>
      </c>
    </row>
    <row r="205" s="122" customFormat="1" ht="14.25" customHeight="1" spans="1:6">
      <c r="A205" s="96" t="s">
        <v>278</v>
      </c>
      <c r="B205" s="100" t="s">
        <v>2617</v>
      </c>
      <c r="C205" s="100"/>
      <c r="D205" s="100"/>
      <c r="E205" s="100"/>
      <c r="F205" s="136">
        <v>1080</v>
      </c>
    </row>
    <row r="206" s="122" customFormat="1" ht="14.25" customHeight="1" spans="1:6">
      <c r="A206" s="96" t="s">
        <v>283</v>
      </c>
      <c r="B206" s="97" t="s">
        <v>2283</v>
      </c>
      <c r="C206" s="97">
        <v>5450</v>
      </c>
      <c r="D206" s="97">
        <v>5430</v>
      </c>
      <c r="E206" s="97">
        <v>5700</v>
      </c>
      <c r="F206" s="133">
        <v>1020</v>
      </c>
    </row>
    <row r="207" s="122" customFormat="1" ht="14.25" customHeight="1" spans="1:6">
      <c r="A207" s="96" t="s">
        <v>283</v>
      </c>
      <c r="B207" s="100" t="s">
        <v>2296</v>
      </c>
      <c r="C207" s="100">
        <v>5860</v>
      </c>
      <c r="D207" s="100">
        <v>5820</v>
      </c>
      <c r="E207" s="100">
        <v>6050</v>
      </c>
      <c r="F207" s="136">
        <v>1080</v>
      </c>
    </row>
    <row r="208" s="122" customFormat="1" ht="14.25" customHeight="1" spans="1:6">
      <c r="A208" s="96" t="s">
        <v>283</v>
      </c>
      <c r="B208" s="100" t="s">
        <v>2310</v>
      </c>
      <c r="C208" s="100">
        <v>4630</v>
      </c>
      <c r="D208" s="100">
        <v>4600</v>
      </c>
      <c r="E208" s="100">
        <v>4840</v>
      </c>
      <c r="F208" s="136">
        <v>900</v>
      </c>
    </row>
    <row r="209" s="122" customFormat="1" ht="14.25" customHeight="1" spans="1:6">
      <c r="A209" s="96" t="s">
        <v>283</v>
      </c>
      <c r="B209" s="100" t="s">
        <v>2322</v>
      </c>
      <c r="C209" s="100">
        <v>5320</v>
      </c>
      <c r="D209" s="100">
        <v>5270</v>
      </c>
      <c r="E209" s="100">
        <v>5540</v>
      </c>
      <c r="F209" s="136">
        <v>980</v>
      </c>
    </row>
    <row r="210" s="122" customFormat="1" ht="14.25" customHeight="1" spans="1:6">
      <c r="A210" s="96" t="s">
        <v>283</v>
      </c>
      <c r="B210" s="100" t="s">
        <v>2334</v>
      </c>
      <c r="C210" s="100">
        <v>5760</v>
      </c>
      <c r="D210" s="100">
        <v>5710</v>
      </c>
      <c r="E210" s="100">
        <v>6010</v>
      </c>
      <c r="F210" s="136">
        <v>870</v>
      </c>
    </row>
    <row r="211" s="122" customFormat="1" ht="14.25" customHeight="1" spans="1:6">
      <c r="A211" s="96" t="s">
        <v>283</v>
      </c>
      <c r="B211" s="100" t="s">
        <v>2345</v>
      </c>
      <c r="C211" s="100">
        <v>4160</v>
      </c>
      <c r="D211" s="100">
        <v>4100</v>
      </c>
      <c r="E211" s="100">
        <v>4270</v>
      </c>
      <c r="F211" s="136">
        <v>790</v>
      </c>
    </row>
    <row r="212" s="122" customFormat="1" ht="14.25" customHeight="1" spans="1:6">
      <c r="A212" s="96" t="s">
        <v>283</v>
      </c>
      <c r="B212" s="100" t="s">
        <v>2356</v>
      </c>
      <c r="C212" s="100">
        <v>4880</v>
      </c>
      <c r="D212" s="100">
        <v>4850</v>
      </c>
      <c r="E212" s="100">
        <v>5110</v>
      </c>
      <c r="F212" s="136">
        <v>940</v>
      </c>
    </row>
    <row r="213" s="122" customFormat="1" ht="14.25" customHeight="1" spans="1:6">
      <c r="A213" s="96" t="s">
        <v>283</v>
      </c>
      <c r="B213" s="100" t="s">
        <v>2367</v>
      </c>
      <c r="C213" s="100">
        <v>4640</v>
      </c>
      <c r="D213" s="100">
        <v>4590</v>
      </c>
      <c r="E213" s="100">
        <v>4700</v>
      </c>
      <c r="F213" s="136">
        <v>1030</v>
      </c>
    </row>
    <row r="214" s="122" customFormat="1" ht="14.25" customHeight="1" spans="1:6">
      <c r="A214" s="96" t="s">
        <v>283</v>
      </c>
      <c r="B214" s="100" t="s">
        <v>2377</v>
      </c>
      <c r="C214" s="100">
        <v>4540</v>
      </c>
      <c r="D214" s="100">
        <v>4490</v>
      </c>
      <c r="E214" s="100">
        <v>4610</v>
      </c>
      <c r="F214" s="139"/>
    </row>
    <row r="215" s="122" customFormat="1" ht="14.25" customHeight="1" spans="1:6">
      <c r="A215" s="96" t="s">
        <v>283</v>
      </c>
      <c r="B215" s="100" t="s">
        <v>2387</v>
      </c>
      <c r="C215" s="100">
        <v>5280</v>
      </c>
      <c r="D215" s="100">
        <v>5250</v>
      </c>
      <c r="E215" s="100">
        <v>5520</v>
      </c>
      <c r="F215" s="136">
        <v>1000</v>
      </c>
    </row>
    <row r="216" s="122" customFormat="1" ht="14.25" customHeight="1" spans="1:6">
      <c r="A216" s="96" t="s">
        <v>283</v>
      </c>
      <c r="B216" s="100" t="s">
        <v>2397</v>
      </c>
      <c r="C216" s="100">
        <v>5100</v>
      </c>
      <c r="D216" s="100">
        <v>5050</v>
      </c>
      <c r="E216" s="100">
        <v>5300</v>
      </c>
      <c r="F216" s="136">
        <v>950</v>
      </c>
    </row>
    <row r="217" s="122" customFormat="1" ht="14.25" customHeight="1" spans="1:6">
      <c r="A217" s="96" t="s">
        <v>283</v>
      </c>
      <c r="B217" s="100" t="s">
        <v>2407</v>
      </c>
      <c r="C217" s="100">
        <v>5370</v>
      </c>
      <c r="D217" s="100">
        <v>5320</v>
      </c>
      <c r="E217" s="100">
        <v>5410</v>
      </c>
      <c r="F217" s="136">
        <v>950</v>
      </c>
    </row>
    <row r="218" s="122" customFormat="1" ht="14.25" customHeight="1" spans="1:6">
      <c r="A218" s="96" t="s">
        <v>283</v>
      </c>
      <c r="B218" s="100" t="s">
        <v>2417</v>
      </c>
      <c r="C218" s="100">
        <v>5540</v>
      </c>
      <c r="D218" s="100">
        <v>5480</v>
      </c>
      <c r="E218" s="100">
        <v>5740</v>
      </c>
      <c r="F218" s="136">
        <v>1020</v>
      </c>
    </row>
    <row r="219" s="122" customFormat="1" ht="14.25" customHeight="1" spans="1:6">
      <c r="A219" s="96" t="s">
        <v>283</v>
      </c>
      <c r="B219" s="100" t="s">
        <v>2427</v>
      </c>
      <c r="C219" s="100">
        <v>5140</v>
      </c>
      <c r="D219" s="100">
        <v>5100</v>
      </c>
      <c r="E219" s="100">
        <v>5350</v>
      </c>
      <c r="F219" s="136">
        <v>1120</v>
      </c>
    </row>
    <row r="220" s="122" customFormat="1" ht="14.25" customHeight="1" spans="1:6">
      <c r="A220" s="96" t="s">
        <v>283</v>
      </c>
      <c r="B220" s="100" t="s">
        <v>2437</v>
      </c>
      <c r="C220" s="100">
        <v>5040</v>
      </c>
      <c r="D220" s="100">
        <v>5000</v>
      </c>
      <c r="E220" s="100">
        <v>5240</v>
      </c>
      <c r="F220" s="136">
        <v>980</v>
      </c>
    </row>
    <row r="221" s="122" customFormat="1" ht="14.25" customHeight="1" spans="1:6">
      <c r="A221" s="96" t="s">
        <v>283</v>
      </c>
      <c r="B221" s="100" t="s">
        <v>2447</v>
      </c>
      <c r="C221" s="142"/>
      <c r="D221" s="142"/>
      <c r="E221" s="142"/>
      <c r="F221" s="136">
        <v>1070</v>
      </c>
    </row>
    <row r="222" s="122" customFormat="1" ht="14.25" customHeight="1" spans="1:6">
      <c r="A222" s="96" t="s">
        <v>283</v>
      </c>
      <c r="B222" s="100" t="s">
        <v>2457</v>
      </c>
      <c r="C222" s="142"/>
      <c r="D222" s="142"/>
      <c r="E222" s="142"/>
      <c r="F222" s="136">
        <v>870</v>
      </c>
    </row>
    <row r="223" s="122" customFormat="1" ht="14.25" customHeight="1" spans="1:6">
      <c r="A223" s="96" t="s">
        <v>283</v>
      </c>
      <c r="B223" s="100" t="s">
        <v>2467</v>
      </c>
      <c r="C223" s="142"/>
      <c r="D223" s="142"/>
      <c r="E223" s="142"/>
      <c r="F223" s="136">
        <v>940</v>
      </c>
    </row>
    <row r="224" s="122" customFormat="1" ht="14.25" customHeight="1" spans="1:6">
      <c r="A224" s="96" t="s">
        <v>283</v>
      </c>
      <c r="B224" s="100" t="s">
        <v>2477</v>
      </c>
      <c r="C224" s="142"/>
      <c r="D224" s="142"/>
      <c r="E224" s="142"/>
      <c r="F224" s="136">
        <v>990</v>
      </c>
    </row>
    <row r="225" s="122" customFormat="1" ht="14.25" customHeight="1" spans="1:6">
      <c r="A225" s="96" t="s">
        <v>283</v>
      </c>
      <c r="B225" s="100" t="s">
        <v>2486</v>
      </c>
      <c r="C225" s="100">
        <v>5730</v>
      </c>
      <c r="D225" s="100">
        <v>5680</v>
      </c>
      <c r="E225" s="100">
        <v>6020</v>
      </c>
      <c r="F225" s="136">
        <v>1000</v>
      </c>
    </row>
    <row r="226" s="122" customFormat="1" ht="14.25" customHeight="1" spans="1:6">
      <c r="A226" s="96" t="s">
        <v>283</v>
      </c>
      <c r="B226" s="100" t="s">
        <v>2494</v>
      </c>
      <c r="C226" s="100">
        <v>4970</v>
      </c>
      <c r="D226" s="100">
        <v>4940</v>
      </c>
      <c r="E226" s="100">
        <v>5180</v>
      </c>
      <c r="F226" s="136">
        <v>960</v>
      </c>
    </row>
    <row r="227" s="122" customFormat="1" ht="14.25" customHeight="1" spans="1:6">
      <c r="A227" s="96" t="s">
        <v>283</v>
      </c>
      <c r="B227" s="100" t="s">
        <v>2502</v>
      </c>
      <c r="C227" s="100">
        <v>5550</v>
      </c>
      <c r="D227" s="100">
        <v>5500</v>
      </c>
      <c r="E227" s="100">
        <v>5780</v>
      </c>
      <c r="F227" s="136">
        <v>940</v>
      </c>
    </row>
    <row r="228" s="122" customFormat="1" ht="14.25" customHeight="1" spans="1:6">
      <c r="A228" s="96" t="s">
        <v>283</v>
      </c>
      <c r="B228" s="100" t="s">
        <v>2509</v>
      </c>
      <c r="C228" s="100">
        <v>5460</v>
      </c>
      <c r="D228" s="100">
        <v>5420</v>
      </c>
      <c r="E228" s="100">
        <v>5690</v>
      </c>
      <c r="F228" s="136">
        <v>910</v>
      </c>
    </row>
    <row r="229" s="122" customFormat="1" ht="14.25" customHeight="1" spans="1:6">
      <c r="A229" s="96" t="s">
        <v>283</v>
      </c>
      <c r="B229" s="100" t="s">
        <v>2516</v>
      </c>
      <c r="C229" s="100">
        <v>5310</v>
      </c>
      <c r="D229" s="100">
        <v>5270</v>
      </c>
      <c r="E229" s="100">
        <v>5510</v>
      </c>
      <c r="F229" s="139"/>
    </row>
    <row r="230" s="122" customFormat="1" ht="14.25" customHeight="1" spans="1:6">
      <c r="A230" s="96" t="s">
        <v>283</v>
      </c>
      <c r="B230" s="100" t="s">
        <v>2523</v>
      </c>
      <c r="C230" s="100">
        <v>4540</v>
      </c>
      <c r="D230" s="100">
        <v>4500</v>
      </c>
      <c r="E230" s="100">
        <v>4730</v>
      </c>
      <c r="F230" s="139"/>
    </row>
    <row r="231" s="122" customFormat="1" ht="14.25" customHeight="1" spans="1:6">
      <c r="A231" s="96" t="s">
        <v>283</v>
      </c>
      <c r="B231" s="100" t="s">
        <v>2530</v>
      </c>
      <c r="C231" s="100">
        <v>4480</v>
      </c>
      <c r="D231" s="100">
        <v>4410</v>
      </c>
      <c r="E231" s="100">
        <v>4640</v>
      </c>
      <c r="F231" s="139"/>
    </row>
    <row r="232" s="122" customFormat="1" ht="14.25" customHeight="1" spans="1:6">
      <c r="A232" s="96" t="s">
        <v>283</v>
      </c>
      <c r="B232" s="100" t="s">
        <v>2537</v>
      </c>
      <c r="C232" s="100">
        <v>5670</v>
      </c>
      <c r="D232" s="100">
        <v>5600</v>
      </c>
      <c r="E232" s="100">
        <v>5890</v>
      </c>
      <c r="F232" s="136">
        <v>1150</v>
      </c>
    </row>
    <row r="233" s="122" customFormat="1" ht="14.25" customHeight="1" spans="1:6">
      <c r="A233" s="96" t="s">
        <v>283</v>
      </c>
      <c r="B233" s="100" t="s">
        <v>2542</v>
      </c>
      <c r="C233" s="100">
        <v>4590</v>
      </c>
      <c r="D233" s="100">
        <v>4500</v>
      </c>
      <c r="E233" s="100">
        <v>4600</v>
      </c>
      <c r="F233" s="139"/>
    </row>
    <row r="234" s="122" customFormat="1" ht="14.25" customHeight="1" spans="1:6">
      <c r="A234" s="96" t="s">
        <v>283</v>
      </c>
      <c r="B234" s="100" t="s">
        <v>2547</v>
      </c>
      <c r="C234" s="100">
        <v>3990</v>
      </c>
      <c r="D234" s="100">
        <v>3950</v>
      </c>
      <c r="E234" s="100">
        <v>4180</v>
      </c>
      <c r="F234" s="139"/>
    </row>
    <row r="235" s="122" customFormat="1" ht="14.25" customHeight="1" spans="1:6">
      <c r="A235" s="96" t="s">
        <v>283</v>
      </c>
      <c r="B235" s="100" t="s">
        <v>2552</v>
      </c>
      <c r="C235" s="100">
        <v>5590</v>
      </c>
      <c r="D235" s="100">
        <v>5540</v>
      </c>
      <c r="E235" s="100">
        <v>5810</v>
      </c>
      <c r="F235" s="136">
        <v>970</v>
      </c>
    </row>
    <row r="236" s="122" customFormat="1" ht="14.25" customHeight="1" spans="1:6">
      <c r="A236" s="96" t="s">
        <v>283</v>
      </c>
      <c r="B236" s="100" t="s">
        <v>2557</v>
      </c>
      <c r="C236" s="100"/>
      <c r="D236" s="100"/>
      <c r="E236" s="100"/>
      <c r="F236" s="136">
        <v>1020</v>
      </c>
    </row>
    <row r="237" s="122" customFormat="1" ht="14.25" customHeight="1" spans="1:6">
      <c r="A237" s="96" t="s">
        <v>283</v>
      </c>
      <c r="B237" s="100" t="s">
        <v>2562</v>
      </c>
      <c r="C237" s="100"/>
      <c r="D237" s="100"/>
      <c r="E237" s="100"/>
      <c r="F237" s="136">
        <v>960</v>
      </c>
    </row>
    <row r="238" s="122" customFormat="1" ht="14.25" customHeight="1" spans="1:6">
      <c r="A238" s="96" t="s">
        <v>283</v>
      </c>
      <c r="B238" s="100" t="s">
        <v>2567</v>
      </c>
      <c r="C238" s="100"/>
      <c r="D238" s="100"/>
      <c r="E238" s="100"/>
      <c r="F238" s="136">
        <v>960</v>
      </c>
    </row>
    <row r="239" s="122" customFormat="1" ht="14.25" customHeight="1" spans="1:6">
      <c r="A239" s="96" t="s">
        <v>283</v>
      </c>
      <c r="B239" s="100" t="s">
        <v>2572</v>
      </c>
      <c r="C239" s="100"/>
      <c r="D239" s="100"/>
      <c r="E239" s="100"/>
      <c r="F239" s="136">
        <v>960</v>
      </c>
    </row>
    <row r="240" s="122" customFormat="1" ht="14.25" customHeight="1" spans="1:6">
      <c r="A240" s="96" t="s">
        <v>283</v>
      </c>
      <c r="B240" s="100" t="s">
        <v>2576</v>
      </c>
      <c r="C240" s="100"/>
      <c r="D240" s="100"/>
      <c r="E240" s="100"/>
      <c r="F240" s="136">
        <v>990</v>
      </c>
    </row>
    <row r="241" s="122" customFormat="1" ht="14.25" customHeight="1" spans="1:6">
      <c r="A241" s="96" t="s">
        <v>283</v>
      </c>
      <c r="B241" s="100" t="s">
        <v>2580</v>
      </c>
      <c r="C241" s="100"/>
      <c r="D241" s="100"/>
      <c r="E241" s="100"/>
      <c r="F241" s="136">
        <v>1000</v>
      </c>
    </row>
    <row r="242" s="122" customFormat="1" ht="14.25" customHeight="1" spans="1:6">
      <c r="A242" s="96" t="s">
        <v>283</v>
      </c>
      <c r="B242" s="100" t="s">
        <v>2584</v>
      </c>
      <c r="C242" s="100"/>
      <c r="D242" s="100"/>
      <c r="E242" s="100"/>
      <c r="F242" s="136">
        <v>980</v>
      </c>
    </row>
    <row r="243" s="122" customFormat="1" ht="14.25" customHeight="1" spans="1:6">
      <c r="A243" s="96" t="s">
        <v>283</v>
      </c>
      <c r="B243" s="100" t="s">
        <v>2588</v>
      </c>
      <c r="C243" s="100"/>
      <c r="D243" s="100"/>
      <c r="E243" s="100"/>
      <c r="F243" s="136">
        <v>970</v>
      </c>
    </row>
    <row r="244" s="122" customFormat="1" ht="14.25" customHeight="1" spans="1:6">
      <c r="A244" s="96" t="s">
        <v>283</v>
      </c>
      <c r="B244" s="111" t="s">
        <v>2592</v>
      </c>
      <c r="C244" s="111"/>
      <c r="D244" s="111"/>
      <c r="E244" s="111"/>
      <c r="F244" s="138">
        <v>970</v>
      </c>
    </row>
    <row r="245" s="122" customFormat="1" ht="14.25" customHeight="1" spans="1:6">
      <c r="A245" s="96" t="s">
        <v>286</v>
      </c>
      <c r="B245" s="97" t="s">
        <v>2284</v>
      </c>
      <c r="C245" s="97">
        <v>4050</v>
      </c>
      <c r="D245" s="97">
        <v>4020</v>
      </c>
      <c r="E245" s="97">
        <v>4160</v>
      </c>
      <c r="F245" s="133">
        <v>840</v>
      </c>
    </row>
    <row r="246" s="122" customFormat="1" ht="14.25" customHeight="1" spans="1:6">
      <c r="A246" s="96" t="s">
        <v>286</v>
      </c>
      <c r="B246" s="100" t="s">
        <v>2297</v>
      </c>
      <c r="C246" s="100">
        <v>4010</v>
      </c>
      <c r="D246" s="100">
        <v>3960</v>
      </c>
      <c r="E246" s="100">
        <v>4130</v>
      </c>
      <c r="F246" s="136">
        <v>840</v>
      </c>
    </row>
    <row r="247" s="122" customFormat="1" ht="14.25" customHeight="1" spans="1:6">
      <c r="A247" s="96" t="s">
        <v>286</v>
      </c>
      <c r="B247" s="100" t="s">
        <v>2311</v>
      </c>
      <c r="C247" s="100">
        <v>3170</v>
      </c>
      <c r="D247" s="100">
        <v>3140</v>
      </c>
      <c r="E247" s="100">
        <v>3270</v>
      </c>
      <c r="F247" s="136">
        <v>640</v>
      </c>
    </row>
    <row r="248" s="122" customFormat="1" ht="14.25" customHeight="1" spans="1:6">
      <c r="A248" s="96" t="s">
        <v>286</v>
      </c>
      <c r="B248" s="100" t="s">
        <v>2323</v>
      </c>
      <c r="C248" s="100">
        <v>3140</v>
      </c>
      <c r="D248" s="100">
        <v>3120</v>
      </c>
      <c r="E248" s="100">
        <v>3240</v>
      </c>
      <c r="F248" s="136">
        <v>620</v>
      </c>
    </row>
    <row r="249" s="122" customFormat="1" ht="14.25" customHeight="1" spans="1:6">
      <c r="A249" s="96" t="s">
        <v>286</v>
      </c>
      <c r="B249" s="100" t="s">
        <v>2335</v>
      </c>
      <c r="C249" s="100">
        <v>3200</v>
      </c>
      <c r="D249" s="100">
        <v>3100</v>
      </c>
      <c r="E249" s="100">
        <v>3230</v>
      </c>
      <c r="F249" s="136">
        <v>750</v>
      </c>
    </row>
    <row r="250" s="122" customFormat="1" ht="14.25" customHeight="1" spans="1:6">
      <c r="A250" s="96" t="s">
        <v>286</v>
      </c>
      <c r="B250" s="100" t="s">
        <v>2346</v>
      </c>
      <c r="C250" s="100">
        <v>4060</v>
      </c>
      <c r="D250" s="100">
        <v>4000</v>
      </c>
      <c r="E250" s="100">
        <v>4140</v>
      </c>
      <c r="F250" s="136">
        <v>790</v>
      </c>
    </row>
    <row r="251" s="122" customFormat="1" ht="14.25" customHeight="1" spans="1:6">
      <c r="A251" s="96" t="s">
        <v>286</v>
      </c>
      <c r="B251" s="100" t="s">
        <v>2357</v>
      </c>
      <c r="C251" s="100">
        <v>3990</v>
      </c>
      <c r="D251" s="100">
        <v>3970</v>
      </c>
      <c r="E251" s="100">
        <v>4110</v>
      </c>
      <c r="F251" s="136">
        <v>730</v>
      </c>
    </row>
    <row r="252" s="122" customFormat="1" ht="14.25" customHeight="1" spans="1:6">
      <c r="A252" s="96" t="s">
        <v>286</v>
      </c>
      <c r="B252" s="100" t="s">
        <v>2368</v>
      </c>
      <c r="C252" s="100">
        <v>3560</v>
      </c>
      <c r="D252" s="100">
        <v>3530</v>
      </c>
      <c r="E252" s="100">
        <v>3650</v>
      </c>
      <c r="F252" s="136">
        <v>750</v>
      </c>
    </row>
    <row r="253" s="122" customFormat="1" ht="14.25" customHeight="1" spans="1:6">
      <c r="A253" s="96" t="s">
        <v>286</v>
      </c>
      <c r="B253" s="100" t="s">
        <v>2378</v>
      </c>
      <c r="C253" s="100">
        <v>3780</v>
      </c>
      <c r="D253" s="100">
        <v>3750</v>
      </c>
      <c r="E253" s="100">
        <v>3870</v>
      </c>
      <c r="F253" s="136">
        <v>770</v>
      </c>
    </row>
    <row r="254" s="122" customFormat="1" ht="14.25" customHeight="1" spans="1:6">
      <c r="A254" s="96" t="s">
        <v>286</v>
      </c>
      <c r="B254" s="100" t="s">
        <v>2388</v>
      </c>
      <c r="C254" s="142"/>
      <c r="D254" s="142"/>
      <c r="E254" s="142"/>
      <c r="F254" s="136">
        <v>740</v>
      </c>
    </row>
    <row r="255" s="122" customFormat="1" ht="14.25" customHeight="1" spans="1:6">
      <c r="A255" s="96" t="s">
        <v>286</v>
      </c>
      <c r="B255" s="100" t="s">
        <v>2398</v>
      </c>
      <c r="C255" s="142"/>
      <c r="D255" s="142"/>
      <c r="E255" s="142"/>
      <c r="F255" s="136">
        <v>760</v>
      </c>
    </row>
    <row r="256" s="122" customFormat="1" ht="14.25" customHeight="1" spans="1:6">
      <c r="A256" s="96" t="s">
        <v>286</v>
      </c>
      <c r="B256" s="100" t="s">
        <v>2408</v>
      </c>
      <c r="C256" s="100">
        <v>3760</v>
      </c>
      <c r="D256" s="100">
        <v>3730</v>
      </c>
      <c r="E256" s="100">
        <v>3870</v>
      </c>
      <c r="F256" s="136">
        <v>830</v>
      </c>
    </row>
    <row r="257" s="122" customFormat="1" ht="14.25" customHeight="1" spans="1:6">
      <c r="A257" s="96" t="s">
        <v>286</v>
      </c>
      <c r="B257" s="100" t="s">
        <v>2418</v>
      </c>
      <c r="C257" s="100">
        <v>3570</v>
      </c>
      <c r="D257" s="100">
        <v>3540</v>
      </c>
      <c r="E257" s="100">
        <v>3650</v>
      </c>
      <c r="F257" s="136">
        <v>790</v>
      </c>
    </row>
    <row r="258" s="122" customFormat="1" ht="14.25" customHeight="1" spans="1:6">
      <c r="A258" s="96" t="s">
        <v>286</v>
      </c>
      <c r="B258" s="100" t="s">
        <v>2428</v>
      </c>
      <c r="C258" s="100">
        <v>3410</v>
      </c>
      <c r="D258" s="100">
        <v>3380</v>
      </c>
      <c r="E258" s="100">
        <v>3500</v>
      </c>
      <c r="F258" s="136">
        <v>830</v>
      </c>
    </row>
    <row r="259" s="122" customFormat="1" ht="14.25" customHeight="1" spans="1:6">
      <c r="A259" s="96" t="s">
        <v>286</v>
      </c>
      <c r="B259" s="100" t="s">
        <v>2438</v>
      </c>
      <c r="C259" s="100">
        <v>3870</v>
      </c>
      <c r="D259" s="100">
        <v>3840</v>
      </c>
      <c r="E259" s="100">
        <v>3970</v>
      </c>
      <c r="F259" s="136">
        <v>830</v>
      </c>
    </row>
    <row r="260" s="122" customFormat="1" ht="14.25" customHeight="1" spans="1:6">
      <c r="A260" s="96" t="s">
        <v>286</v>
      </c>
      <c r="B260" s="100" t="s">
        <v>2448</v>
      </c>
      <c r="C260" s="100">
        <v>3700</v>
      </c>
      <c r="D260" s="100">
        <v>3660</v>
      </c>
      <c r="E260" s="100">
        <v>3810</v>
      </c>
      <c r="F260" s="136">
        <v>790</v>
      </c>
    </row>
    <row r="261" s="122" customFormat="1" ht="14.25" customHeight="1" spans="1:6">
      <c r="A261" s="96" t="s">
        <v>286</v>
      </c>
      <c r="B261" s="100" t="s">
        <v>2458</v>
      </c>
      <c r="C261" s="100">
        <v>3470</v>
      </c>
      <c r="D261" s="100">
        <v>3430</v>
      </c>
      <c r="E261" s="100">
        <v>3640</v>
      </c>
      <c r="F261" s="136">
        <v>760</v>
      </c>
    </row>
    <row r="262" s="122" customFormat="1" ht="14.25" customHeight="1" spans="1:6">
      <c r="A262" s="96" t="s">
        <v>286</v>
      </c>
      <c r="B262" s="100" t="s">
        <v>2468</v>
      </c>
      <c r="C262" s="100">
        <v>3510</v>
      </c>
      <c r="D262" s="100">
        <v>3470</v>
      </c>
      <c r="E262" s="100">
        <v>3680</v>
      </c>
      <c r="F262" s="139"/>
    </row>
    <row r="263" s="122" customFormat="1" ht="14.25" customHeight="1" spans="1:6">
      <c r="A263" s="96" t="s">
        <v>286</v>
      </c>
      <c r="B263" s="100" t="s">
        <v>2478</v>
      </c>
      <c r="C263" s="100">
        <v>3960</v>
      </c>
      <c r="D263" s="100">
        <v>3930</v>
      </c>
      <c r="E263" s="100">
        <v>4070</v>
      </c>
      <c r="F263" s="136">
        <v>830</v>
      </c>
    </row>
    <row r="264" s="122" customFormat="1" ht="14.25" customHeight="1" spans="1:6">
      <c r="A264" s="96" t="s">
        <v>286</v>
      </c>
      <c r="B264" s="100" t="s">
        <v>2487</v>
      </c>
      <c r="C264" s="100">
        <v>4010</v>
      </c>
      <c r="D264" s="100">
        <v>3980</v>
      </c>
      <c r="E264" s="100">
        <v>4150</v>
      </c>
      <c r="F264" s="136">
        <v>760</v>
      </c>
    </row>
    <row r="265" s="122" customFormat="1" ht="14.25" customHeight="1" spans="1:6">
      <c r="A265" s="96" t="s">
        <v>286</v>
      </c>
      <c r="B265" s="100" t="s">
        <v>2495</v>
      </c>
      <c r="C265" s="100">
        <v>3910</v>
      </c>
      <c r="D265" s="100">
        <v>3890</v>
      </c>
      <c r="E265" s="100">
        <v>4040</v>
      </c>
      <c r="F265" s="136">
        <v>780</v>
      </c>
    </row>
    <row r="266" s="122" customFormat="1" ht="14.25" customHeight="1" spans="1:6">
      <c r="A266" s="96" t="s">
        <v>286</v>
      </c>
      <c r="B266" s="100" t="s">
        <v>2503</v>
      </c>
      <c r="C266" s="100">
        <v>3930</v>
      </c>
      <c r="D266" s="100">
        <v>3900</v>
      </c>
      <c r="E266" s="100">
        <v>4080</v>
      </c>
      <c r="F266" s="136">
        <v>770</v>
      </c>
    </row>
    <row r="267" s="122" customFormat="1" ht="14.25" customHeight="1" spans="1:6">
      <c r="A267" s="96" t="s">
        <v>286</v>
      </c>
      <c r="B267" s="100" t="s">
        <v>2510</v>
      </c>
      <c r="C267" s="100">
        <v>3800</v>
      </c>
      <c r="D267" s="100">
        <v>3780</v>
      </c>
      <c r="E267" s="100">
        <v>3930</v>
      </c>
      <c r="F267" s="139"/>
    </row>
    <row r="268" s="122" customFormat="1" ht="14.25" customHeight="1" spans="1:6">
      <c r="A268" s="96" t="s">
        <v>286</v>
      </c>
      <c r="B268" s="100" t="s">
        <v>2517</v>
      </c>
      <c r="C268" s="100">
        <v>3460</v>
      </c>
      <c r="D268" s="100">
        <v>3430</v>
      </c>
      <c r="E268" s="100">
        <v>3560</v>
      </c>
      <c r="F268" s="136">
        <v>840</v>
      </c>
    </row>
    <row r="269" s="122" customFormat="1" ht="14.25" customHeight="1" spans="1:6">
      <c r="A269" s="96" t="s">
        <v>286</v>
      </c>
      <c r="B269" s="100" t="s">
        <v>2524</v>
      </c>
      <c r="C269" s="100">
        <v>3210</v>
      </c>
      <c r="D269" s="100">
        <v>3190</v>
      </c>
      <c r="E269" s="100">
        <v>3310</v>
      </c>
      <c r="F269" s="136">
        <v>730</v>
      </c>
    </row>
    <row r="270" s="122" customFormat="1" ht="14.25" customHeight="1" spans="1:6">
      <c r="A270" s="96" t="s">
        <v>286</v>
      </c>
      <c r="B270" s="100" t="s">
        <v>2531</v>
      </c>
      <c r="C270" s="100">
        <v>3240</v>
      </c>
      <c r="D270" s="100">
        <v>3210</v>
      </c>
      <c r="E270" s="100">
        <v>3390</v>
      </c>
      <c r="F270" s="136">
        <v>820</v>
      </c>
    </row>
    <row r="271" s="122" customFormat="1" ht="14.25" customHeight="1" spans="1:6">
      <c r="A271" s="96" t="s">
        <v>286</v>
      </c>
      <c r="B271" s="100" t="s">
        <v>2538</v>
      </c>
      <c r="C271" s="100">
        <v>3300</v>
      </c>
      <c r="D271" s="100">
        <v>3270</v>
      </c>
      <c r="E271" s="100">
        <v>3380</v>
      </c>
      <c r="F271" s="136">
        <v>750</v>
      </c>
    </row>
    <row r="272" s="122" customFormat="1" ht="14.25" customHeight="1" spans="1:6">
      <c r="A272" s="96" t="s">
        <v>286</v>
      </c>
      <c r="B272" s="100" t="s">
        <v>2543</v>
      </c>
      <c r="C272" s="142"/>
      <c r="D272" s="142"/>
      <c r="E272" s="142"/>
      <c r="F272" s="136">
        <v>740</v>
      </c>
    </row>
    <row r="273" s="122" customFormat="1" ht="14.25" customHeight="1" spans="1:6">
      <c r="A273" s="96" t="s">
        <v>286</v>
      </c>
      <c r="B273" s="100" t="s">
        <v>2548</v>
      </c>
      <c r="C273" s="100">
        <v>3130</v>
      </c>
      <c r="D273" s="100">
        <v>3100</v>
      </c>
      <c r="E273" s="100">
        <v>3230</v>
      </c>
      <c r="F273" s="136">
        <v>700</v>
      </c>
    </row>
    <row r="274" s="122" customFormat="1" ht="14.25" customHeight="1" spans="1:6">
      <c r="A274" s="96" t="s">
        <v>286</v>
      </c>
      <c r="B274" s="100" t="s">
        <v>2553</v>
      </c>
      <c r="C274" s="100">
        <v>3460</v>
      </c>
      <c r="D274" s="100">
        <v>3430</v>
      </c>
      <c r="E274" s="100">
        <v>3560</v>
      </c>
      <c r="F274" s="136">
        <v>690</v>
      </c>
    </row>
    <row r="275" s="122" customFormat="1" ht="14.25" customHeight="1" spans="1:6">
      <c r="A275" s="96" t="s">
        <v>286</v>
      </c>
      <c r="B275" s="100" t="s">
        <v>2558</v>
      </c>
      <c r="C275" s="100">
        <v>4040</v>
      </c>
      <c r="D275" s="100">
        <v>4020</v>
      </c>
      <c r="E275" s="100">
        <v>4160</v>
      </c>
      <c r="F275" s="136">
        <v>820</v>
      </c>
    </row>
    <row r="276" s="122" customFormat="1" ht="14.25" customHeight="1" spans="1:6">
      <c r="A276" s="96" t="s">
        <v>286</v>
      </c>
      <c r="B276" s="100" t="s">
        <v>2563</v>
      </c>
      <c r="C276" s="100">
        <v>3270</v>
      </c>
      <c r="D276" s="100">
        <v>3240</v>
      </c>
      <c r="E276" s="100">
        <v>3350</v>
      </c>
      <c r="F276" s="136">
        <v>680</v>
      </c>
    </row>
    <row r="277" s="122" customFormat="1" ht="14.25" customHeight="1" spans="1:6">
      <c r="A277" s="96" t="s">
        <v>286</v>
      </c>
      <c r="B277" s="100" t="s">
        <v>2568</v>
      </c>
      <c r="C277" s="100">
        <v>2930</v>
      </c>
      <c r="D277" s="100">
        <v>2900</v>
      </c>
      <c r="E277" s="100">
        <v>3000</v>
      </c>
      <c r="F277" s="136">
        <v>640</v>
      </c>
    </row>
    <row r="278" s="122" customFormat="1" ht="14.25" customHeight="1" spans="1:6">
      <c r="A278" s="96" t="s">
        <v>286</v>
      </c>
      <c r="B278" s="100" t="s">
        <v>2573</v>
      </c>
      <c r="C278" s="100">
        <v>4080</v>
      </c>
      <c r="D278" s="100">
        <v>4030</v>
      </c>
      <c r="E278" s="100">
        <v>4140</v>
      </c>
      <c r="F278" s="136">
        <v>850</v>
      </c>
    </row>
    <row r="279" s="122" customFormat="1" ht="14.25" customHeight="1" spans="1:6">
      <c r="A279" s="96" t="s">
        <v>286</v>
      </c>
      <c r="B279" s="100" t="s">
        <v>2577</v>
      </c>
      <c r="C279" s="100"/>
      <c r="D279" s="100"/>
      <c r="E279" s="100"/>
      <c r="F279" s="136">
        <v>760</v>
      </c>
    </row>
    <row r="280" s="122" customFormat="1" ht="14.25" customHeight="1" spans="1:6">
      <c r="A280" s="96" t="s">
        <v>286</v>
      </c>
      <c r="B280" s="100" t="s">
        <v>2581</v>
      </c>
      <c r="C280" s="100"/>
      <c r="D280" s="100"/>
      <c r="E280" s="100"/>
      <c r="F280" s="136">
        <v>760</v>
      </c>
    </row>
    <row r="281" s="122" customFormat="1" ht="14.25" customHeight="1" spans="1:6">
      <c r="A281" s="96" t="s">
        <v>286</v>
      </c>
      <c r="B281" s="100" t="s">
        <v>2585</v>
      </c>
      <c r="C281" s="100"/>
      <c r="D281" s="100"/>
      <c r="E281" s="100"/>
      <c r="F281" s="136">
        <v>780</v>
      </c>
    </row>
    <row r="282" s="122" customFormat="1" ht="14.25" customHeight="1" spans="1:6">
      <c r="A282" s="96" t="s">
        <v>286</v>
      </c>
      <c r="B282" s="100" t="s">
        <v>2589</v>
      </c>
      <c r="C282" s="100"/>
      <c r="D282" s="100"/>
      <c r="E282" s="100"/>
      <c r="F282" s="136">
        <v>730</v>
      </c>
    </row>
    <row r="283" s="122" customFormat="1" ht="14.25" customHeight="1" spans="1:6">
      <c r="A283" s="96" t="s">
        <v>286</v>
      </c>
      <c r="B283" s="100" t="s">
        <v>2593</v>
      </c>
      <c r="C283" s="100"/>
      <c r="D283" s="100"/>
      <c r="E283" s="100"/>
      <c r="F283" s="136">
        <v>770</v>
      </c>
    </row>
    <row r="284" s="122" customFormat="1" ht="14.25" customHeight="1" spans="1:6">
      <c r="A284" s="96" t="s">
        <v>286</v>
      </c>
      <c r="B284" s="100" t="s">
        <v>2596</v>
      </c>
      <c r="C284" s="100"/>
      <c r="D284" s="100"/>
      <c r="E284" s="100"/>
      <c r="F284" s="136">
        <v>640</v>
      </c>
    </row>
    <row r="285" s="122" customFormat="1" ht="14.25" customHeight="1" spans="1:6">
      <c r="A285" s="96" t="s">
        <v>286</v>
      </c>
      <c r="B285" s="100" t="s">
        <v>2599</v>
      </c>
      <c r="C285" s="100"/>
      <c r="D285" s="100"/>
      <c r="E285" s="100"/>
      <c r="F285" s="136">
        <v>640</v>
      </c>
    </row>
    <row r="286" s="122" customFormat="1" ht="14.25" customHeight="1" spans="1:6">
      <c r="A286" s="96" t="s">
        <v>286</v>
      </c>
      <c r="B286" s="100" t="s">
        <v>2602</v>
      </c>
      <c r="C286" s="100"/>
      <c r="D286" s="100"/>
      <c r="E286" s="100"/>
      <c r="F286" s="136">
        <v>850</v>
      </c>
    </row>
    <row r="287" s="122" customFormat="1" ht="14.25" customHeight="1" spans="1:6">
      <c r="A287" s="96" t="s">
        <v>286</v>
      </c>
      <c r="B287" s="100" t="s">
        <v>2605</v>
      </c>
      <c r="C287" s="100"/>
      <c r="D287" s="100"/>
      <c r="E287" s="100"/>
      <c r="F287" s="136">
        <v>760</v>
      </c>
    </row>
    <row r="288" s="122" customFormat="1" ht="14.25" customHeight="1" spans="1:6">
      <c r="A288" s="96" t="s">
        <v>286</v>
      </c>
      <c r="B288" s="100" t="s">
        <v>2608</v>
      </c>
      <c r="C288" s="100"/>
      <c r="D288" s="100"/>
      <c r="E288" s="100"/>
      <c r="F288" s="136">
        <v>830</v>
      </c>
    </row>
    <row r="289" s="122" customFormat="1" ht="14.25" customHeight="1" spans="1:6">
      <c r="A289" s="96" t="s">
        <v>286</v>
      </c>
      <c r="B289" s="111" t="s">
        <v>2611</v>
      </c>
      <c r="C289" s="111"/>
      <c r="D289" s="111"/>
      <c r="E289" s="111"/>
      <c r="F289" s="138">
        <v>680</v>
      </c>
    </row>
    <row r="290" s="122" customFormat="1" ht="14.25" customHeight="1" spans="1:6">
      <c r="A290" s="96" t="s">
        <v>289</v>
      </c>
      <c r="B290" s="97" t="s">
        <v>2285</v>
      </c>
      <c r="C290" s="97">
        <v>2770</v>
      </c>
      <c r="D290" s="97">
        <v>2740</v>
      </c>
      <c r="E290" s="97">
        <v>2720</v>
      </c>
      <c r="F290" s="143"/>
    </row>
    <row r="291" s="122" customFormat="1" ht="14.25" customHeight="1" spans="1:6">
      <c r="A291" s="96" t="s">
        <v>289</v>
      </c>
      <c r="B291" s="100" t="s">
        <v>2298</v>
      </c>
      <c r="C291" s="100">
        <v>2670</v>
      </c>
      <c r="D291" s="100">
        <v>2640</v>
      </c>
      <c r="E291" s="100">
        <v>2620</v>
      </c>
      <c r="F291" s="139"/>
    </row>
    <row r="292" s="122" customFormat="1" ht="14.25" customHeight="1" spans="1:6">
      <c r="A292" s="96" t="s">
        <v>289</v>
      </c>
      <c r="B292" s="100" t="s">
        <v>2312</v>
      </c>
      <c r="C292" s="100">
        <v>2180</v>
      </c>
      <c r="D292" s="100">
        <v>2140</v>
      </c>
      <c r="E292" s="100">
        <v>2120</v>
      </c>
      <c r="F292" s="136">
        <v>490</v>
      </c>
    </row>
    <row r="293" s="122" customFormat="1" ht="14.25" customHeight="1" spans="1:6">
      <c r="A293" s="96" t="s">
        <v>289</v>
      </c>
      <c r="B293" s="100" t="s">
        <v>2618</v>
      </c>
      <c r="C293" s="100"/>
      <c r="D293" s="100"/>
      <c r="E293" s="100"/>
      <c r="F293" s="136">
        <v>470</v>
      </c>
    </row>
    <row r="294" s="122" customFormat="1" ht="14.25" customHeight="1" spans="1:6">
      <c r="A294" s="96" t="s">
        <v>289</v>
      </c>
      <c r="B294" s="100" t="s">
        <v>2324</v>
      </c>
      <c r="C294" s="100">
        <v>2730</v>
      </c>
      <c r="D294" s="100">
        <v>2700</v>
      </c>
      <c r="E294" s="100">
        <v>2680</v>
      </c>
      <c r="F294" s="136">
        <v>490</v>
      </c>
    </row>
    <row r="295" s="122" customFormat="1" ht="14.25" customHeight="1" spans="1:6">
      <c r="A295" s="96" t="s">
        <v>289</v>
      </c>
      <c r="B295" s="100" t="s">
        <v>2336</v>
      </c>
      <c r="C295" s="100">
        <v>2380</v>
      </c>
      <c r="D295" s="100">
        <v>2350</v>
      </c>
      <c r="E295" s="100">
        <v>2330</v>
      </c>
      <c r="F295" s="136">
        <v>530</v>
      </c>
    </row>
    <row r="296" s="122" customFormat="1" ht="14.25" customHeight="1" spans="1:6">
      <c r="A296" s="96" t="s">
        <v>289</v>
      </c>
      <c r="B296" s="100" t="s">
        <v>2347</v>
      </c>
      <c r="C296" s="100">
        <v>2650</v>
      </c>
      <c r="D296" s="100">
        <v>2620</v>
      </c>
      <c r="E296" s="100">
        <v>2590</v>
      </c>
      <c r="F296" s="136">
        <v>590</v>
      </c>
    </row>
    <row r="297" s="122" customFormat="1" ht="14.25" customHeight="1" spans="1:6">
      <c r="A297" s="96" t="s">
        <v>289</v>
      </c>
      <c r="B297" s="100" t="s">
        <v>2358</v>
      </c>
      <c r="C297" s="100">
        <v>2700</v>
      </c>
      <c r="D297" s="100">
        <v>2670</v>
      </c>
      <c r="E297" s="100">
        <v>2650</v>
      </c>
      <c r="F297" s="136">
        <v>630</v>
      </c>
    </row>
    <row r="298" s="122" customFormat="1" ht="14.25" customHeight="1" spans="1:6">
      <c r="A298" s="96" t="s">
        <v>289</v>
      </c>
      <c r="B298" s="100" t="s">
        <v>2369</v>
      </c>
      <c r="C298" s="100">
        <v>2650</v>
      </c>
      <c r="D298" s="100">
        <v>2620</v>
      </c>
      <c r="E298" s="100">
        <v>2590</v>
      </c>
      <c r="F298" s="136">
        <v>640</v>
      </c>
    </row>
    <row r="299" s="122" customFormat="1" ht="14.25" customHeight="1" spans="1:6">
      <c r="A299" s="96" t="s">
        <v>289</v>
      </c>
      <c r="B299" s="100" t="s">
        <v>2379</v>
      </c>
      <c r="C299" s="100">
        <v>2500</v>
      </c>
      <c r="D299" s="100">
        <v>2480</v>
      </c>
      <c r="E299" s="100">
        <v>2460</v>
      </c>
      <c r="F299" s="139"/>
    </row>
    <row r="300" s="122" customFormat="1" ht="14.25" customHeight="1" spans="1:6">
      <c r="A300" s="96" t="s">
        <v>289</v>
      </c>
      <c r="B300" s="100" t="s">
        <v>2389</v>
      </c>
      <c r="C300" s="100">
        <v>2760</v>
      </c>
      <c r="D300" s="100">
        <v>2730</v>
      </c>
      <c r="E300" s="100">
        <v>2700</v>
      </c>
      <c r="F300" s="136">
        <v>630</v>
      </c>
    </row>
    <row r="301" s="122" customFormat="1" ht="14.25" customHeight="1" spans="1:6">
      <c r="A301" s="96" t="s">
        <v>289</v>
      </c>
      <c r="B301" s="100" t="s">
        <v>2399</v>
      </c>
      <c r="C301" s="100">
        <v>2510</v>
      </c>
      <c r="D301" s="100">
        <v>2480</v>
      </c>
      <c r="E301" s="100">
        <v>2460</v>
      </c>
      <c r="F301" s="139"/>
    </row>
    <row r="302" s="122" customFormat="1" ht="14.25" customHeight="1" spans="1:6">
      <c r="A302" s="96" t="s">
        <v>289</v>
      </c>
      <c r="B302" s="100" t="s">
        <v>2409</v>
      </c>
      <c r="C302" s="100">
        <v>2480</v>
      </c>
      <c r="D302" s="100">
        <v>2450</v>
      </c>
      <c r="E302" s="100">
        <v>2420</v>
      </c>
      <c r="F302" s="136">
        <v>600</v>
      </c>
    </row>
    <row r="303" s="122" customFormat="1" ht="14.25" customHeight="1" spans="1:6">
      <c r="A303" s="96" t="s">
        <v>289</v>
      </c>
      <c r="B303" s="100" t="s">
        <v>2419</v>
      </c>
      <c r="C303" s="100">
        <v>2270</v>
      </c>
      <c r="D303" s="100">
        <v>2240</v>
      </c>
      <c r="E303" s="100">
        <v>2210</v>
      </c>
      <c r="F303" s="136">
        <v>540</v>
      </c>
    </row>
    <row r="304" s="122" customFormat="1" ht="14.25" customHeight="1" spans="1:6">
      <c r="A304" s="96" t="s">
        <v>289</v>
      </c>
      <c r="B304" s="100" t="s">
        <v>2429</v>
      </c>
      <c r="C304" s="100">
        <v>2310</v>
      </c>
      <c r="D304" s="100">
        <v>2290</v>
      </c>
      <c r="E304" s="100">
        <v>2270</v>
      </c>
      <c r="F304" s="139"/>
    </row>
    <row r="305" s="122" customFormat="1" ht="14.25" customHeight="1" spans="1:6">
      <c r="A305" s="96" t="s">
        <v>289</v>
      </c>
      <c r="B305" s="100" t="s">
        <v>2439</v>
      </c>
      <c r="C305" s="100">
        <v>2490</v>
      </c>
      <c r="D305" s="100">
        <v>2470</v>
      </c>
      <c r="E305" s="100">
        <v>2440</v>
      </c>
      <c r="F305" s="136">
        <v>560</v>
      </c>
    </row>
    <row r="306" s="122" customFormat="1" ht="14.25" customHeight="1" spans="1:6">
      <c r="A306" s="96" t="s">
        <v>289</v>
      </c>
      <c r="B306" s="100" t="s">
        <v>2449</v>
      </c>
      <c r="C306" s="100">
        <v>2420</v>
      </c>
      <c r="D306" s="100">
        <v>2400</v>
      </c>
      <c r="E306" s="100">
        <v>2380</v>
      </c>
      <c r="F306" s="139"/>
    </row>
    <row r="307" s="122" customFormat="1" ht="14.25" customHeight="1" spans="1:6">
      <c r="A307" s="96" t="s">
        <v>289</v>
      </c>
      <c r="B307" s="100" t="s">
        <v>2459</v>
      </c>
      <c r="C307" s="100">
        <v>2770</v>
      </c>
      <c r="D307" s="100">
        <v>2740</v>
      </c>
      <c r="E307" s="100">
        <v>2710</v>
      </c>
      <c r="F307" s="136">
        <v>650</v>
      </c>
    </row>
    <row r="308" s="122" customFormat="1" ht="14.25" customHeight="1" spans="1:6">
      <c r="A308" s="96" t="s">
        <v>289</v>
      </c>
      <c r="B308" s="100" t="s">
        <v>2469</v>
      </c>
      <c r="C308" s="100">
        <v>2610</v>
      </c>
      <c r="D308" s="100">
        <v>2580</v>
      </c>
      <c r="E308" s="100">
        <v>2550</v>
      </c>
      <c r="F308" s="136">
        <v>580</v>
      </c>
    </row>
    <row r="309" s="122" customFormat="1" ht="14.25" customHeight="1" spans="1:6">
      <c r="A309" s="96" t="s">
        <v>289</v>
      </c>
      <c r="B309" s="100" t="s">
        <v>2479</v>
      </c>
      <c r="C309" s="100">
        <v>2690</v>
      </c>
      <c r="D309" s="100">
        <v>2670</v>
      </c>
      <c r="E309" s="100">
        <v>2650</v>
      </c>
      <c r="F309" s="139"/>
    </row>
    <row r="310" s="122" customFormat="1" ht="14.25" customHeight="1" spans="1:6">
      <c r="A310" s="96" t="s">
        <v>289</v>
      </c>
      <c r="B310" s="100" t="s">
        <v>2488</v>
      </c>
      <c r="C310" s="100">
        <v>2360</v>
      </c>
      <c r="D310" s="100">
        <v>2330</v>
      </c>
      <c r="E310" s="100">
        <v>2310</v>
      </c>
      <c r="F310" s="136">
        <v>560</v>
      </c>
    </row>
    <row r="311" s="122" customFormat="1" ht="14.25" customHeight="1" spans="1:6">
      <c r="A311" s="96" t="s">
        <v>289</v>
      </c>
      <c r="B311" s="100" t="s">
        <v>2496</v>
      </c>
      <c r="C311" s="100">
        <v>1970</v>
      </c>
      <c r="D311" s="100">
        <v>1950</v>
      </c>
      <c r="E311" s="100">
        <v>1920</v>
      </c>
      <c r="F311" s="136">
        <v>470</v>
      </c>
    </row>
    <row r="312" s="122" customFormat="1" ht="14.25" customHeight="1" spans="1:6">
      <c r="A312" s="96" t="s">
        <v>289</v>
      </c>
      <c r="B312" s="100" t="s">
        <v>2504</v>
      </c>
      <c r="C312" s="100">
        <v>2230</v>
      </c>
      <c r="D312" s="100">
        <v>2200</v>
      </c>
      <c r="E312" s="100">
        <v>2170</v>
      </c>
      <c r="F312" s="136">
        <v>460</v>
      </c>
    </row>
    <row r="313" s="122" customFormat="1" ht="14.25" customHeight="1" spans="1:6">
      <c r="A313" s="96" t="s">
        <v>289</v>
      </c>
      <c r="B313" s="100" t="s">
        <v>2511</v>
      </c>
      <c r="C313" s="100">
        <v>2770</v>
      </c>
      <c r="D313" s="100">
        <v>2740</v>
      </c>
      <c r="E313" s="100">
        <v>2710</v>
      </c>
      <c r="F313" s="136">
        <v>610</v>
      </c>
    </row>
    <row r="314" s="122" customFormat="1" ht="14.25" customHeight="1" spans="1:6">
      <c r="A314" s="96" t="s">
        <v>289</v>
      </c>
      <c r="B314" s="100" t="s">
        <v>2518</v>
      </c>
      <c r="C314" s="100"/>
      <c r="D314" s="100"/>
      <c r="E314" s="100"/>
      <c r="F314" s="136">
        <v>490</v>
      </c>
    </row>
    <row r="315" s="122" customFormat="1" ht="14.25" customHeight="1" spans="1:6">
      <c r="A315" s="96" t="s">
        <v>289</v>
      </c>
      <c r="B315" s="100" t="s">
        <v>2525</v>
      </c>
      <c r="C315" s="100"/>
      <c r="D315" s="100"/>
      <c r="E315" s="100"/>
      <c r="F315" s="136">
        <v>520</v>
      </c>
    </row>
    <row r="316" s="122" customFormat="1" ht="14.25" customHeight="1" spans="1:6">
      <c r="A316" s="96" t="s">
        <v>289</v>
      </c>
      <c r="B316" s="111" t="s">
        <v>2532</v>
      </c>
      <c r="C316" s="111"/>
      <c r="D316" s="111"/>
      <c r="E316" s="111"/>
      <c r="F316" s="138">
        <v>460</v>
      </c>
    </row>
    <row r="317" s="122" customFormat="1" ht="14.25" customHeight="1" spans="1:6">
      <c r="A317" s="96" t="s">
        <v>292</v>
      </c>
      <c r="B317" s="97" t="s">
        <v>2286</v>
      </c>
      <c r="C317" s="97">
        <v>1200</v>
      </c>
      <c r="D317" s="97">
        <v>1180</v>
      </c>
      <c r="E317" s="97">
        <v>1160</v>
      </c>
      <c r="F317" s="133">
        <v>370</v>
      </c>
    </row>
    <row r="318" s="122" customFormat="1" ht="14.25" customHeight="1" spans="1:6">
      <c r="A318" s="96" t="s">
        <v>292</v>
      </c>
      <c r="B318" s="100" t="s">
        <v>2299</v>
      </c>
      <c r="C318" s="100">
        <v>1090</v>
      </c>
      <c r="D318" s="100">
        <v>1060</v>
      </c>
      <c r="E318" s="100">
        <v>1040</v>
      </c>
      <c r="F318" s="139"/>
    </row>
    <row r="319" s="122" customFormat="1" ht="14.25" customHeight="1" spans="1:6">
      <c r="A319" s="96" t="s">
        <v>292</v>
      </c>
      <c r="B319" s="100" t="s">
        <v>2313</v>
      </c>
      <c r="C319" s="100">
        <v>1520</v>
      </c>
      <c r="D319" s="100">
        <v>1470</v>
      </c>
      <c r="E319" s="100">
        <v>1440</v>
      </c>
      <c r="F319" s="136">
        <v>370</v>
      </c>
    </row>
    <row r="320" s="122" customFormat="1" ht="14.25" customHeight="1" spans="1:6">
      <c r="A320" s="96" t="s">
        <v>292</v>
      </c>
      <c r="B320" s="100" t="s">
        <v>2325</v>
      </c>
      <c r="C320" s="100">
        <v>1360</v>
      </c>
      <c r="D320" s="100">
        <v>1300</v>
      </c>
      <c r="E320" s="100">
        <v>1270</v>
      </c>
      <c r="F320" s="139"/>
    </row>
    <row r="321" s="122" customFormat="1" ht="14.25" customHeight="1" spans="1:6">
      <c r="A321" s="96" t="s">
        <v>292</v>
      </c>
      <c r="B321" s="100" t="s">
        <v>2337</v>
      </c>
      <c r="C321" s="100">
        <v>1750</v>
      </c>
      <c r="D321" s="100">
        <v>1690</v>
      </c>
      <c r="E321" s="100">
        <v>1660</v>
      </c>
      <c r="F321" s="139"/>
    </row>
    <row r="322" s="122" customFormat="1" ht="14.25" customHeight="1" spans="1:6">
      <c r="A322" s="96" t="s">
        <v>292</v>
      </c>
      <c r="B322" s="100" t="s">
        <v>2348</v>
      </c>
      <c r="C322" s="100">
        <v>1650</v>
      </c>
      <c r="D322" s="100">
        <v>1610</v>
      </c>
      <c r="E322" s="100">
        <v>1580</v>
      </c>
      <c r="F322" s="136">
        <v>500</v>
      </c>
    </row>
    <row r="323" s="122" customFormat="1" ht="14.25" customHeight="1" spans="1:6">
      <c r="A323" s="96" t="s">
        <v>292</v>
      </c>
      <c r="B323" s="100" t="s">
        <v>2359</v>
      </c>
      <c r="C323" s="100">
        <v>1780</v>
      </c>
      <c r="D323" s="100">
        <v>1740</v>
      </c>
      <c r="E323" s="100">
        <v>1720</v>
      </c>
      <c r="F323" s="139"/>
    </row>
    <row r="324" s="122" customFormat="1" ht="14.25" customHeight="1" spans="1:6">
      <c r="A324" s="96" t="s">
        <v>292</v>
      </c>
      <c r="B324" s="100" t="s">
        <v>2370</v>
      </c>
      <c r="C324" s="100">
        <v>1650</v>
      </c>
      <c r="D324" s="100">
        <v>1610</v>
      </c>
      <c r="E324" s="100">
        <v>1580</v>
      </c>
      <c r="F324" s="139"/>
    </row>
    <row r="325" s="122" customFormat="1" ht="14.25" customHeight="1" spans="1:6">
      <c r="A325" s="96" t="s">
        <v>292</v>
      </c>
      <c r="B325" s="100" t="s">
        <v>2380</v>
      </c>
      <c r="C325" s="100">
        <v>1330</v>
      </c>
      <c r="D325" s="100">
        <v>1270</v>
      </c>
      <c r="E325" s="100">
        <v>1240</v>
      </c>
      <c r="F325" s="136">
        <v>430</v>
      </c>
    </row>
    <row r="326" s="122" customFormat="1" ht="14.25" customHeight="1" spans="1:6">
      <c r="A326" s="96" t="s">
        <v>292</v>
      </c>
      <c r="B326" s="100" t="s">
        <v>2390</v>
      </c>
      <c r="C326" s="100">
        <v>1470</v>
      </c>
      <c r="D326" s="100">
        <v>1430</v>
      </c>
      <c r="E326" s="100">
        <v>1400</v>
      </c>
      <c r="F326" s="139"/>
    </row>
    <row r="327" s="122" customFormat="1" ht="14.25" customHeight="1" spans="1:6">
      <c r="A327" s="96" t="s">
        <v>292</v>
      </c>
      <c r="B327" s="100" t="s">
        <v>2400</v>
      </c>
      <c r="C327" s="100">
        <v>1420</v>
      </c>
      <c r="D327" s="100">
        <v>1380</v>
      </c>
      <c r="E327" s="100">
        <v>1360</v>
      </c>
      <c r="F327" s="136">
        <v>420</v>
      </c>
    </row>
    <row r="328" s="122" customFormat="1" ht="14.25" customHeight="1" spans="1:6">
      <c r="A328" s="96" t="s">
        <v>292</v>
      </c>
      <c r="B328" s="100" t="s">
        <v>2410</v>
      </c>
      <c r="C328" s="100">
        <v>1400</v>
      </c>
      <c r="D328" s="100">
        <v>1360</v>
      </c>
      <c r="E328" s="100">
        <v>1330</v>
      </c>
      <c r="F328" s="136">
        <v>460</v>
      </c>
    </row>
    <row r="329" s="122" customFormat="1" ht="14.25" customHeight="1" spans="1:6">
      <c r="A329" s="96" t="s">
        <v>292</v>
      </c>
      <c r="B329" s="100" t="s">
        <v>2420</v>
      </c>
      <c r="C329" s="100">
        <v>1640</v>
      </c>
      <c r="D329" s="100">
        <v>1610</v>
      </c>
      <c r="E329" s="100">
        <v>1580</v>
      </c>
      <c r="F329" s="136">
        <v>410</v>
      </c>
    </row>
    <row r="330" s="122" customFormat="1" ht="14.25" customHeight="1" spans="1:6">
      <c r="A330" s="96" t="s">
        <v>292</v>
      </c>
      <c r="B330" s="100" t="s">
        <v>2430</v>
      </c>
      <c r="C330" s="100">
        <v>1260</v>
      </c>
      <c r="D330" s="100">
        <v>1220</v>
      </c>
      <c r="E330" s="100">
        <v>1200</v>
      </c>
      <c r="F330" s="139"/>
    </row>
    <row r="331" s="122" customFormat="1" ht="14.25" customHeight="1" spans="1:6">
      <c r="A331" s="96" t="s">
        <v>292</v>
      </c>
      <c r="B331" s="100" t="s">
        <v>2440</v>
      </c>
      <c r="C331" s="100">
        <v>1620</v>
      </c>
      <c r="D331" s="100">
        <v>1560</v>
      </c>
      <c r="E331" s="100">
        <v>1530</v>
      </c>
      <c r="F331" s="136">
        <v>490</v>
      </c>
    </row>
    <row r="332" s="122" customFormat="1" ht="14.25" customHeight="1" spans="1:6">
      <c r="A332" s="96" t="s">
        <v>292</v>
      </c>
      <c r="B332" s="100" t="s">
        <v>2450</v>
      </c>
      <c r="C332" s="100">
        <v>1520</v>
      </c>
      <c r="D332" s="100">
        <v>1470</v>
      </c>
      <c r="E332" s="100">
        <v>1440</v>
      </c>
      <c r="F332" s="136">
        <v>440</v>
      </c>
    </row>
    <row r="333" s="122" customFormat="1" ht="14.25" customHeight="1" spans="1:6">
      <c r="A333" s="96" t="s">
        <v>292</v>
      </c>
      <c r="B333" s="100" t="s">
        <v>2460</v>
      </c>
      <c r="C333" s="100">
        <v>1370</v>
      </c>
      <c r="D333" s="100">
        <v>1320</v>
      </c>
      <c r="E333" s="100">
        <v>1300</v>
      </c>
      <c r="F333" s="136">
        <v>460</v>
      </c>
    </row>
    <row r="334" s="122" customFormat="1" ht="14.25" customHeight="1" spans="1:6">
      <c r="A334" s="96" t="s">
        <v>292</v>
      </c>
      <c r="B334" s="100" t="s">
        <v>2470</v>
      </c>
      <c r="C334" s="100">
        <v>1410</v>
      </c>
      <c r="D334" s="100">
        <v>1340</v>
      </c>
      <c r="E334" s="100">
        <v>1310</v>
      </c>
      <c r="F334" s="136">
        <v>410</v>
      </c>
    </row>
    <row r="335" s="122" customFormat="1" ht="14.25" customHeight="1" spans="1:6">
      <c r="A335" s="96" t="s">
        <v>292</v>
      </c>
      <c r="B335" s="100" t="s">
        <v>2480</v>
      </c>
      <c r="C335" s="100">
        <v>1260</v>
      </c>
      <c r="D335" s="100">
        <v>1220</v>
      </c>
      <c r="E335" s="100">
        <v>1200</v>
      </c>
      <c r="F335" s="139"/>
    </row>
    <row r="336" s="122" customFormat="1" ht="14.25" customHeight="1" spans="1:6">
      <c r="A336" s="96" t="s">
        <v>292</v>
      </c>
      <c r="B336" s="100" t="s">
        <v>2489</v>
      </c>
      <c r="C336" s="100">
        <v>1160</v>
      </c>
      <c r="D336" s="100">
        <v>1140</v>
      </c>
      <c r="E336" s="100">
        <v>1120</v>
      </c>
      <c r="F336" s="136">
        <v>430</v>
      </c>
    </row>
    <row r="337" s="122" customFormat="1" ht="14.25" customHeight="1" spans="1:6">
      <c r="A337" s="96" t="s">
        <v>292</v>
      </c>
      <c r="B337" s="111" t="s">
        <v>2497</v>
      </c>
      <c r="C337" s="111"/>
      <c r="D337" s="111"/>
      <c r="E337" s="111"/>
      <c r="F337" s="138">
        <v>380</v>
      </c>
    </row>
    <row r="338" s="122" customFormat="1" ht="14.25" customHeight="1" spans="1:6">
      <c r="A338" s="96" t="s">
        <v>295</v>
      </c>
      <c r="B338" s="97" t="s">
        <v>2287</v>
      </c>
      <c r="C338" s="97">
        <v>880</v>
      </c>
      <c r="D338" s="97">
        <v>850</v>
      </c>
      <c r="E338" s="97">
        <v>830</v>
      </c>
      <c r="F338" s="143"/>
    </row>
    <row r="339" s="122" customFormat="1" ht="14.25" customHeight="1" spans="1:6">
      <c r="A339" s="96" t="s">
        <v>295</v>
      </c>
      <c r="B339" s="100" t="s">
        <v>2300</v>
      </c>
      <c r="C339" s="100">
        <v>830</v>
      </c>
      <c r="D339" s="100">
        <v>800</v>
      </c>
      <c r="E339" s="100">
        <v>780</v>
      </c>
      <c r="F339" s="139"/>
    </row>
    <row r="340" s="122" customFormat="1" ht="14.25" customHeight="1" spans="1:6">
      <c r="A340" s="96" t="s">
        <v>295</v>
      </c>
      <c r="B340" s="100" t="s">
        <v>2314</v>
      </c>
      <c r="C340" s="100">
        <v>980</v>
      </c>
      <c r="D340" s="100">
        <v>950</v>
      </c>
      <c r="E340" s="100">
        <v>920</v>
      </c>
      <c r="F340" s="139"/>
    </row>
    <row r="341" s="122" customFormat="1" ht="14.25" customHeight="1" spans="1:6">
      <c r="A341" s="96" t="s">
        <v>295</v>
      </c>
      <c r="B341" s="100" t="s">
        <v>2326</v>
      </c>
      <c r="C341" s="100">
        <v>760</v>
      </c>
      <c r="D341" s="100">
        <v>720</v>
      </c>
      <c r="E341" s="100">
        <v>690</v>
      </c>
      <c r="F341" s="136">
        <v>350</v>
      </c>
    </row>
    <row r="342" s="122" customFormat="1" ht="14.25" customHeight="1" spans="1:6">
      <c r="A342" s="96" t="s">
        <v>295</v>
      </c>
      <c r="B342" s="100" t="s">
        <v>2338</v>
      </c>
      <c r="C342" s="100">
        <v>910</v>
      </c>
      <c r="D342" s="100">
        <v>870</v>
      </c>
      <c r="E342" s="100">
        <v>850</v>
      </c>
      <c r="F342" s="136">
        <v>370</v>
      </c>
    </row>
    <row r="343" s="122" customFormat="1" ht="14.25" customHeight="1" spans="1:6">
      <c r="A343" s="96" t="s">
        <v>295</v>
      </c>
      <c r="B343" s="100" t="s">
        <v>2349</v>
      </c>
      <c r="C343" s="100">
        <v>800</v>
      </c>
      <c r="D343" s="100">
        <v>760</v>
      </c>
      <c r="E343" s="100">
        <v>730</v>
      </c>
      <c r="F343" s="136">
        <v>340</v>
      </c>
    </row>
    <row r="344" s="122" customFormat="1" ht="14.25" customHeight="1" spans="1:6">
      <c r="A344" s="96" t="s">
        <v>295</v>
      </c>
      <c r="B344" s="111" t="s">
        <v>2360</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0" customWidth="1"/>
    <col min="2" max="2" width="10.2222222222222" style="91" customWidth="1"/>
  </cols>
  <sheetData>
    <row r="1" spans="1:2">
      <c r="A1" s="92" t="s">
        <v>2619</v>
      </c>
      <c r="B1" s="92"/>
    </row>
    <row r="2" ht="15.15" spans="1:2">
      <c r="A2" s="92"/>
      <c r="B2" s="92"/>
    </row>
    <row r="3" ht="15.15" spans="1:6">
      <c r="A3" s="92"/>
      <c r="B3" s="92"/>
      <c r="C3" s="93" t="s">
        <v>1830</v>
      </c>
      <c r="D3" s="93" t="s">
        <v>454</v>
      </c>
      <c r="E3" s="93" t="s">
        <v>1831</v>
      </c>
      <c r="F3" s="93" t="s">
        <v>1832</v>
      </c>
    </row>
    <row r="4" ht="15.15" spans="1:6">
      <c r="A4" s="94" t="s">
        <v>2288</v>
      </c>
      <c r="B4" s="95" t="s">
        <v>2301</v>
      </c>
      <c r="C4" s="93"/>
      <c r="D4" s="93"/>
      <c r="E4" s="93"/>
      <c r="F4" s="93"/>
    </row>
    <row r="5" ht="15.15" spans="1:6">
      <c r="A5" s="96" t="s">
        <v>230</v>
      </c>
      <c r="B5" s="97" t="s">
        <v>2276</v>
      </c>
      <c r="C5" s="98">
        <v>0.089</v>
      </c>
      <c r="D5" s="98">
        <v>0.074</v>
      </c>
      <c r="E5" s="98">
        <v>0.075</v>
      </c>
      <c r="F5" s="99">
        <v>0.1</v>
      </c>
    </row>
    <row r="6" ht="15.15" spans="1:6">
      <c r="A6" s="96" t="s">
        <v>230</v>
      </c>
      <c r="B6" s="100" t="s">
        <v>2289</v>
      </c>
      <c r="C6" s="101">
        <v>0.1</v>
      </c>
      <c r="D6" s="101">
        <v>0.091</v>
      </c>
      <c r="E6" s="101">
        <v>0.091</v>
      </c>
      <c r="F6" s="102">
        <v>0.1</v>
      </c>
    </row>
    <row r="7" ht="15.15" spans="1:6">
      <c r="A7" s="96" t="s">
        <v>230</v>
      </c>
      <c r="B7" s="103" t="s">
        <v>2303</v>
      </c>
      <c r="C7" s="101">
        <v>0.086</v>
      </c>
      <c r="D7" s="101">
        <v>0.096</v>
      </c>
      <c r="E7" s="101">
        <v>0.076</v>
      </c>
      <c r="F7" s="102">
        <v>0.1</v>
      </c>
    </row>
    <row r="8" ht="15.15" spans="1:6">
      <c r="A8" s="96" t="s">
        <v>230</v>
      </c>
      <c r="B8" s="100" t="s">
        <v>2315</v>
      </c>
      <c r="C8" s="101">
        <v>0.099</v>
      </c>
      <c r="D8" s="101">
        <v>0.098</v>
      </c>
      <c r="E8" s="101">
        <v>0.098</v>
      </c>
      <c r="F8" s="102">
        <v>0.1</v>
      </c>
    </row>
    <row r="9" ht="15.15" spans="1:6">
      <c r="A9" s="104" t="s">
        <v>230</v>
      </c>
      <c r="B9" s="105" t="s">
        <v>2327</v>
      </c>
      <c r="C9" s="106">
        <v>0.05</v>
      </c>
      <c r="D9" s="107"/>
      <c r="E9" s="107"/>
      <c r="F9" s="108"/>
    </row>
    <row r="10" ht="15.15" spans="1:6">
      <c r="A10" s="96" t="s">
        <v>241</v>
      </c>
      <c r="B10" s="97" t="s">
        <v>2277</v>
      </c>
      <c r="C10" s="98">
        <v>0.089</v>
      </c>
      <c r="D10" s="98">
        <v>0.073</v>
      </c>
      <c r="E10" s="98">
        <v>0.082</v>
      </c>
      <c r="F10" s="99">
        <v>0.1</v>
      </c>
    </row>
    <row r="11" ht="15.15" spans="1:6">
      <c r="A11" s="96" t="s">
        <v>241</v>
      </c>
      <c r="B11" s="103" t="s">
        <v>2290</v>
      </c>
      <c r="C11" s="101">
        <v>0.089</v>
      </c>
      <c r="D11" s="101">
        <v>0.073</v>
      </c>
      <c r="E11" s="101">
        <v>0.082</v>
      </c>
      <c r="F11" s="102">
        <v>0.1</v>
      </c>
    </row>
    <row r="12" ht="15.15" spans="1:6">
      <c r="A12" s="96" t="s">
        <v>241</v>
      </c>
      <c r="B12" s="103" t="s">
        <v>2304</v>
      </c>
      <c r="C12" s="101">
        <v>0.061</v>
      </c>
      <c r="D12" s="101">
        <v>0.071</v>
      </c>
      <c r="E12" s="101">
        <v>0.096</v>
      </c>
      <c r="F12" s="102">
        <v>0.1</v>
      </c>
    </row>
    <row r="13" ht="15.15" spans="1:6">
      <c r="A13" s="96" t="s">
        <v>241</v>
      </c>
      <c r="B13" s="103" t="s">
        <v>2316</v>
      </c>
      <c r="C13" s="101">
        <v>0.069</v>
      </c>
      <c r="D13" s="101">
        <v>0.065</v>
      </c>
      <c r="E13" s="101">
        <v>0.066</v>
      </c>
      <c r="F13" s="102">
        <v>0.1</v>
      </c>
    </row>
    <row r="14" ht="15.15" spans="1:6">
      <c r="A14" s="96" t="s">
        <v>241</v>
      </c>
      <c r="B14" s="103" t="s">
        <v>2328</v>
      </c>
      <c r="C14" s="101">
        <v>0.1</v>
      </c>
      <c r="D14" s="101">
        <v>0.065</v>
      </c>
      <c r="E14" s="101">
        <v>0.07</v>
      </c>
      <c r="F14" s="102">
        <v>0.1</v>
      </c>
    </row>
    <row r="15" ht="15.15" spans="1:6">
      <c r="A15" s="96" t="s">
        <v>241</v>
      </c>
      <c r="B15" s="103" t="s">
        <v>2339</v>
      </c>
      <c r="C15" s="101">
        <v>0.098</v>
      </c>
      <c r="D15" s="101">
        <v>0.089</v>
      </c>
      <c r="E15" s="101">
        <v>0.089</v>
      </c>
      <c r="F15" s="102">
        <v>0.1</v>
      </c>
    </row>
    <row r="16" ht="15.15" spans="1:6">
      <c r="A16" s="96" t="s">
        <v>241</v>
      </c>
      <c r="B16" s="103" t="s">
        <v>2350</v>
      </c>
      <c r="C16" s="101">
        <v>0.07</v>
      </c>
      <c r="D16" s="101">
        <v>0.093</v>
      </c>
      <c r="E16" s="101">
        <v>0.096</v>
      </c>
      <c r="F16" s="102">
        <v>0.1</v>
      </c>
    </row>
    <row r="17" ht="15.15" spans="1:6">
      <c r="A17" s="96" t="s">
        <v>241</v>
      </c>
      <c r="B17" s="103" t="s">
        <v>2361</v>
      </c>
      <c r="C17" s="101">
        <v>0.095</v>
      </c>
      <c r="D17" s="101">
        <v>0.1</v>
      </c>
      <c r="E17" s="101">
        <v>0.1</v>
      </c>
      <c r="F17" s="109"/>
    </row>
    <row r="18" ht="15.15" spans="1:6">
      <c r="A18" s="96" t="s">
        <v>241</v>
      </c>
      <c r="B18" s="103" t="s">
        <v>2371</v>
      </c>
      <c r="C18" s="101">
        <v>0.074</v>
      </c>
      <c r="D18" s="101">
        <v>0.099</v>
      </c>
      <c r="E18" s="101">
        <v>0.1</v>
      </c>
      <c r="F18" s="109"/>
    </row>
    <row r="19" ht="15.15" spans="1:6">
      <c r="A19" s="96" t="s">
        <v>241</v>
      </c>
      <c r="B19" s="103" t="s">
        <v>2381</v>
      </c>
      <c r="C19" s="101">
        <v>0.099</v>
      </c>
      <c r="D19" s="101">
        <v>0.076</v>
      </c>
      <c r="E19" s="101">
        <v>0.087</v>
      </c>
      <c r="F19" s="109"/>
    </row>
    <row r="20" ht="15.15" spans="1:6">
      <c r="A20" s="96" t="s">
        <v>241</v>
      </c>
      <c r="B20" s="103" t="s">
        <v>2391</v>
      </c>
      <c r="C20" s="101">
        <v>0.098</v>
      </c>
      <c r="D20" s="101">
        <v>0.085</v>
      </c>
      <c r="E20" s="101">
        <v>0.082</v>
      </c>
      <c r="F20" s="109"/>
    </row>
    <row r="21" ht="15.15" spans="1:6">
      <c r="A21" s="96" t="s">
        <v>241</v>
      </c>
      <c r="B21" s="103" t="s">
        <v>2401</v>
      </c>
      <c r="C21" s="101">
        <v>0.066</v>
      </c>
      <c r="D21" s="101">
        <v>0.064</v>
      </c>
      <c r="E21" s="101">
        <v>0.065</v>
      </c>
      <c r="F21" s="109"/>
    </row>
    <row r="22" ht="15.15" spans="1:6">
      <c r="A22" s="96" t="s">
        <v>241</v>
      </c>
      <c r="B22" s="103" t="s">
        <v>2411</v>
      </c>
      <c r="C22" s="101">
        <v>0.08</v>
      </c>
      <c r="D22" s="101">
        <v>0.098</v>
      </c>
      <c r="E22" s="101">
        <v>0.098</v>
      </c>
      <c r="F22" s="109"/>
    </row>
    <row r="23" ht="15.15" spans="1:6">
      <c r="A23" s="96" t="s">
        <v>241</v>
      </c>
      <c r="B23" s="103" t="s">
        <v>2421</v>
      </c>
      <c r="C23" s="101">
        <v>0.099</v>
      </c>
      <c r="D23" s="101">
        <v>0.098</v>
      </c>
      <c r="E23" s="101">
        <v>0.091</v>
      </c>
      <c r="F23" s="109"/>
    </row>
    <row r="24" ht="15.15" spans="1:6">
      <c r="A24" s="96" t="s">
        <v>241</v>
      </c>
      <c r="B24" s="103" t="s">
        <v>2431</v>
      </c>
      <c r="C24" s="101">
        <v>0.089</v>
      </c>
      <c r="D24" s="101">
        <v>0.097</v>
      </c>
      <c r="E24" s="101">
        <v>0.07</v>
      </c>
      <c r="F24" s="109"/>
    </row>
    <row r="25" ht="15.15" spans="1:6">
      <c r="A25" s="96" t="s">
        <v>241</v>
      </c>
      <c r="B25" s="103" t="s">
        <v>2441</v>
      </c>
      <c r="C25" s="101">
        <v>0.089</v>
      </c>
      <c r="D25" s="101">
        <v>0.1</v>
      </c>
      <c r="E25" s="101">
        <v>0.081</v>
      </c>
      <c r="F25" s="109"/>
    </row>
    <row r="26" ht="15.15" spans="1:6">
      <c r="A26" s="96" t="s">
        <v>241</v>
      </c>
      <c r="B26" s="103" t="s">
        <v>2451</v>
      </c>
      <c r="C26" s="110"/>
      <c r="D26" s="101">
        <v>0.096</v>
      </c>
      <c r="E26" s="101">
        <v>0.093</v>
      </c>
      <c r="F26" s="109"/>
    </row>
    <row r="27" ht="15.15" spans="1:6">
      <c r="A27" s="96" t="s">
        <v>241</v>
      </c>
      <c r="B27" s="103" t="s">
        <v>2461</v>
      </c>
      <c r="C27" s="110"/>
      <c r="D27" s="101">
        <v>0.076</v>
      </c>
      <c r="E27" s="101">
        <v>0.092</v>
      </c>
      <c r="F27" s="109"/>
    </row>
    <row r="28" ht="15.15" spans="1:6">
      <c r="A28" s="104" t="s">
        <v>241</v>
      </c>
      <c r="B28" s="105" t="s">
        <v>2471</v>
      </c>
      <c r="C28" s="107"/>
      <c r="D28" s="106">
        <v>0.076</v>
      </c>
      <c r="E28" s="106">
        <v>0.092</v>
      </c>
      <c r="F28" s="108"/>
    </row>
    <row r="29" ht="15.15" spans="1:6">
      <c r="A29" s="96" t="s">
        <v>251</v>
      </c>
      <c r="B29" s="97" t="s">
        <v>2278</v>
      </c>
      <c r="C29" s="98">
        <v>0.064</v>
      </c>
      <c r="D29" s="98">
        <v>0.065</v>
      </c>
      <c r="E29" s="98">
        <v>0.069</v>
      </c>
      <c r="F29" s="99">
        <v>0.1</v>
      </c>
    </row>
    <row r="30" ht="15.15" spans="1:6">
      <c r="A30" s="96" t="s">
        <v>251</v>
      </c>
      <c r="B30" s="103" t="s">
        <v>2291</v>
      </c>
      <c r="C30" s="101">
        <v>0.064</v>
      </c>
      <c r="D30" s="101">
        <v>0.099</v>
      </c>
      <c r="E30" s="101">
        <v>0.1</v>
      </c>
      <c r="F30" s="102">
        <v>0.1</v>
      </c>
    </row>
    <row r="31" ht="15.15" spans="1:6">
      <c r="A31" s="96" t="s">
        <v>251</v>
      </c>
      <c r="B31" s="103" t="s">
        <v>2305</v>
      </c>
      <c r="C31" s="101">
        <v>0.1</v>
      </c>
      <c r="D31" s="101">
        <v>0.095</v>
      </c>
      <c r="E31" s="101">
        <v>0.089</v>
      </c>
      <c r="F31" s="102">
        <v>0.1</v>
      </c>
    </row>
    <row r="32" ht="15.15" spans="1:6">
      <c r="A32" s="96" t="s">
        <v>251</v>
      </c>
      <c r="B32" s="103" t="s">
        <v>2317</v>
      </c>
      <c r="C32" s="101">
        <v>0.05</v>
      </c>
      <c r="D32" s="101">
        <v>0.05</v>
      </c>
      <c r="E32" s="101">
        <v>0.088</v>
      </c>
      <c r="F32" s="102">
        <v>0.1</v>
      </c>
    </row>
    <row r="33" ht="15.15" spans="1:6">
      <c r="A33" s="96" t="s">
        <v>251</v>
      </c>
      <c r="B33" s="103" t="s">
        <v>2329</v>
      </c>
      <c r="C33" s="101">
        <v>0.075</v>
      </c>
      <c r="D33" s="101">
        <v>0.094</v>
      </c>
      <c r="E33" s="101">
        <v>0.097</v>
      </c>
      <c r="F33" s="102">
        <v>0.1</v>
      </c>
    </row>
    <row r="34" ht="15.15" spans="1:6">
      <c r="A34" s="96" t="s">
        <v>251</v>
      </c>
      <c r="B34" s="103" t="s">
        <v>2340</v>
      </c>
      <c r="C34" s="101">
        <v>0.098</v>
      </c>
      <c r="D34" s="101">
        <v>0.086</v>
      </c>
      <c r="E34" s="101">
        <v>0.097</v>
      </c>
      <c r="F34" s="102">
        <v>0.1</v>
      </c>
    </row>
    <row r="35" ht="15.15" spans="1:6">
      <c r="A35" s="96" t="s">
        <v>251</v>
      </c>
      <c r="B35" s="103" t="s">
        <v>2351</v>
      </c>
      <c r="C35" s="101">
        <v>0.059</v>
      </c>
      <c r="D35" s="101">
        <v>0.065</v>
      </c>
      <c r="E35" s="101">
        <v>0.07</v>
      </c>
      <c r="F35" s="102">
        <v>0.1</v>
      </c>
    </row>
    <row r="36" ht="15.15" spans="1:6">
      <c r="A36" s="96" t="s">
        <v>251</v>
      </c>
      <c r="B36" s="103" t="s">
        <v>2362</v>
      </c>
      <c r="C36" s="101">
        <v>0.063</v>
      </c>
      <c r="D36" s="101">
        <v>0.1</v>
      </c>
      <c r="E36" s="101">
        <v>0.1</v>
      </c>
      <c r="F36" s="102">
        <v>0.1</v>
      </c>
    </row>
    <row r="37" ht="15.15" spans="1:6">
      <c r="A37" s="96" t="s">
        <v>251</v>
      </c>
      <c r="B37" s="103" t="s">
        <v>2372</v>
      </c>
      <c r="C37" s="101">
        <v>0.074</v>
      </c>
      <c r="D37" s="101">
        <v>0.1</v>
      </c>
      <c r="E37" s="101">
        <v>0.1</v>
      </c>
      <c r="F37" s="102">
        <v>0.1</v>
      </c>
    </row>
    <row r="38" ht="15.15" spans="1:6">
      <c r="A38" s="96" t="s">
        <v>251</v>
      </c>
      <c r="B38" s="103" t="s">
        <v>2382</v>
      </c>
      <c r="C38" s="101">
        <v>0.1</v>
      </c>
      <c r="D38" s="101">
        <v>0.096</v>
      </c>
      <c r="E38" s="101">
        <v>0.096</v>
      </c>
      <c r="F38" s="109"/>
    </row>
    <row r="39" ht="15.15" spans="1:6">
      <c r="A39" s="96" t="s">
        <v>251</v>
      </c>
      <c r="B39" s="103" t="s">
        <v>2392</v>
      </c>
      <c r="C39" s="101">
        <v>0.1</v>
      </c>
      <c r="D39" s="101">
        <v>0.096</v>
      </c>
      <c r="E39" s="101">
        <v>0.096</v>
      </c>
      <c r="F39" s="109"/>
    </row>
    <row r="40" ht="15.15" spans="1:6">
      <c r="A40" s="96" t="s">
        <v>251</v>
      </c>
      <c r="B40" s="103" t="s">
        <v>2402</v>
      </c>
      <c r="C40" s="101">
        <v>0.096</v>
      </c>
      <c r="D40" s="101">
        <v>0.1</v>
      </c>
      <c r="E40" s="101">
        <v>0.099</v>
      </c>
      <c r="F40" s="109"/>
    </row>
    <row r="41" ht="15.15" spans="1:6">
      <c r="A41" s="96" t="s">
        <v>251</v>
      </c>
      <c r="B41" s="103" t="s">
        <v>2412</v>
      </c>
      <c r="C41" s="101">
        <v>0.096</v>
      </c>
      <c r="D41" s="101">
        <v>0.098</v>
      </c>
      <c r="E41" s="101">
        <v>0.098</v>
      </c>
      <c r="F41" s="109"/>
    </row>
    <row r="42" ht="15.15" spans="1:6">
      <c r="A42" s="96" t="s">
        <v>251</v>
      </c>
      <c r="B42" s="103" t="s">
        <v>2422</v>
      </c>
      <c r="C42" s="101">
        <v>0.1</v>
      </c>
      <c r="D42" s="101">
        <v>0.088</v>
      </c>
      <c r="E42" s="101">
        <v>0.1</v>
      </c>
      <c r="F42" s="109"/>
    </row>
    <row r="43" ht="15.15" spans="1:6">
      <c r="A43" s="96" t="s">
        <v>251</v>
      </c>
      <c r="B43" s="103" t="s">
        <v>2432</v>
      </c>
      <c r="C43" s="101">
        <v>0.098</v>
      </c>
      <c r="D43" s="101">
        <v>0.097</v>
      </c>
      <c r="E43" s="101">
        <v>0.096</v>
      </c>
      <c r="F43" s="109"/>
    </row>
    <row r="44" ht="15.15" spans="1:6">
      <c r="A44" s="96" t="s">
        <v>251</v>
      </c>
      <c r="B44" s="103" t="s">
        <v>2442</v>
      </c>
      <c r="C44" s="101">
        <v>0.086</v>
      </c>
      <c r="D44" s="101">
        <v>0.079</v>
      </c>
      <c r="E44" s="101">
        <v>0.071</v>
      </c>
      <c r="F44" s="109"/>
    </row>
    <row r="45" ht="15.15" spans="1:6">
      <c r="A45" s="96" t="s">
        <v>251</v>
      </c>
      <c r="B45" s="103" t="s">
        <v>2452</v>
      </c>
      <c r="C45" s="101">
        <v>0.098</v>
      </c>
      <c r="D45" s="101">
        <v>0.096</v>
      </c>
      <c r="E45" s="101">
        <v>0.096</v>
      </c>
      <c r="F45" s="109"/>
    </row>
    <row r="46" ht="15.15" spans="1:6">
      <c r="A46" s="96" t="s">
        <v>251</v>
      </c>
      <c r="B46" s="103" t="s">
        <v>2462</v>
      </c>
      <c r="C46" s="101">
        <v>0.086</v>
      </c>
      <c r="D46" s="101">
        <v>0.098</v>
      </c>
      <c r="E46" s="101">
        <v>0.088</v>
      </c>
      <c r="F46" s="109"/>
    </row>
    <row r="47" ht="15.15" spans="1:6">
      <c r="A47" s="96" t="s">
        <v>251</v>
      </c>
      <c r="B47" s="103" t="s">
        <v>2472</v>
      </c>
      <c r="C47" s="101">
        <v>0.096</v>
      </c>
      <c r="D47" s="110"/>
      <c r="E47" s="101">
        <v>0.069</v>
      </c>
      <c r="F47" s="109"/>
    </row>
    <row r="48" ht="15.15" spans="1:6">
      <c r="A48" s="104" t="s">
        <v>251</v>
      </c>
      <c r="B48" s="105" t="s">
        <v>2481</v>
      </c>
      <c r="C48" s="106">
        <v>0.098</v>
      </c>
      <c r="D48" s="107"/>
      <c r="E48" s="106">
        <v>0.095</v>
      </c>
      <c r="F48" s="108"/>
    </row>
    <row r="49" ht="15.15" spans="1:6">
      <c r="A49" s="96" t="s">
        <v>259</v>
      </c>
      <c r="B49" s="97" t="s">
        <v>2279</v>
      </c>
      <c r="C49" s="98">
        <v>0.097</v>
      </c>
      <c r="D49" s="98">
        <v>0.095</v>
      </c>
      <c r="E49" s="98">
        <v>0.097</v>
      </c>
      <c r="F49" s="99">
        <v>0.1</v>
      </c>
    </row>
    <row r="50" ht="15.15" spans="1:6">
      <c r="A50" s="96" t="s">
        <v>259</v>
      </c>
      <c r="B50" s="100" t="s">
        <v>2292</v>
      </c>
      <c r="C50" s="101">
        <v>0.075</v>
      </c>
      <c r="D50" s="101">
        <v>0.095</v>
      </c>
      <c r="E50" s="101">
        <v>0.1</v>
      </c>
      <c r="F50" s="102">
        <v>0.1</v>
      </c>
    </row>
    <row r="51" ht="15.15" spans="1:6">
      <c r="A51" s="96" t="s">
        <v>259</v>
      </c>
      <c r="B51" s="100" t="s">
        <v>2306</v>
      </c>
      <c r="C51" s="101">
        <v>0.098</v>
      </c>
      <c r="D51" s="101">
        <v>0.089</v>
      </c>
      <c r="E51" s="101">
        <v>0.1</v>
      </c>
      <c r="F51" s="102">
        <v>0.1</v>
      </c>
    </row>
    <row r="52" ht="15.15" spans="1:6">
      <c r="A52" s="96" t="s">
        <v>259</v>
      </c>
      <c r="B52" s="100" t="s">
        <v>2318</v>
      </c>
      <c r="C52" s="101">
        <v>0.098</v>
      </c>
      <c r="D52" s="101">
        <v>0.097</v>
      </c>
      <c r="E52" s="101">
        <v>0.081</v>
      </c>
      <c r="F52" s="102">
        <v>0.1</v>
      </c>
    </row>
    <row r="53" ht="15.15" spans="1:6">
      <c r="A53" s="96" t="s">
        <v>259</v>
      </c>
      <c r="B53" s="100" t="s">
        <v>2330</v>
      </c>
      <c r="C53" s="101">
        <v>0.097</v>
      </c>
      <c r="D53" s="101">
        <v>0.076</v>
      </c>
      <c r="E53" s="101">
        <v>0.071</v>
      </c>
      <c r="F53" s="102">
        <v>0.1</v>
      </c>
    </row>
    <row r="54" ht="15.15" spans="1:6">
      <c r="A54" s="96" t="s">
        <v>259</v>
      </c>
      <c r="B54" s="100" t="s">
        <v>2341</v>
      </c>
      <c r="C54" s="101">
        <v>0.076</v>
      </c>
      <c r="D54" s="101">
        <v>0.1</v>
      </c>
      <c r="E54" s="101">
        <v>0.099</v>
      </c>
      <c r="F54" s="102">
        <v>0.1</v>
      </c>
    </row>
    <row r="55" ht="15.15" spans="1:6">
      <c r="A55" s="96" t="s">
        <v>259</v>
      </c>
      <c r="B55" s="100" t="s">
        <v>2352</v>
      </c>
      <c r="C55" s="101">
        <v>0.1</v>
      </c>
      <c r="D55" s="101">
        <v>0.1</v>
      </c>
      <c r="E55" s="101">
        <v>0.096</v>
      </c>
      <c r="F55" s="102">
        <v>0.1</v>
      </c>
    </row>
    <row r="56" ht="15.15" spans="1:6">
      <c r="A56" s="96" t="s">
        <v>259</v>
      </c>
      <c r="B56" s="100" t="s">
        <v>2363</v>
      </c>
      <c r="C56" s="101">
        <v>0.1</v>
      </c>
      <c r="D56" s="101">
        <v>0.096</v>
      </c>
      <c r="E56" s="101">
        <v>0.052</v>
      </c>
      <c r="F56" s="102">
        <v>0.1</v>
      </c>
    </row>
    <row r="57" ht="15.15" spans="1:6">
      <c r="A57" s="96" t="s">
        <v>259</v>
      </c>
      <c r="B57" s="100" t="s">
        <v>2373</v>
      </c>
      <c r="C57" s="101">
        <v>0.097</v>
      </c>
      <c r="D57" s="101">
        <v>0.096</v>
      </c>
      <c r="E57" s="101">
        <v>0.096</v>
      </c>
      <c r="F57" s="102">
        <v>0.1</v>
      </c>
    </row>
    <row r="58" ht="15.15" spans="1:6">
      <c r="A58" s="96" t="s">
        <v>259</v>
      </c>
      <c r="B58" s="100" t="s">
        <v>2383</v>
      </c>
      <c r="C58" s="101">
        <v>0.096</v>
      </c>
      <c r="D58" s="101">
        <v>0.099</v>
      </c>
      <c r="E58" s="101">
        <v>0.096</v>
      </c>
      <c r="F58" s="102">
        <v>0.1</v>
      </c>
    </row>
    <row r="59" ht="15.15" spans="1:6">
      <c r="A59" s="96" t="s">
        <v>259</v>
      </c>
      <c r="B59" s="100" t="s">
        <v>2393</v>
      </c>
      <c r="C59" s="101">
        <v>0.072</v>
      </c>
      <c r="D59" s="101">
        <v>0.096</v>
      </c>
      <c r="E59" s="101">
        <v>0.071</v>
      </c>
      <c r="F59" s="102">
        <v>0.1</v>
      </c>
    </row>
    <row r="60" ht="15.15" spans="1:6">
      <c r="A60" s="96" t="s">
        <v>259</v>
      </c>
      <c r="B60" s="100" t="s">
        <v>2403</v>
      </c>
      <c r="C60" s="101">
        <v>0.096</v>
      </c>
      <c r="D60" s="101">
        <v>0.089</v>
      </c>
      <c r="E60" s="101">
        <v>0.096</v>
      </c>
      <c r="F60" s="102">
        <v>0.1</v>
      </c>
    </row>
    <row r="61" ht="15.15" spans="1:6">
      <c r="A61" s="96" t="s">
        <v>259</v>
      </c>
      <c r="B61" s="100" t="s">
        <v>2413</v>
      </c>
      <c r="C61" s="101">
        <v>0.089</v>
      </c>
      <c r="D61" s="101">
        <v>0.098</v>
      </c>
      <c r="E61" s="101">
        <v>0.088</v>
      </c>
      <c r="F61" s="109"/>
    </row>
    <row r="62" ht="15.15" spans="1:6">
      <c r="A62" s="96" t="s">
        <v>259</v>
      </c>
      <c r="B62" s="100" t="s">
        <v>2423</v>
      </c>
      <c r="C62" s="101">
        <v>0.098</v>
      </c>
      <c r="D62" s="101">
        <v>0.093</v>
      </c>
      <c r="E62" s="101">
        <v>0.097</v>
      </c>
      <c r="F62" s="109"/>
    </row>
    <row r="63" ht="15.15" spans="1:6">
      <c r="A63" s="96" t="s">
        <v>259</v>
      </c>
      <c r="B63" s="100" t="s">
        <v>2433</v>
      </c>
      <c r="C63" s="101">
        <v>0.096</v>
      </c>
      <c r="D63" s="101">
        <v>0.098</v>
      </c>
      <c r="E63" s="101">
        <v>0.09</v>
      </c>
      <c r="F63" s="109"/>
    </row>
    <row r="64" ht="15.15" spans="1:6">
      <c r="A64" s="96" t="s">
        <v>259</v>
      </c>
      <c r="B64" s="100" t="s">
        <v>2443</v>
      </c>
      <c r="C64" s="101">
        <v>0.099</v>
      </c>
      <c r="D64" s="101">
        <v>0.097</v>
      </c>
      <c r="E64" s="101">
        <v>0.099</v>
      </c>
      <c r="F64" s="109"/>
    </row>
    <row r="65" ht="15.15" spans="1:6">
      <c r="A65" s="96" t="s">
        <v>259</v>
      </c>
      <c r="B65" s="100" t="s">
        <v>2453</v>
      </c>
      <c r="C65" s="101">
        <v>0.098</v>
      </c>
      <c r="D65" s="101">
        <v>0.096</v>
      </c>
      <c r="E65" s="101">
        <v>0.096</v>
      </c>
      <c r="F65" s="109"/>
    </row>
    <row r="66" ht="15.15" spans="1:6">
      <c r="A66" s="96" t="s">
        <v>259</v>
      </c>
      <c r="B66" s="100" t="s">
        <v>2463</v>
      </c>
      <c r="C66" s="101">
        <v>0.096</v>
      </c>
      <c r="D66" s="101">
        <v>0.092</v>
      </c>
      <c r="E66" s="101">
        <v>0.096</v>
      </c>
      <c r="F66" s="109"/>
    </row>
    <row r="67" ht="15.15" spans="1:6">
      <c r="A67" s="96" t="s">
        <v>259</v>
      </c>
      <c r="B67" s="100" t="s">
        <v>2473</v>
      </c>
      <c r="C67" s="101">
        <v>0.094</v>
      </c>
      <c r="D67" s="101">
        <v>0.1</v>
      </c>
      <c r="E67" s="101">
        <v>0.088</v>
      </c>
      <c r="F67" s="109"/>
    </row>
    <row r="68" ht="15.15" spans="1:6">
      <c r="A68" s="96" t="s">
        <v>259</v>
      </c>
      <c r="B68" s="100" t="s">
        <v>2482</v>
      </c>
      <c r="C68" s="101">
        <v>0.1</v>
      </c>
      <c r="D68" s="101">
        <v>0.088</v>
      </c>
      <c r="E68" s="101">
        <v>0.097</v>
      </c>
      <c r="F68" s="109"/>
    </row>
    <row r="69" ht="15.15" spans="1:6">
      <c r="A69" s="96" t="s">
        <v>259</v>
      </c>
      <c r="B69" s="100" t="s">
        <v>2490</v>
      </c>
      <c r="C69" s="101">
        <v>0.064</v>
      </c>
      <c r="D69" s="101">
        <v>0.1</v>
      </c>
      <c r="E69" s="101">
        <v>0.1</v>
      </c>
      <c r="F69" s="109"/>
    </row>
    <row r="70" ht="15.15" spans="1:6">
      <c r="A70" s="96" t="s">
        <v>259</v>
      </c>
      <c r="B70" s="100" t="s">
        <v>2498</v>
      </c>
      <c r="C70" s="101">
        <v>0.091</v>
      </c>
      <c r="D70" s="110"/>
      <c r="E70" s="110"/>
      <c r="F70" s="109"/>
    </row>
    <row r="71" ht="15.15" spans="1:6">
      <c r="A71" s="96" t="s">
        <v>259</v>
      </c>
      <c r="B71" s="100" t="s">
        <v>2505</v>
      </c>
      <c r="C71" s="101">
        <v>0.1</v>
      </c>
      <c r="D71" s="110"/>
      <c r="E71" s="110"/>
      <c r="F71" s="109"/>
    </row>
    <row r="72" ht="24.75" spans="1:6">
      <c r="A72" s="96" t="s">
        <v>259</v>
      </c>
      <c r="B72" s="100" t="s">
        <v>2512</v>
      </c>
      <c r="C72" s="110"/>
      <c r="D72" s="110"/>
      <c r="E72" s="110"/>
      <c r="F72" s="102">
        <v>0.05</v>
      </c>
    </row>
    <row r="73" ht="24.75" spans="1:6">
      <c r="A73" s="96" t="s">
        <v>259</v>
      </c>
      <c r="B73" s="100" t="s">
        <v>2519</v>
      </c>
      <c r="C73" s="110"/>
      <c r="D73" s="110"/>
      <c r="E73" s="110"/>
      <c r="F73" s="102">
        <v>0.05</v>
      </c>
    </row>
    <row r="74" ht="24.75" spans="1:6">
      <c r="A74" s="96" t="s">
        <v>259</v>
      </c>
      <c r="B74" s="100" t="s">
        <v>2526</v>
      </c>
      <c r="C74" s="110"/>
      <c r="D74" s="110"/>
      <c r="E74" s="110"/>
      <c r="F74" s="102">
        <v>0.05</v>
      </c>
    </row>
    <row r="75" ht="24.75" spans="1:6">
      <c r="A75" s="104" t="s">
        <v>259</v>
      </c>
      <c r="B75" s="111" t="s">
        <v>2533</v>
      </c>
      <c r="C75" s="107"/>
      <c r="D75" s="107"/>
      <c r="E75" s="107"/>
      <c r="F75" s="112">
        <v>0.05</v>
      </c>
    </row>
    <row r="76" ht="15.15" spans="1:6">
      <c r="A76" s="96" t="s">
        <v>267</v>
      </c>
      <c r="B76" s="97" t="s">
        <v>2280</v>
      </c>
      <c r="C76" s="98">
        <v>0.1</v>
      </c>
      <c r="D76" s="98">
        <v>0.1</v>
      </c>
      <c r="E76" s="98">
        <v>0.1</v>
      </c>
      <c r="F76" s="99">
        <v>0.1</v>
      </c>
    </row>
    <row r="77" ht="15.15" spans="1:6">
      <c r="A77" s="96" t="s">
        <v>267</v>
      </c>
      <c r="B77" s="100" t="s">
        <v>2293</v>
      </c>
      <c r="C77" s="101">
        <v>0.088</v>
      </c>
      <c r="D77" s="101">
        <v>0.087</v>
      </c>
      <c r="E77" s="101">
        <v>0.079</v>
      </c>
      <c r="F77" s="102">
        <v>0.1</v>
      </c>
    </row>
    <row r="78" ht="15.15" spans="1:6">
      <c r="A78" s="96" t="s">
        <v>267</v>
      </c>
      <c r="B78" s="100" t="s">
        <v>2307</v>
      </c>
      <c r="C78" s="101">
        <v>0.087</v>
      </c>
      <c r="D78" s="101">
        <v>0.084</v>
      </c>
      <c r="E78" s="101">
        <v>0.096</v>
      </c>
      <c r="F78" s="102">
        <v>0.1</v>
      </c>
    </row>
    <row r="79" ht="15.15" spans="1:6">
      <c r="A79" s="96" t="s">
        <v>267</v>
      </c>
      <c r="B79" s="100" t="s">
        <v>2319</v>
      </c>
      <c r="C79" s="101">
        <v>0.098</v>
      </c>
      <c r="D79" s="101">
        <v>0.098</v>
      </c>
      <c r="E79" s="101">
        <v>0.091</v>
      </c>
      <c r="F79" s="102">
        <v>0.1</v>
      </c>
    </row>
    <row r="80" ht="15.15" spans="1:6">
      <c r="A80" s="96" t="s">
        <v>267</v>
      </c>
      <c r="B80" s="100" t="s">
        <v>2331</v>
      </c>
      <c r="C80" s="101">
        <v>0.096</v>
      </c>
      <c r="D80" s="101">
        <v>0.096</v>
      </c>
      <c r="E80" s="101">
        <v>0.1</v>
      </c>
      <c r="F80" s="102">
        <v>0.1</v>
      </c>
    </row>
    <row r="81" ht="15.15" spans="1:6">
      <c r="A81" s="96" t="s">
        <v>267</v>
      </c>
      <c r="B81" s="100" t="s">
        <v>2342</v>
      </c>
      <c r="C81" s="101">
        <v>0.099</v>
      </c>
      <c r="D81" s="101">
        <v>0.099</v>
      </c>
      <c r="E81" s="101">
        <v>0.098</v>
      </c>
      <c r="F81" s="102">
        <v>0.1</v>
      </c>
    </row>
    <row r="82" ht="15.15" spans="1:6">
      <c r="A82" s="96" t="s">
        <v>267</v>
      </c>
      <c r="B82" s="100" t="s">
        <v>2353</v>
      </c>
      <c r="C82" s="101">
        <v>0.099</v>
      </c>
      <c r="D82" s="101">
        <v>0.099</v>
      </c>
      <c r="E82" s="101">
        <v>0.097</v>
      </c>
      <c r="F82" s="102">
        <v>0.1</v>
      </c>
    </row>
    <row r="83" ht="15.15" spans="1:6">
      <c r="A83" s="96" t="s">
        <v>267</v>
      </c>
      <c r="B83" s="100" t="s">
        <v>2364</v>
      </c>
      <c r="C83" s="101">
        <v>0.098</v>
      </c>
      <c r="D83" s="101">
        <v>0.098</v>
      </c>
      <c r="E83" s="101">
        <v>0.098</v>
      </c>
      <c r="F83" s="102">
        <v>0.1</v>
      </c>
    </row>
    <row r="84" ht="15.15" spans="1:6">
      <c r="A84" s="96" t="s">
        <v>267</v>
      </c>
      <c r="B84" s="100" t="s">
        <v>2374</v>
      </c>
      <c r="C84" s="101">
        <v>0.099</v>
      </c>
      <c r="D84" s="101">
        <v>0.099</v>
      </c>
      <c r="E84" s="101">
        <v>0.099</v>
      </c>
      <c r="F84" s="102">
        <v>0.1</v>
      </c>
    </row>
    <row r="85" ht="15.15" spans="1:6">
      <c r="A85" s="96" t="s">
        <v>267</v>
      </c>
      <c r="B85" s="100" t="s">
        <v>2384</v>
      </c>
      <c r="C85" s="101">
        <v>0.099</v>
      </c>
      <c r="D85" s="101">
        <v>0.099</v>
      </c>
      <c r="E85" s="101">
        <v>0.099</v>
      </c>
      <c r="F85" s="102">
        <v>0.1</v>
      </c>
    </row>
    <row r="86" ht="15.15" spans="1:6">
      <c r="A86" s="96" t="s">
        <v>267</v>
      </c>
      <c r="B86" s="100" t="s">
        <v>2394</v>
      </c>
      <c r="C86" s="101">
        <v>0.1</v>
      </c>
      <c r="D86" s="101">
        <v>0.1</v>
      </c>
      <c r="E86" s="101">
        <v>0.077</v>
      </c>
      <c r="F86" s="102">
        <v>0.1</v>
      </c>
    </row>
    <row r="87" ht="15.15" spans="1:6">
      <c r="A87" s="96" t="s">
        <v>267</v>
      </c>
      <c r="B87" s="100" t="s">
        <v>2404</v>
      </c>
      <c r="C87" s="101">
        <v>0.1</v>
      </c>
      <c r="D87" s="101">
        <v>0.1</v>
      </c>
      <c r="E87" s="101">
        <v>0.098</v>
      </c>
      <c r="F87" s="109"/>
    </row>
    <row r="88" ht="15.15" spans="1:6">
      <c r="A88" s="96" t="s">
        <v>267</v>
      </c>
      <c r="B88" s="100" t="s">
        <v>2414</v>
      </c>
      <c r="C88" s="101">
        <v>0.092</v>
      </c>
      <c r="D88" s="101">
        <v>0.085</v>
      </c>
      <c r="E88" s="101">
        <v>0.096</v>
      </c>
      <c r="F88" s="109"/>
    </row>
    <row r="89" ht="15.15" spans="1:6">
      <c r="A89" s="96" t="s">
        <v>267</v>
      </c>
      <c r="B89" s="100" t="s">
        <v>2424</v>
      </c>
      <c r="C89" s="101">
        <v>0.1</v>
      </c>
      <c r="D89" s="101">
        <v>0.1</v>
      </c>
      <c r="E89" s="101">
        <v>0.097</v>
      </c>
      <c r="F89" s="109"/>
    </row>
    <row r="90" ht="15.15" spans="1:6">
      <c r="A90" s="96" t="s">
        <v>267</v>
      </c>
      <c r="B90" s="100" t="s">
        <v>2434</v>
      </c>
      <c r="C90" s="101">
        <v>0.098</v>
      </c>
      <c r="D90" s="101">
        <v>0.098</v>
      </c>
      <c r="E90" s="101">
        <v>0.088</v>
      </c>
      <c r="F90" s="109"/>
    </row>
    <row r="91" ht="15.15" spans="1:6">
      <c r="A91" s="96" t="s">
        <v>267</v>
      </c>
      <c r="B91" s="100" t="s">
        <v>2444</v>
      </c>
      <c r="C91" s="101">
        <v>0.099</v>
      </c>
      <c r="D91" s="101">
        <v>0.099</v>
      </c>
      <c r="E91" s="101">
        <v>0.091</v>
      </c>
      <c r="F91" s="109"/>
    </row>
    <row r="92" ht="15.15" spans="1:6">
      <c r="A92" s="96" t="s">
        <v>267</v>
      </c>
      <c r="B92" s="100" t="s">
        <v>2454</v>
      </c>
      <c r="C92" s="101">
        <v>0.096</v>
      </c>
      <c r="D92" s="101">
        <v>0.096</v>
      </c>
      <c r="E92" s="101">
        <v>0.073</v>
      </c>
      <c r="F92" s="109"/>
    </row>
    <row r="93" ht="15.15" spans="1:6">
      <c r="A93" s="96" t="s">
        <v>267</v>
      </c>
      <c r="B93" s="100" t="s">
        <v>2464</v>
      </c>
      <c r="C93" s="101">
        <v>0.096</v>
      </c>
      <c r="D93" s="101">
        <v>0.096</v>
      </c>
      <c r="E93" s="101">
        <v>0.099</v>
      </c>
      <c r="F93" s="109"/>
    </row>
    <row r="94" ht="15.15" spans="1:6">
      <c r="A94" s="96" t="s">
        <v>267</v>
      </c>
      <c r="B94" s="100" t="s">
        <v>2474</v>
      </c>
      <c r="C94" s="101">
        <v>0.076</v>
      </c>
      <c r="D94" s="101">
        <v>0.074</v>
      </c>
      <c r="E94" s="101">
        <v>0.097</v>
      </c>
      <c r="F94" s="109"/>
    </row>
    <row r="95" ht="15.15" spans="1:6">
      <c r="A95" s="96" t="s">
        <v>267</v>
      </c>
      <c r="B95" s="100" t="s">
        <v>2483</v>
      </c>
      <c r="C95" s="101">
        <v>0.099</v>
      </c>
      <c r="D95" s="101">
        <v>0.094</v>
      </c>
      <c r="E95" s="101">
        <v>0.096</v>
      </c>
      <c r="F95" s="109"/>
    </row>
    <row r="96" ht="15.15" spans="1:6">
      <c r="A96" s="96" t="s">
        <v>267</v>
      </c>
      <c r="B96" s="100" t="s">
        <v>2491</v>
      </c>
      <c r="C96" s="101">
        <v>0.099</v>
      </c>
      <c r="D96" s="101">
        <v>0.099</v>
      </c>
      <c r="E96" s="101">
        <v>0.099</v>
      </c>
      <c r="F96" s="109"/>
    </row>
    <row r="97" ht="15.15" spans="1:6">
      <c r="A97" s="96" t="s">
        <v>267</v>
      </c>
      <c r="B97" s="100" t="s">
        <v>2499</v>
      </c>
      <c r="C97" s="101">
        <v>0.098</v>
      </c>
      <c r="D97" s="101">
        <v>0.098</v>
      </c>
      <c r="E97" s="101">
        <v>0.097</v>
      </c>
      <c r="F97" s="109"/>
    </row>
    <row r="98" ht="15.15" spans="1:6">
      <c r="A98" s="96" t="s">
        <v>267</v>
      </c>
      <c r="B98" s="100" t="s">
        <v>2506</v>
      </c>
      <c r="C98" s="101">
        <v>0.1</v>
      </c>
      <c r="D98" s="101">
        <v>0.1</v>
      </c>
      <c r="E98" s="101">
        <v>0.097</v>
      </c>
      <c r="F98" s="109"/>
    </row>
    <row r="99" ht="15.15" spans="1:6">
      <c r="A99" s="96" t="s">
        <v>267</v>
      </c>
      <c r="B99" s="100" t="s">
        <v>2513</v>
      </c>
      <c r="C99" s="101">
        <v>0.1</v>
      </c>
      <c r="D99" s="101">
        <v>0.1</v>
      </c>
      <c r="E99" s="110"/>
      <c r="F99" s="109"/>
    </row>
    <row r="100" ht="15.15" spans="1:6">
      <c r="A100" s="96" t="s">
        <v>267</v>
      </c>
      <c r="B100" s="100" t="s">
        <v>2520</v>
      </c>
      <c r="C100" s="101">
        <v>0.09</v>
      </c>
      <c r="D100" s="101">
        <v>0.089</v>
      </c>
      <c r="E100" s="110"/>
      <c r="F100" s="109"/>
    </row>
    <row r="101" ht="15.15" spans="1:6">
      <c r="A101" s="96" t="s">
        <v>267</v>
      </c>
      <c r="B101" s="100" t="s">
        <v>2527</v>
      </c>
      <c r="C101" s="101">
        <v>0.098</v>
      </c>
      <c r="D101" s="101">
        <v>0.097</v>
      </c>
      <c r="E101" s="110"/>
      <c r="F101" s="109"/>
    </row>
    <row r="102" ht="24.75" spans="1:6">
      <c r="A102" s="96" t="s">
        <v>267</v>
      </c>
      <c r="B102" s="100" t="s">
        <v>2534</v>
      </c>
      <c r="C102" s="110"/>
      <c r="D102" s="110"/>
      <c r="E102" s="110"/>
      <c r="F102" s="102">
        <v>0.05</v>
      </c>
    </row>
    <row r="103" ht="24.75" spans="1:6">
      <c r="A103" s="96" t="s">
        <v>267</v>
      </c>
      <c r="B103" s="100" t="s">
        <v>2539</v>
      </c>
      <c r="C103" s="110"/>
      <c r="D103" s="110"/>
      <c r="E103" s="110"/>
      <c r="F103" s="102">
        <v>0.05</v>
      </c>
    </row>
    <row r="104" ht="15.15" spans="1:6">
      <c r="A104" s="96" t="s">
        <v>267</v>
      </c>
      <c r="B104" s="100" t="s">
        <v>2544</v>
      </c>
      <c r="C104" s="110"/>
      <c r="D104" s="110"/>
      <c r="E104" s="110"/>
      <c r="F104" s="102">
        <v>0.05</v>
      </c>
    </row>
    <row r="105" ht="24.75" spans="1:6">
      <c r="A105" s="96" t="s">
        <v>267</v>
      </c>
      <c r="B105" s="100" t="s">
        <v>2549</v>
      </c>
      <c r="C105" s="110"/>
      <c r="D105" s="110"/>
      <c r="E105" s="110"/>
      <c r="F105" s="102">
        <v>0.05</v>
      </c>
    </row>
    <row r="106" ht="24.75" spans="1:6">
      <c r="A106" s="96" t="s">
        <v>267</v>
      </c>
      <c r="B106" s="100" t="s">
        <v>2554</v>
      </c>
      <c r="C106" s="110"/>
      <c r="D106" s="110"/>
      <c r="E106" s="110"/>
      <c r="F106" s="102">
        <v>0.05</v>
      </c>
    </row>
    <row r="107" ht="24.75" spans="1:6">
      <c r="A107" s="96" t="s">
        <v>267</v>
      </c>
      <c r="B107" s="100" t="s">
        <v>2559</v>
      </c>
      <c r="C107" s="110"/>
      <c r="D107" s="110"/>
      <c r="E107" s="110"/>
      <c r="F107" s="102">
        <v>0.05</v>
      </c>
    </row>
    <row r="108" ht="24.75" spans="1:6">
      <c r="A108" s="96" t="s">
        <v>267</v>
      </c>
      <c r="B108" s="100" t="s">
        <v>2564</v>
      </c>
      <c r="C108" s="110"/>
      <c r="D108" s="110"/>
      <c r="E108" s="110"/>
      <c r="F108" s="102">
        <v>0.05</v>
      </c>
    </row>
    <row r="109" ht="24.75" spans="1:6">
      <c r="A109" s="104" t="s">
        <v>267</v>
      </c>
      <c r="B109" s="111" t="s">
        <v>2569</v>
      </c>
      <c r="C109" s="107"/>
      <c r="D109" s="107"/>
      <c r="E109" s="107"/>
      <c r="F109" s="112">
        <v>0.05</v>
      </c>
    </row>
    <row r="110" ht="15.15" spans="1:6">
      <c r="A110" s="96" t="s">
        <v>273</v>
      </c>
      <c r="B110" s="97" t="s">
        <v>2281</v>
      </c>
      <c r="C110" s="98">
        <v>0.129</v>
      </c>
      <c r="D110" s="98">
        <v>0.129</v>
      </c>
      <c r="E110" s="98">
        <v>0.126</v>
      </c>
      <c r="F110" s="99">
        <v>0.13</v>
      </c>
    </row>
    <row r="111" ht="15.15" spans="1:6">
      <c r="A111" s="96" t="s">
        <v>273</v>
      </c>
      <c r="B111" s="100" t="s">
        <v>2294</v>
      </c>
      <c r="C111" s="101">
        <v>0.11</v>
      </c>
      <c r="D111" s="101">
        <v>0.11</v>
      </c>
      <c r="E111" s="101">
        <v>0.099</v>
      </c>
      <c r="F111" s="102">
        <v>0.128</v>
      </c>
    </row>
    <row r="112" ht="15.15" spans="1:6">
      <c r="A112" s="96" t="s">
        <v>273</v>
      </c>
      <c r="B112" s="100" t="s">
        <v>2308</v>
      </c>
      <c r="C112" s="101">
        <v>0.125</v>
      </c>
      <c r="D112" s="101">
        <v>0.125</v>
      </c>
      <c r="E112" s="101">
        <v>0.12</v>
      </c>
      <c r="F112" s="102">
        <v>0.125</v>
      </c>
    </row>
    <row r="113" ht="15.15" spans="1:6">
      <c r="A113" s="96" t="s">
        <v>273</v>
      </c>
      <c r="B113" s="100" t="s">
        <v>2320</v>
      </c>
      <c r="C113" s="101">
        <v>0.13</v>
      </c>
      <c r="D113" s="101">
        <v>0.13</v>
      </c>
      <c r="E113" s="101">
        <v>0.13</v>
      </c>
      <c r="F113" s="102">
        <v>0.13</v>
      </c>
    </row>
    <row r="114" ht="15.15" spans="1:6">
      <c r="A114" s="96" t="s">
        <v>273</v>
      </c>
      <c r="B114" s="100" t="s">
        <v>2332</v>
      </c>
      <c r="C114" s="101">
        <v>0.123</v>
      </c>
      <c r="D114" s="101">
        <v>0.123</v>
      </c>
      <c r="E114" s="101">
        <v>0.12</v>
      </c>
      <c r="F114" s="102">
        <v>0.13</v>
      </c>
    </row>
    <row r="115" ht="15.15" spans="1:6">
      <c r="A115" s="96" t="s">
        <v>273</v>
      </c>
      <c r="B115" s="100" t="s">
        <v>2343</v>
      </c>
      <c r="C115" s="101">
        <v>0.125</v>
      </c>
      <c r="D115" s="101">
        <v>0.125</v>
      </c>
      <c r="E115" s="101">
        <v>0.117</v>
      </c>
      <c r="F115" s="102">
        <v>0.13</v>
      </c>
    </row>
    <row r="116" ht="15.15" spans="1:6">
      <c r="A116" s="96" t="s">
        <v>273</v>
      </c>
      <c r="B116" s="100" t="s">
        <v>2354</v>
      </c>
      <c r="C116" s="101">
        <v>0.117</v>
      </c>
      <c r="D116" s="101">
        <v>0.117</v>
      </c>
      <c r="E116" s="101">
        <v>0.088</v>
      </c>
      <c r="F116" s="102">
        <v>0.13</v>
      </c>
    </row>
    <row r="117" ht="15.15" spans="1:6">
      <c r="A117" s="96" t="s">
        <v>273</v>
      </c>
      <c r="B117" s="100" t="s">
        <v>2365</v>
      </c>
      <c r="C117" s="101">
        <v>0.13</v>
      </c>
      <c r="D117" s="101">
        <v>0.13</v>
      </c>
      <c r="E117" s="101">
        <v>0.129</v>
      </c>
      <c r="F117" s="102">
        <v>0.13</v>
      </c>
    </row>
    <row r="118" ht="15.15" spans="1:6">
      <c r="A118" s="96" t="s">
        <v>273</v>
      </c>
      <c r="B118" s="100" t="s">
        <v>2375</v>
      </c>
      <c r="C118" s="101">
        <v>0.123</v>
      </c>
      <c r="D118" s="101">
        <v>0.123</v>
      </c>
      <c r="E118" s="101">
        <v>0.116</v>
      </c>
      <c r="F118" s="102">
        <v>0.13</v>
      </c>
    </row>
    <row r="119" ht="15.15" spans="1:6">
      <c r="A119" s="96" t="s">
        <v>273</v>
      </c>
      <c r="B119" s="100" t="s">
        <v>2385</v>
      </c>
      <c r="C119" s="101">
        <v>0.127</v>
      </c>
      <c r="D119" s="101">
        <v>0.127</v>
      </c>
      <c r="E119" s="101">
        <v>0.124</v>
      </c>
      <c r="F119" s="102">
        <v>0.13</v>
      </c>
    </row>
    <row r="120" ht="15.15" spans="1:6">
      <c r="A120" s="96" t="s">
        <v>273</v>
      </c>
      <c r="B120" s="100" t="s">
        <v>2395</v>
      </c>
      <c r="C120" s="101">
        <v>0.125</v>
      </c>
      <c r="D120" s="101">
        <v>0.125</v>
      </c>
      <c r="E120" s="101">
        <v>0.122</v>
      </c>
      <c r="F120" s="102">
        <v>0.13</v>
      </c>
    </row>
    <row r="121" ht="15.15" spans="1:6">
      <c r="A121" s="96" t="s">
        <v>273</v>
      </c>
      <c r="B121" s="100" t="s">
        <v>2405</v>
      </c>
      <c r="C121" s="101">
        <v>0.13</v>
      </c>
      <c r="D121" s="101">
        <v>0.13</v>
      </c>
      <c r="E121" s="101">
        <v>0.13</v>
      </c>
      <c r="F121" s="102">
        <v>0.13</v>
      </c>
    </row>
    <row r="122" ht="15.15" spans="1:6">
      <c r="A122" s="96" t="s">
        <v>273</v>
      </c>
      <c r="B122" s="100" t="s">
        <v>2415</v>
      </c>
      <c r="C122" s="101">
        <v>0.13</v>
      </c>
      <c r="D122" s="101">
        <v>0.13</v>
      </c>
      <c r="E122" s="101">
        <v>0.125</v>
      </c>
      <c r="F122" s="102">
        <v>0.13</v>
      </c>
    </row>
    <row r="123" ht="15.15" spans="1:6">
      <c r="A123" s="96" t="s">
        <v>273</v>
      </c>
      <c r="B123" s="100" t="s">
        <v>2425</v>
      </c>
      <c r="C123" s="101">
        <v>0.129</v>
      </c>
      <c r="D123" s="101">
        <v>0.129</v>
      </c>
      <c r="E123" s="101">
        <v>0.123</v>
      </c>
      <c r="F123" s="102">
        <v>0.13</v>
      </c>
    </row>
    <row r="124" ht="15.15" spans="1:6">
      <c r="A124" s="96" t="s">
        <v>273</v>
      </c>
      <c r="B124" s="100" t="s">
        <v>2435</v>
      </c>
      <c r="C124" s="101">
        <v>0.102</v>
      </c>
      <c r="D124" s="101">
        <v>0.101</v>
      </c>
      <c r="E124" s="101">
        <v>0.08</v>
      </c>
      <c r="F124" s="109"/>
    </row>
    <row r="125" ht="15.15" spans="1:6">
      <c r="A125" s="96" t="s">
        <v>273</v>
      </c>
      <c r="B125" s="100" t="s">
        <v>2445</v>
      </c>
      <c r="C125" s="101">
        <v>0.13</v>
      </c>
      <c r="D125" s="101">
        <v>0.13</v>
      </c>
      <c r="E125" s="101">
        <v>0.129</v>
      </c>
      <c r="F125" s="109"/>
    </row>
    <row r="126" ht="15.15" spans="1:6">
      <c r="A126" s="96" t="s">
        <v>273</v>
      </c>
      <c r="B126" s="100" t="s">
        <v>2455</v>
      </c>
      <c r="C126" s="101">
        <v>0.13</v>
      </c>
      <c r="D126" s="101">
        <v>0.13</v>
      </c>
      <c r="E126" s="101">
        <v>0.126</v>
      </c>
      <c r="F126" s="109"/>
    </row>
    <row r="127" ht="15.15" spans="1:6">
      <c r="A127" s="96" t="s">
        <v>273</v>
      </c>
      <c r="B127" s="100" t="s">
        <v>2465</v>
      </c>
      <c r="C127" s="101">
        <v>0.125</v>
      </c>
      <c r="D127" s="101">
        <v>0.125</v>
      </c>
      <c r="E127" s="101">
        <v>0.121</v>
      </c>
      <c r="F127" s="109"/>
    </row>
    <row r="128" ht="15.15" spans="1:6">
      <c r="A128" s="96" t="s">
        <v>273</v>
      </c>
      <c r="B128" s="100" t="s">
        <v>2475</v>
      </c>
      <c r="C128" s="101">
        <v>0.12</v>
      </c>
      <c r="D128" s="101">
        <v>0.12</v>
      </c>
      <c r="E128" s="101">
        <v>0.105</v>
      </c>
      <c r="F128" s="109"/>
    </row>
    <row r="129" ht="15.15" spans="1:6">
      <c r="A129" s="96" t="s">
        <v>273</v>
      </c>
      <c r="B129" s="100" t="s">
        <v>2484</v>
      </c>
      <c r="C129" s="101">
        <v>0.13</v>
      </c>
      <c r="D129" s="101">
        <v>0.13</v>
      </c>
      <c r="E129" s="101">
        <v>0.126</v>
      </c>
      <c r="F129" s="109"/>
    </row>
    <row r="130" ht="15.15" spans="1:6">
      <c r="A130" s="96" t="s">
        <v>273</v>
      </c>
      <c r="B130" s="100" t="s">
        <v>2492</v>
      </c>
      <c r="C130" s="101">
        <v>0.125</v>
      </c>
      <c r="D130" s="101">
        <v>0.125</v>
      </c>
      <c r="E130" s="101">
        <v>0.122</v>
      </c>
      <c r="F130" s="109"/>
    </row>
    <row r="131" ht="15.15" spans="1:6">
      <c r="A131" s="96" t="s">
        <v>273</v>
      </c>
      <c r="B131" s="100" t="s">
        <v>2500</v>
      </c>
      <c r="C131" s="101">
        <v>0.127</v>
      </c>
      <c r="D131" s="101">
        <v>0.126</v>
      </c>
      <c r="E131" s="101">
        <v>0.123</v>
      </c>
      <c r="F131" s="109"/>
    </row>
    <row r="132" ht="15.15" spans="1:6">
      <c r="A132" s="96" t="s">
        <v>273</v>
      </c>
      <c r="B132" s="100" t="s">
        <v>2507</v>
      </c>
      <c r="C132" s="101">
        <v>0.091</v>
      </c>
      <c r="D132" s="101">
        <v>0.121</v>
      </c>
      <c r="E132" s="101">
        <v>0.099</v>
      </c>
      <c r="F132" s="109"/>
    </row>
    <row r="133" ht="15.15" spans="1:6">
      <c r="A133" s="96" t="s">
        <v>273</v>
      </c>
      <c r="B133" s="100" t="s">
        <v>2514</v>
      </c>
      <c r="C133" s="101">
        <v>0.13</v>
      </c>
      <c r="D133" s="101">
        <v>0.13</v>
      </c>
      <c r="E133" s="101">
        <v>0.129</v>
      </c>
      <c r="F133" s="109"/>
    </row>
    <row r="134" ht="15.15" spans="1:6">
      <c r="A134" s="96" t="s">
        <v>273</v>
      </c>
      <c r="B134" s="100" t="s">
        <v>2521</v>
      </c>
      <c r="C134" s="101">
        <v>0.068</v>
      </c>
      <c r="D134" s="101">
        <v>0.065</v>
      </c>
      <c r="E134" s="101">
        <v>0.065</v>
      </c>
      <c r="F134" s="102">
        <v>0.13</v>
      </c>
    </row>
    <row r="135" ht="15.15" spans="1:6">
      <c r="A135" s="96" t="s">
        <v>273</v>
      </c>
      <c r="B135" s="100" t="s">
        <v>2528</v>
      </c>
      <c r="C135" s="101">
        <v>0.123</v>
      </c>
      <c r="D135" s="101">
        <v>0.123</v>
      </c>
      <c r="E135" s="101">
        <v>0.11</v>
      </c>
      <c r="F135" s="109"/>
    </row>
    <row r="136" ht="15.15" spans="1:6">
      <c r="A136" s="96" t="s">
        <v>273</v>
      </c>
      <c r="B136" s="100" t="s">
        <v>2535</v>
      </c>
      <c r="C136" s="101">
        <v>0.13</v>
      </c>
      <c r="D136" s="101">
        <v>0.13</v>
      </c>
      <c r="E136" s="101">
        <v>0.125</v>
      </c>
      <c r="F136" s="109"/>
    </row>
    <row r="137" ht="15.15" spans="1:6">
      <c r="A137" s="96" t="s">
        <v>273</v>
      </c>
      <c r="B137" s="100" t="s">
        <v>2540</v>
      </c>
      <c r="C137" s="101">
        <v>0.121</v>
      </c>
      <c r="D137" s="101">
        <v>0.122</v>
      </c>
      <c r="E137" s="101">
        <v>0.115</v>
      </c>
      <c r="F137" s="109"/>
    </row>
    <row r="138" ht="15.15" spans="1:6">
      <c r="A138" s="96" t="s">
        <v>273</v>
      </c>
      <c r="B138" s="100" t="s">
        <v>2545</v>
      </c>
      <c r="C138" s="101">
        <v>0.105</v>
      </c>
      <c r="D138" s="101">
        <v>0.125</v>
      </c>
      <c r="E138" s="101">
        <v>0.112</v>
      </c>
      <c r="F138" s="109"/>
    </row>
    <row r="139" ht="15.15" spans="1:6">
      <c r="A139" s="96" t="s">
        <v>273</v>
      </c>
      <c r="B139" s="100" t="s">
        <v>2550</v>
      </c>
      <c r="C139" s="101">
        <v>0.127</v>
      </c>
      <c r="D139" s="101">
        <v>0.127</v>
      </c>
      <c r="E139" s="101">
        <v>0.122</v>
      </c>
      <c r="F139" s="102">
        <v>0.13</v>
      </c>
    </row>
    <row r="140" ht="15.15" spans="1:6">
      <c r="A140" s="96" t="s">
        <v>273</v>
      </c>
      <c r="B140" s="100" t="s">
        <v>2555</v>
      </c>
      <c r="C140" s="101">
        <v>0.125</v>
      </c>
      <c r="D140" s="101">
        <v>0.125</v>
      </c>
      <c r="E140" s="101">
        <v>0.119</v>
      </c>
      <c r="F140" s="102">
        <v>0.13</v>
      </c>
    </row>
    <row r="141" ht="15.15" spans="1:6">
      <c r="A141" s="96" t="s">
        <v>273</v>
      </c>
      <c r="B141" s="100" t="s">
        <v>2560</v>
      </c>
      <c r="C141" s="101">
        <v>0.125</v>
      </c>
      <c r="D141" s="101">
        <v>0.125</v>
      </c>
      <c r="E141" s="101">
        <v>0.117</v>
      </c>
      <c r="F141" s="109"/>
    </row>
    <row r="142" ht="15.15" spans="1:6">
      <c r="A142" s="96" t="s">
        <v>273</v>
      </c>
      <c r="B142" s="100" t="s">
        <v>2565</v>
      </c>
      <c r="C142" s="101">
        <v>0.125</v>
      </c>
      <c r="D142" s="101">
        <v>0.125</v>
      </c>
      <c r="E142" s="101">
        <v>0.115</v>
      </c>
      <c r="F142" s="109"/>
    </row>
    <row r="143" ht="15.15" spans="1:6">
      <c r="A143" s="96" t="s">
        <v>273</v>
      </c>
      <c r="B143" s="100" t="s">
        <v>2570</v>
      </c>
      <c r="C143" s="101">
        <v>0.121</v>
      </c>
      <c r="D143" s="101">
        <v>0.121</v>
      </c>
      <c r="E143" s="101">
        <v>0.108</v>
      </c>
      <c r="F143" s="109"/>
    </row>
    <row r="144" ht="15.15" spans="1:6">
      <c r="A144" s="96" t="s">
        <v>273</v>
      </c>
      <c r="B144" s="113" t="s">
        <v>2574</v>
      </c>
      <c r="C144" s="114">
        <v>0.126</v>
      </c>
      <c r="D144" s="114">
        <v>0.126</v>
      </c>
      <c r="E144" s="114">
        <v>0.121</v>
      </c>
      <c r="F144" s="109"/>
    </row>
    <row r="145" ht="15.15" spans="1:6">
      <c r="A145" s="104" t="s">
        <v>273</v>
      </c>
      <c r="B145" s="115" t="s">
        <v>2578</v>
      </c>
      <c r="C145" s="116"/>
      <c r="D145" s="116"/>
      <c r="E145" s="116"/>
      <c r="F145" s="117">
        <v>0.05</v>
      </c>
    </row>
    <row r="146" ht="24.75" spans="1:6">
      <c r="A146" s="118" t="s">
        <v>273</v>
      </c>
      <c r="B146" s="103" t="s">
        <v>2582</v>
      </c>
      <c r="C146" s="110"/>
      <c r="D146" s="110"/>
      <c r="E146" s="110"/>
      <c r="F146" s="119">
        <v>0.05</v>
      </c>
    </row>
    <row r="147" ht="24.75" spans="1:6">
      <c r="A147" s="96" t="s">
        <v>273</v>
      </c>
      <c r="B147" s="100" t="s">
        <v>2586</v>
      </c>
      <c r="C147" s="110"/>
      <c r="D147" s="110"/>
      <c r="E147" s="110"/>
      <c r="F147" s="102">
        <v>0.05</v>
      </c>
    </row>
    <row r="148" ht="24.75" spans="1:6">
      <c r="A148" s="96" t="s">
        <v>273</v>
      </c>
      <c r="B148" s="100" t="s">
        <v>2590</v>
      </c>
      <c r="C148" s="110"/>
      <c r="D148" s="110"/>
      <c r="E148" s="110"/>
      <c r="F148" s="102">
        <v>0.05</v>
      </c>
    </row>
    <row r="149" ht="24.75" spans="1:6">
      <c r="A149" s="96" t="s">
        <v>273</v>
      </c>
      <c r="B149" s="100" t="s">
        <v>2594</v>
      </c>
      <c r="C149" s="110"/>
      <c r="D149" s="110"/>
      <c r="E149" s="110"/>
      <c r="F149" s="102">
        <v>0.05</v>
      </c>
    </row>
    <row r="150" ht="24.75" spans="1:6">
      <c r="A150" s="96" t="s">
        <v>273</v>
      </c>
      <c r="B150" s="100" t="s">
        <v>2597</v>
      </c>
      <c r="C150" s="110"/>
      <c r="D150" s="110"/>
      <c r="E150" s="110"/>
      <c r="F150" s="102">
        <v>0.05</v>
      </c>
    </row>
    <row r="151" ht="24.75" spans="1:6">
      <c r="A151" s="96" t="s">
        <v>273</v>
      </c>
      <c r="B151" s="100" t="s">
        <v>2600</v>
      </c>
      <c r="C151" s="110"/>
      <c r="D151" s="110"/>
      <c r="E151" s="110"/>
      <c r="F151" s="102">
        <v>0.05</v>
      </c>
    </row>
    <row r="152" ht="24.75" spans="1:6">
      <c r="A152" s="96" t="s">
        <v>273</v>
      </c>
      <c r="B152" s="100" t="s">
        <v>2603</v>
      </c>
      <c r="C152" s="110"/>
      <c r="D152" s="110"/>
      <c r="E152" s="110"/>
      <c r="F152" s="102">
        <v>0.05</v>
      </c>
    </row>
    <row r="153" ht="15.15" spans="1:6">
      <c r="A153" s="96" t="s">
        <v>273</v>
      </c>
      <c r="B153" s="100" t="s">
        <v>2606</v>
      </c>
      <c r="C153" s="110"/>
      <c r="D153" s="110"/>
      <c r="E153" s="110"/>
      <c r="F153" s="102">
        <v>0.05</v>
      </c>
    </row>
    <row r="154" ht="15.15" spans="1:6">
      <c r="A154" s="96" t="s">
        <v>273</v>
      </c>
      <c r="B154" s="100" t="s">
        <v>2609</v>
      </c>
      <c r="C154" s="110"/>
      <c r="D154" s="110"/>
      <c r="E154" s="110"/>
      <c r="F154" s="102">
        <v>0.05</v>
      </c>
    </row>
    <row r="155" ht="24.75" spans="1:6">
      <c r="A155" s="96" t="s">
        <v>273</v>
      </c>
      <c r="B155" s="100" t="s">
        <v>2612</v>
      </c>
      <c r="C155" s="110"/>
      <c r="D155" s="110"/>
      <c r="E155" s="110"/>
      <c r="F155" s="102">
        <v>0.05</v>
      </c>
    </row>
    <row r="156" ht="24.75" spans="1:6">
      <c r="A156" s="96" t="s">
        <v>273</v>
      </c>
      <c r="B156" s="100" t="s">
        <v>2614</v>
      </c>
      <c r="C156" s="110"/>
      <c r="D156" s="110"/>
      <c r="E156" s="110"/>
      <c r="F156" s="102">
        <v>0.05</v>
      </c>
    </row>
    <row r="157" ht="24.75" spans="1:6">
      <c r="A157" s="104" t="s">
        <v>273</v>
      </c>
      <c r="B157" s="111" t="s">
        <v>2616</v>
      </c>
      <c r="C157" s="107"/>
      <c r="D157" s="107"/>
      <c r="E157" s="107"/>
      <c r="F157" s="112">
        <v>0.05</v>
      </c>
    </row>
    <row r="158" ht="15.15" spans="1:6">
      <c r="A158" s="96" t="s">
        <v>278</v>
      </c>
      <c r="B158" s="97" t="s">
        <v>2282</v>
      </c>
      <c r="C158" s="98">
        <v>0.13</v>
      </c>
      <c r="D158" s="98">
        <v>0.13</v>
      </c>
      <c r="E158" s="98">
        <v>0.13</v>
      </c>
      <c r="F158" s="99">
        <v>0.13</v>
      </c>
    </row>
    <row r="159" ht="15.15" spans="1:6">
      <c r="A159" s="96" t="s">
        <v>278</v>
      </c>
      <c r="B159" s="100" t="s">
        <v>2295</v>
      </c>
      <c r="C159" s="101">
        <v>0.13</v>
      </c>
      <c r="D159" s="101">
        <v>0.13</v>
      </c>
      <c r="E159" s="101">
        <v>0.13</v>
      </c>
      <c r="F159" s="102">
        <v>0.13</v>
      </c>
    </row>
    <row r="160" ht="15.15" spans="1:6">
      <c r="A160" s="96" t="s">
        <v>278</v>
      </c>
      <c r="B160" s="100" t="s">
        <v>2309</v>
      </c>
      <c r="C160" s="101">
        <v>0.13</v>
      </c>
      <c r="D160" s="101">
        <v>0.13</v>
      </c>
      <c r="E160" s="101">
        <v>0.129</v>
      </c>
      <c r="F160" s="102">
        <v>0.13</v>
      </c>
    </row>
    <row r="161" ht="15.15" spans="1:6">
      <c r="A161" s="96" t="s">
        <v>278</v>
      </c>
      <c r="B161" s="100" t="s">
        <v>2321</v>
      </c>
      <c r="C161" s="101">
        <v>0.128</v>
      </c>
      <c r="D161" s="101">
        <v>0.128</v>
      </c>
      <c r="E161" s="101">
        <v>0.125</v>
      </c>
      <c r="F161" s="102">
        <v>0.13</v>
      </c>
    </row>
    <row r="162" ht="15.15" spans="1:6">
      <c r="A162" s="96" t="s">
        <v>278</v>
      </c>
      <c r="B162" s="100" t="s">
        <v>2333</v>
      </c>
      <c r="C162" s="101">
        <v>0.122</v>
      </c>
      <c r="D162" s="101">
        <v>0.122</v>
      </c>
      <c r="E162" s="101">
        <v>0.126</v>
      </c>
      <c r="F162" s="102">
        <v>0.122</v>
      </c>
    </row>
    <row r="163" ht="15.15" spans="1:6">
      <c r="A163" s="96" t="s">
        <v>278</v>
      </c>
      <c r="B163" s="100" t="s">
        <v>2344</v>
      </c>
      <c r="C163" s="101">
        <v>0.13</v>
      </c>
      <c r="D163" s="101">
        <v>0.13</v>
      </c>
      <c r="E163" s="101">
        <v>0.125</v>
      </c>
      <c r="F163" s="102">
        <v>0.13</v>
      </c>
    </row>
    <row r="164" ht="15.15" spans="1:6">
      <c r="A164" s="96" t="s">
        <v>278</v>
      </c>
      <c r="B164" s="100" t="s">
        <v>2355</v>
      </c>
      <c r="C164" s="101">
        <v>0.13</v>
      </c>
      <c r="D164" s="101">
        <v>0.13</v>
      </c>
      <c r="E164" s="101">
        <v>0.13</v>
      </c>
      <c r="F164" s="102">
        <v>0.13</v>
      </c>
    </row>
    <row r="165" ht="15.15" spans="1:6">
      <c r="A165" s="96" t="s">
        <v>278</v>
      </c>
      <c r="B165" s="100" t="s">
        <v>2366</v>
      </c>
      <c r="C165" s="101">
        <v>0.13</v>
      </c>
      <c r="D165" s="101">
        <v>0.13</v>
      </c>
      <c r="E165" s="101">
        <v>0.124</v>
      </c>
      <c r="F165" s="102">
        <v>0.13</v>
      </c>
    </row>
    <row r="166" ht="15.15" spans="1:6">
      <c r="A166" s="96" t="s">
        <v>278</v>
      </c>
      <c r="B166" s="100" t="s">
        <v>2376</v>
      </c>
      <c r="C166" s="101">
        <v>0.13</v>
      </c>
      <c r="D166" s="101">
        <v>0.13</v>
      </c>
      <c r="E166" s="101">
        <v>0.13</v>
      </c>
      <c r="F166" s="102">
        <v>0.13</v>
      </c>
    </row>
    <row r="167" ht="15.15" spans="1:6">
      <c r="A167" s="96" t="s">
        <v>278</v>
      </c>
      <c r="B167" s="100" t="s">
        <v>2386</v>
      </c>
      <c r="C167" s="101">
        <v>0.125</v>
      </c>
      <c r="D167" s="101">
        <v>0.125</v>
      </c>
      <c r="E167" s="101">
        <v>0.121</v>
      </c>
      <c r="F167" s="109"/>
    </row>
    <row r="168" ht="15.15" spans="1:6">
      <c r="A168" s="96" t="s">
        <v>278</v>
      </c>
      <c r="B168" s="100" t="s">
        <v>2396</v>
      </c>
      <c r="C168" s="101">
        <v>0.13</v>
      </c>
      <c r="D168" s="101">
        <v>0.13</v>
      </c>
      <c r="E168" s="101">
        <v>0.126</v>
      </c>
      <c r="F168" s="109"/>
    </row>
    <row r="169" ht="15.15" spans="1:6">
      <c r="A169" s="96" t="s">
        <v>278</v>
      </c>
      <c r="B169" s="100" t="s">
        <v>2406</v>
      </c>
      <c r="C169" s="101">
        <v>0.128</v>
      </c>
      <c r="D169" s="101">
        <v>0.129</v>
      </c>
      <c r="E169" s="101">
        <v>0.13</v>
      </c>
      <c r="F169" s="109"/>
    </row>
    <row r="170" ht="15.15" spans="1:6">
      <c r="A170" s="96" t="s">
        <v>278</v>
      </c>
      <c r="B170" s="100" t="s">
        <v>2416</v>
      </c>
      <c r="C170" s="101">
        <v>0.141</v>
      </c>
      <c r="D170" s="101">
        <v>0.13</v>
      </c>
      <c r="E170" s="101">
        <v>0.125</v>
      </c>
      <c r="F170" s="109"/>
    </row>
    <row r="171" ht="15.15" spans="1:6">
      <c r="A171" s="96" t="s">
        <v>278</v>
      </c>
      <c r="B171" s="100" t="s">
        <v>2426</v>
      </c>
      <c r="C171" s="101">
        <v>0.127</v>
      </c>
      <c r="D171" s="101">
        <v>0.126</v>
      </c>
      <c r="E171" s="101">
        <v>0.126</v>
      </c>
      <c r="F171" s="102">
        <v>0.118</v>
      </c>
    </row>
    <row r="172" ht="15.15" spans="1:6">
      <c r="A172" s="96" t="s">
        <v>278</v>
      </c>
      <c r="B172" s="100" t="s">
        <v>2436</v>
      </c>
      <c r="C172" s="101">
        <v>0.13</v>
      </c>
      <c r="D172" s="101">
        <v>0.13</v>
      </c>
      <c r="E172" s="101">
        <v>0.13</v>
      </c>
      <c r="F172" s="109"/>
    </row>
    <row r="173" ht="15.15" spans="1:6">
      <c r="A173" s="96" t="s">
        <v>278</v>
      </c>
      <c r="B173" s="100" t="s">
        <v>2446</v>
      </c>
      <c r="C173" s="101">
        <v>0.13</v>
      </c>
      <c r="D173" s="101">
        <v>0.13</v>
      </c>
      <c r="E173" s="101">
        <v>0.13</v>
      </c>
      <c r="F173" s="109"/>
    </row>
    <row r="174" ht="15.15" spans="1:6">
      <c r="A174" s="96" t="s">
        <v>278</v>
      </c>
      <c r="B174" s="100" t="s">
        <v>2456</v>
      </c>
      <c r="C174" s="101">
        <v>0.13</v>
      </c>
      <c r="D174" s="101">
        <v>0.13</v>
      </c>
      <c r="E174" s="101">
        <v>0.13</v>
      </c>
      <c r="F174" s="102">
        <v>0.13</v>
      </c>
    </row>
    <row r="175" ht="15.15" spans="1:6">
      <c r="A175" s="96" t="s">
        <v>278</v>
      </c>
      <c r="B175" s="100" t="s">
        <v>2466</v>
      </c>
      <c r="C175" s="101">
        <v>0.13</v>
      </c>
      <c r="D175" s="101">
        <v>0.13</v>
      </c>
      <c r="E175" s="101">
        <v>0.13</v>
      </c>
      <c r="F175" s="102">
        <v>0.13</v>
      </c>
    </row>
    <row r="176" ht="15.15" spans="1:6">
      <c r="A176" s="96" t="s">
        <v>278</v>
      </c>
      <c r="B176" s="100" t="s">
        <v>2476</v>
      </c>
      <c r="C176" s="101">
        <v>0.13</v>
      </c>
      <c r="D176" s="101">
        <v>0.13</v>
      </c>
      <c r="E176" s="101">
        <v>0.13</v>
      </c>
      <c r="F176" s="102">
        <v>0.13</v>
      </c>
    </row>
    <row r="177" ht="15.15" spans="1:6">
      <c r="A177" s="96" t="s">
        <v>278</v>
      </c>
      <c r="B177" s="100" t="s">
        <v>2485</v>
      </c>
      <c r="C177" s="101">
        <v>0.13</v>
      </c>
      <c r="D177" s="101">
        <v>0.13</v>
      </c>
      <c r="E177" s="101">
        <v>0.13</v>
      </c>
      <c r="F177" s="102">
        <v>0.13</v>
      </c>
    </row>
    <row r="178" ht="15.15" spans="1:6">
      <c r="A178" s="96" t="s">
        <v>278</v>
      </c>
      <c r="B178" s="100" t="s">
        <v>2493</v>
      </c>
      <c r="C178" s="101">
        <v>0.13</v>
      </c>
      <c r="D178" s="101">
        <v>0.13</v>
      </c>
      <c r="E178" s="101">
        <v>0.13</v>
      </c>
      <c r="F178" s="102">
        <v>0.127</v>
      </c>
    </row>
    <row r="179" ht="15.15" spans="1:6">
      <c r="A179" s="96" t="s">
        <v>278</v>
      </c>
      <c r="B179" s="100" t="s">
        <v>2501</v>
      </c>
      <c r="C179" s="101">
        <v>0.13</v>
      </c>
      <c r="D179" s="101">
        <v>0.13</v>
      </c>
      <c r="E179" s="101">
        <v>0.13</v>
      </c>
      <c r="F179" s="109"/>
    </row>
    <row r="180" ht="15.15" spans="1:6">
      <c r="A180" s="96" t="s">
        <v>278</v>
      </c>
      <c r="B180" s="100" t="s">
        <v>2508</v>
      </c>
      <c r="C180" s="101">
        <v>0.13</v>
      </c>
      <c r="D180" s="101">
        <v>0.13</v>
      </c>
      <c r="E180" s="101">
        <v>0.125</v>
      </c>
      <c r="F180" s="102">
        <v>0.13</v>
      </c>
    </row>
    <row r="181" ht="15.15" spans="1:6">
      <c r="A181" s="96" t="s">
        <v>278</v>
      </c>
      <c r="B181" s="100" t="s">
        <v>2515</v>
      </c>
      <c r="C181" s="101">
        <v>0.122</v>
      </c>
      <c r="D181" s="101">
        <v>0.123</v>
      </c>
      <c r="E181" s="101">
        <v>0.126</v>
      </c>
      <c r="F181" s="102">
        <v>0.121</v>
      </c>
    </row>
    <row r="182" ht="15.15" spans="1:6">
      <c r="A182" s="96" t="s">
        <v>278</v>
      </c>
      <c r="B182" s="100" t="s">
        <v>2522</v>
      </c>
      <c r="C182" s="101">
        <v>0.125</v>
      </c>
      <c r="D182" s="101">
        <v>0.125</v>
      </c>
      <c r="E182" s="101">
        <v>0.117</v>
      </c>
      <c r="F182" s="102">
        <v>0.13</v>
      </c>
    </row>
    <row r="183" ht="15.15" spans="1:6">
      <c r="A183" s="96" t="s">
        <v>278</v>
      </c>
      <c r="B183" s="100" t="s">
        <v>2529</v>
      </c>
      <c r="C183" s="101">
        <v>0.127</v>
      </c>
      <c r="D183" s="101">
        <v>0.127</v>
      </c>
      <c r="E183" s="101">
        <v>0.128</v>
      </c>
      <c r="F183" s="109"/>
    </row>
    <row r="184" ht="15.15" spans="1:6">
      <c r="A184" s="96" t="s">
        <v>278</v>
      </c>
      <c r="B184" s="100" t="s">
        <v>2536</v>
      </c>
      <c r="C184" s="101">
        <v>0.125</v>
      </c>
      <c r="D184" s="101">
        <v>0.125</v>
      </c>
      <c r="E184" s="101">
        <v>0.127</v>
      </c>
      <c r="F184" s="109"/>
    </row>
    <row r="185" ht="15.15" spans="1:6">
      <c r="A185" s="96" t="s">
        <v>278</v>
      </c>
      <c r="B185" s="100" t="s">
        <v>2541</v>
      </c>
      <c r="C185" s="101">
        <v>0.127</v>
      </c>
      <c r="D185" s="101">
        <v>0.127</v>
      </c>
      <c r="E185" s="101">
        <v>0.128</v>
      </c>
      <c r="F185" s="102">
        <v>0.13</v>
      </c>
    </row>
    <row r="186" ht="24.75" spans="1:6">
      <c r="A186" s="96" t="s">
        <v>278</v>
      </c>
      <c r="B186" s="100" t="s">
        <v>2546</v>
      </c>
      <c r="C186" s="110"/>
      <c r="D186" s="110"/>
      <c r="E186" s="110"/>
      <c r="F186" s="102">
        <v>0.05</v>
      </c>
    </row>
    <row r="187" ht="15.15" spans="1:6">
      <c r="A187" s="96" t="s">
        <v>278</v>
      </c>
      <c r="B187" s="100" t="s">
        <v>2551</v>
      </c>
      <c r="C187" s="110"/>
      <c r="D187" s="110"/>
      <c r="E187" s="110"/>
      <c r="F187" s="102">
        <v>0.05</v>
      </c>
    </row>
    <row r="188" ht="24.75" spans="1:6">
      <c r="A188" s="96" t="s">
        <v>278</v>
      </c>
      <c r="B188" s="100" t="s">
        <v>2556</v>
      </c>
      <c r="C188" s="110"/>
      <c r="D188" s="110"/>
      <c r="E188" s="110"/>
      <c r="F188" s="102">
        <v>0.05</v>
      </c>
    </row>
    <row r="189" ht="24.75" spans="1:6">
      <c r="A189" s="96" t="s">
        <v>278</v>
      </c>
      <c r="B189" s="100" t="s">
        <v>2561</v>
      </c>
      <c r="C189" s="110"/>
      <c r="D189" s="110"/>
      <c r="E189" s="110"/>
      <c r="F189" s="102">
        <v>0.05</v>
      </c>
    </row>
    <row r="190" ht="24.75" spans="1:6">
      <c r="A190" s="96" t="s">
        <v>278</v>
      </c>
      <c r="B190" s="100" t="s">
        <v>2566</v>
      </c>
      <c r="C190" s="110"/>
      <c r="D190" s="110"/>
      <c r="E190" s="110"/>
      <c r="F190" s="102">
        <v>0.05</v>
      </c>
    </row>
    <row r="191" ht="24.75" spans="1:6">
      <c r="A191" s="96" t="s">
        <v>278</v>
      </c>
      <c r="B191" s="100" t="s">
        <v>2571</v>
      </c>
      <c r="C191" s="110"/>
      <c r="D191" s="110"/>
      <c r="E191" s="110"/>
      <c r="F191" s="102">
        <v>0.05</v>
      </c>
    </row>
    <row r="192" ht="24.75" spans="1:6">
      <c r="A192" s="96" t="s">
        <v>278</v>
      </c>
      <c r="B192" s="100" t="s">
        <v>2575</v>
      </c>
      <c r="C192" s="110"/>
      <c r="D192" s="110"/>
      <c r="E192" s="110"/>
      <c r="F192" s="102">
        <v>0.05</v>
      </c>
    </row>
    <row r="193" ht="24.75" spans="1:6">
      <c r="A193" s="96" t="s">
        <v>278</v>
      </c>
      <c r="B193" s="100" t="s">
        <v>2579</v>
      </c>
      <c r="C193" s="110"/>
      <c r="D193" s="110"/>
      <c r="E193" s="110"/>
      <c r="F193" s="102">
        <v>0.05</v>
      </c>
    </row>
    <row r="194" ht="24.75" spans="1:6">
      <c r="A194" s="96" t="s">
        <v>278</v>
      </c>
      <c r="B194" s="100" t="s">
        <v>2583</v>
      </c>
      <c r="C194" s="110"/>
      <c r="D194" s="110"/>
      <c r="E194" s="110"/>
      <c r="F194" s="102">
        <v>0.05</v>
      </c>
    </row>
    <row r="195" ht="15.15" spans="1:6">
      <c r="A195" s="96" t="s">
        <v>278</v>
      </c>
      <c r="B195" s="100" t="s">
        <v>2587</v>
      </c>
      <c r="C195" s="110"/>
      <c r="D195" s="110"/>
      <c r="E195" s="110"/>
      <c r="F195" s="102">
        <v>0.05</v>
      </c>
    </row>
    <row r="196" ht="24.75" spans="1:6">
      <c r="A196" s="96" t="s">
        <v>278</v>
      </c>
      <c r="B196" s="100" t="s">
        <v>2591</v>
      </c>
      <c r="C196" s="110"/>
      <c r="D196" s="110"/>
      <c r="E196" s="110"/>
      <c r="F196" s="102">
        <v>0.05</v>
      </c>
    </row>
    <row r="197" ht="24.75" spans="1:6">
      <c r="A197" s="96" t="s">
        <v>278</v>
      </c>
      <c r="B197" s="100" t="s">
        <v>2595</v>
      </c>
      <c r="C197" s="110"/>
      <c r="D197" s="110"/>
      <c r="E197" s="110"/>
      <c r="F197" s="102">
        <v>0.05</v>
      </c>
    </row>
    <row r="198" ht="24.75" spans="1:6">
      <c r="A198" s="96" t="s">
        <v>278</v>
      </c>
      <c r="B198" s="100" t="s">
        <v>2598</v>
      </c>
      <c r="C198" s="110"/>
      <c r="D198" s="110"/>
      <c r="E198" s="110"/>
      <c r="F198" s="102">
        <v>0.05</v>
      </c>
    </row>
    <row r="199" ht="24.75" spans="1:6">
      <c r="A199" s="96" t="s">
        <v>278</v>
      </c>
      <c r="B199" s="100" t="s">
        <v>2601</v>
      </c>
      <c r="C199" s="110"/>
      <c r="D199" s="110"/>
      <c r="E199" s="110"/>
      <c r="F199" s="102">
        <v>0.05</v>
      </c>
    </row>
    <row r="200" ht="24.75" spans="1:6">
      <c r="A200" s="96" t="s">
        <v>278</v>
      </c>
      <c r="B200" s="100" t="s">
        <v>2604</v>
      </c>
      <c r="C200" s="110"/>
      <c r="D200" s="110"/>
      <c r="E200" s="110"/>
      <c r="F200" s="102">
        <v>0.05</v>
      </c>
    </row>
    <row r="201" ht="24.75" spans="1:6">
      <c r="A201" s="96" t="s">
        <v>278</v>
      </c>
      <c r="B201" s="100" t="s">
        <v>2607</v>
      </c>
      <c r="C201" s="110"/>
      <c r="D201" s="110"/>
      <c r="E201" s="110"/>
      <c r="F201" s="102">
        <v>0.05</v>
      </c>
    </row>
    <row r="202" ht="24.75" spans="1:6">
      <c r="A202" s="96" t="s">
        <v>278</v>
      </c>
      <c r="B202" s="100" t="s">
        <v>2610</v>
      </c>
      <c r="C202" s="110"/>
      <c r="D202" s="110"/>
      <c r="E202" s="110"/>
      <c r="F202" s="102">
        <v>0.05</v>
      </c>
    </row>
    <row r="203" ht="24.75" spans="1:6">
      <c r="A203" s="96" t="s">
        <v>278</v>
      </c>
      <c r="B203" s="100" t="s">
        <v>2613</v>
      </c>
      <c r="C203" s="110"/>
      <c r="D203" s="110"/>
      <c r="E203" s="110"/>
      <c r="F203" s="102">
        <v>0.05</v>
      </c>
    </row>
    <row r="204" ht="15.15" spans="1:6">
      <c r="A204" s="96" t="s">
        <v>278</v>
      </c>
      <c r="B204" s="100" t="s">
        <v>2615</v>
      </c>
      <c r="C204" s="110"/>
      <c r="D204" s="110"/>
      <c r="E204" s="110"/>
      <c r="F204" s="102">
        <v>0.05</v>
      </c>
    </row>
    <row r="205" ht="15.15" spans="1:6">
      <c r="A205" s="104" t="s">
        <v>278</v>
      </c>
      <c r="B205" s="111" t="s">
        <v>2617</v>
      </c>
      <c r="C205" s="107"/>
      <c r="D205" s="107"/>
      <c r="E205" s="107"/>
      <c r="F205" s="112">
        <v>0.05</v>
      </c>
    </row>
    <row r="206" ht="15.15" spans="1:6">
      <c r="A206" s="96" t="s">
        <v>283</v>
      </c>
      <c r="B206" s="97" t="s">
        <v>2283</v>
      </c>
      <c r="C206" s="98">
        <v>0.15</v>
      </c>
      <c r="D206" s="98">
        <v>0.15</v>
      </c>
      <c r="E206" s="98">
        <v>0.15</v>
      </c>
      <c r="F206" s="99">
        <v>0.15</v>
      </c>
    </row>
    <row r="207" ht="15.15" spans="1:6">
      <c r="A207" s="96" t="s">
        <v>283</v>
      </c>
      <c r="B207" s="100" t="s">
        <v>2296</v>
      </c>
      <c r="C207" s="101">
        <v>0.15</v>
      </c>
      <c r="D207" s="101">
        <v>0.15</v>
      </c>
      <c r="E207" s="101">
        <v>0.15</v>
      </c>
      <c r="F207" s="102">
        <v>0.144</v>
      </c>
    </row>
    <row r="208" ht="15.15" spans="1:6">
      <c r="A208" s="96" t="s">
        <v>283</v>
      </c>
      <c r="B208" s="100" t="s">
        <v>2310</v>
      </c>
      <c r="C208" s="101">
        <v>0.15</v>
      </c>
      <c r="D208" s="101">
        <v>0.15</v>
      </c>
      <c r="E208" s="101">
        <v>0.15</v>
      </c>
      <c r="F208" s="102">
        <v>0.15</v>
      </c>
    </row>
    <row r="209" ht="15.15" spans="1:6">
      <c r="A209" s="96" t="s">
        <v>283</v>
      </c>
      <c r="B209" s="100" t="s">
        <v>2322</v>
      </c>
      <c r="C209" s="101">
        <v>0.137</v>
      </c>
      <c r="D209" s="101">
        <v>0.137</v>
      </c>
      <c r="E209" s="101">
        <v>0.14</v>
      </c>
      <c r="F209" s="102">
        <v>0.117</v>
      </c>
    </row>
    <row r="210" ht="15.15" spans="1:6">
      <c r="A210" s="96" t="s">
        <v>283</v>
      </c>
      <c r="B210" s="100" t="s">
        <v>2334</v>
      </c>
      <c r="C210" s="101">
        <v>0.15</v>
      </c>
      <c r="D210" s="101">
        <v>0.15</v>
      </c>
      <c r="E210" s="101">
        <v>0.15</v>
      </c>
      <c r="F210" s="102">
        <v>0.138</v>
      </c>
    </row>
    <row r="211" ht="15.15" spans="1:6">
      <c r="A211" s="96" t="s">
        <v>283</v>
      </c>
      <c r="B211" s="100" t="s">
        <v>2345</v>
      </c>
      <c r="C211" s="101">
        <v>0.137</v>
      </c>
      <c r="D211" s="101">
        <v>0.135</v>
      </c>
      <c r="E211" s="101">
        <v>0.136</v>
      </c>
      <c r="F211" s="102">
        <v>0.1</v>
      </c>
    </row>
    <row r="212" ht="15.15" spans="1:6">
      <c r="A212" s="96" t="s">
        <v>283</v>
      </c>
      <c r="B212" s="100" t="s">
        <v>2356</v>
      </c>
      <c r="C212" s="101">
        <v>0.15</v>
      </c>
      <c r="D212" s="101">
        <v>0.15</v>
      </c>
      <c r="E212" s="101">
        <v>0.148</v>
      </c>
      <c r="F212" s="102">
        <v>0.136</v>
      </c>
    </row>
    <row r="213" ht="15.15" spans="1:6">
      <c r="A213" s="96" t="s">
        <v>283</v>
      </c>
      <c r="B213" s="100" t="s">
        <v>2367</v>
      </c>
      <c r="C213" s="101">
        <v>0.15</v>
      </c>
      <c r="D213" s="101">
        <v>0.15</v>
      </c>
      <c r="E213" s="101">
        <v>0.15</v>
      </c>
      <c r="F213" s="102">
        <v>0.138</v>
      </c>
    </row>
    <row r="214" ht="15.15" spans="1:6">
      <c r="A214" s="96" t="s">
        <v>283</v>
      </c>
      <c r="B214" s="100" t="s">
        <v>2377</v>
      </c>
      <c r="C214" s="101">
        <v>0.091</v>
      </c>
      <c r="D214" s="101">
        <v>0.09</v>
      </c>
      <c r="E214" s="101">
        <v>0.092</v>
      </c>
      <c r="F214" s="109"/>
    </row>
    <row r="215" ht="15.15" spans="1:6">
      <c r="A215" s="96" t="s">
        <v>283</v>
      </c>
      <c r="B215" s="100" t="s">
        <v>2387</v>
      </c>
      <c r="C215" s="101">
        <v>0.15</v>
      </c>
      <c r="D215" s="101">
        <v>0.15</v>
      </c>
      <c r="E215" s="101">
        <v>0.15</v>
      </c>
      <c r="F215" s="102">
        <v>0.15</v>
      </c>
    </row>
    <row r="216" ht="15.15" spans="1:6">
      <c r="A216" s="96" t="s">
        <v>283</v>
      </c>
      <c r="B216" s="100" t="s">
        <v>2397</v>
      </c>
      <c r="C216" s="101">
        <v>0.147</v>
      </c>
      <c r="D216" s="101">
        <v>0.147</v>
      </c>
      <c r="E216" s="101">
        <v>0.15</v>
      </c>
      <c r="F216" s="102">
        <v>0.14</v>
      </c>
    </row>
    <row r="217" ht="15.15" spans="1:6">
      <c r="A217" s="96" t="s">
        <v>283</v>
      </c>
      <c r="B217" s="100" t="s">
        <v>2407</v>
      </c>
      <c r="C217" s="101">
        <v>0.15</v>
      </c>
      <c r="D217" s="101">
        <v>0.15</v>
      </c>
      <c r="E217" s="101">
        <v>0.15</v>
      </c>
      <c r="F217" s="102">
        <v>0.15</v>
      </c>
    </row>
    <row r="218" ht="15.15" spans="1:6">
      <c r="A218" s="96" t="s">
        <v>283</v>
      </c>
      <c r="B218" s="100" t="s">
        <v>2417</v>
      </c>
      <c r="C218" s="101">
        <v>0.15</v>
      </c>
      <c r="D218" s="101">
        <v>0.15</v>
      </c>
      <c r="E218" s="101">
        <v>0.15</v>
      </c>
      <c r="F218" s="102">
        <v>0.15</v>
      </c>
    </row>
    <row r="219" ht="15.15" spans="1:6">
      <c r="A219" s="96" t="s">
        <v>283</v>
      </c>
      <c r="B219" s="100" t="s">
        <v>2427</v>
      </c>
      <c r="C219" s="101">
        <v>0.15</v>
      </c>
      <c r="D219" s="101">
        <v>0.15</v>
      </c>
      <c r="E219" s="101">
        <v>0.15</v>
      </c>
      <c r="F219" s="102">
        <v>0.148</v>
      </c>
    </row>
    <row r="220" ht="15.15" spans="1:6">
      <c r="A220" s="96" t="s">
        <v>283</v>
      </c>
      <c r="B220" s="100" t="s">
        <v>2437</v>
      </c>
      <c r="C220" s="101">
        <v>0.15</v>
      </c>
      <c r="D220" s="101">
        <v>0.15</v>
      </c>
      <c r="E220" s="101">
        <v>0.15</v>
      </c>
      <c r="F220" s="102">
        <v>0.15</v>
      </c>
    </row>
    <row r="221" ht="15.15" spans="1:6">
      <c r="A221" s="96" t="s">
        <v>283</v>
      </c>
      <c r="B221" s="100" t="s">
        <v>2447</v>
      </c>
      <c r="C221" s="101"/>
      <c r="D221" s="110"/>
      <c r="E221" s="110"/>
      <c r="F221" s="102">
        <v>0.148</v>
      </c>
    </row>
    <row r="222" ht="15.15" spans="1:6">
      <c r="A222" s="96" t="s">
        <v>283</v>
      </c>
      <c r="B222" s="100" t="s">
        <v>2457</v>
      </c>
      <c r="C222" s="101"/>
      <c r="D222" s="110"/>
      <c r="E222" s="110"/>
      <c r="F222" s="102">
        <v>0.1</v>
      </c>
    </row>
    <row r="223" ht="15.15" spans="1:6">
      <c r="A223" s="96" t="s">
        <v>283</v>
      </c>
      <c r="B223" s="100" t="s">
        <v>2467</v>
      </c>
      <c r="C223" s="101"/>
      <c r="D223" s="110"/>
      <c r="E223" s="110"/>
      <c r="F223" s="102">
        <v>0.15</v>
      </c>
    </row>
    <row r="224" ht="15.15" spans="1:6">
      <c r="A224" s="96" t="s">
        <v>283</v>
      </c>
      <c r="B224" s="100" t="s">
        <v>2477</v>
      </c>
      <c r="C224" s="101"/>
      <c r="D224" s="110"/>
      <c r="E224" s="110"/>
      <c r="F224" s="102">
        <v>0.15</v>
      </c>
    </row>
    <row r="225" ht="15.15" spans="1:6">
      <c r="A225" s="96" t="s">
        <v>283</v>
      </c>
      <c r="B225" s="100" t="s">
        <v>2486</v>
      </c>
      <c r="C225" s="101">
        <v>0.15</v>
      </c>
      <c r="D225" s="101">
        <v>0.15</v>
      </c>
      <c r="E225" s="101">
        <v>0.15</v>
      </c>
      <c r="F225" s="102">
        <v>0.15</v>
      </c>
    </row>
    <row r="226" ht="15.15" spans="1:6">
      <c r="A226" s="96" t="s">
        <v>283</v>
      </c>
      <c r="B226" s="100" t="s">
        <v>2494</v>
      </c>
      <c r="C226" s="101">
        <v>0.15</v>
      </c>
      <c r="D226" s="101">
        <v>0.15</v>
      </c>
      <c r="E226" s="101">
        <v>0.15</v>
      </c>
      <c r="F226" s="102">
        <v>0.148</v>
      </c>
    </row>
    <row r="227" ht="15.15" spans="1:6">
      <c r="A227" s="96" t="s">
        <v>283</v>
      </c>
      <c r="B227" s="100" t="s">
        <v>2502</v>
      </c>
      <c r="C227" s="101">
        <v>0.15</v>
      </c>
      <c r="D227" s="101">
        <v>0.15</v>
      </c>
      <c r="E227" s="101">
        <v>0.15</v>
      </c>
      <c r="F227" s="102">
        <v>0.15</v>
      </c>
    </row>
    <row r="228" ht="15.15" spans="1:6">
      <c r="A228" s="96" t="s">
        <v>283</v>
      </c>
      <c r="B228" s="100" t="s">
        <v>2509</v>
      </c>
      <c r="C228" s="101">
        <v>0.15</v>
      </c>
      <c r="D228" s="101">
        <v>0.15</v>
      </c>
      <c r="E228" s="101">
        <v>0.15</v>
      </c>
      <c r="F228" s="102">
        <v>0.15</v>
      </c>
    </row>
    <row r="229" ht="15.15" spans="1:6">
      <c r="A229" s="96" t="s">
        <v>283</v>
      </c>
      <c r="B229" s="100" t="s">
        <v>2516</v>
      </c>
      <c r="C229" s="101">
        <v>0.15</v>
      </c>
      <c r="D229" s="101">
        <v>0.15</v>
      </c>
      <c r="E229" s="101">
        <v>0.15</v>
      </c>
      <c r="F229" s="109"/>
    </row>
    <row r="230" ht="15.15" spans="1:6">
      <c r="A230" s="96" t="s">
        <v>283</v>
      </c>
      <c r="B230" s="100" t="s">
        <v>2523</v>
      </c>
      <c r="C230" s="101">
        <v>0.145</v>
      </c>
      <c r="D230" s="101">
        <v>0.145</v>
      </c>
      <c r="E230" s="101">
        <v>0.144</v>
      </c>
      <c r="F230" s="109"/>
    </row>
    <row r="231" ht="15.15" spans="1:6">
      <c r="A231" s="96" t="s">
        <v>283</v>
      </c>
      <c r="B231" s="100" t="s">
        <v>2530</v>
      </c>
      <c r="C231" s="101">
        <v>0.128</v>
      </c>
      <c r="D231" s="101">
        <v>0.125</v>
      </c>
      <c r="E231" s="101">
        <v>0.132</v>
      </c>
      <c r="F231" s="109"/>
    </row>
    <row r="232" ht="15.15" spans="1:6">
      <c r="A232" s="96" t="s">
        <v>283</v>
      </c>
      <c r="B232" s="100" t="s">
        <v>2537</v>
      </c>
      <c r="C232" s="101">
        <v>0.145</v>
      </c>
      <c r="D232" s="101">
        <v>0.144</v>
      </c>
      <c r="E232" s="101">
        <v>0.146</v>
      </c>
      <c r="F232" s="102">
        <v>0.138</v>
      </c>
    </row>
    <row r="233" ht="15.15" spans="1:6">
      <c r="A233" s="96" t="s">
        <v>283</v>
      </c>
      <c r="B233" s="100" t="s">
        <v>2542</v>
      </c>
      <c r="C233" s="101">
        <v>0.145</v>
      </c>
      <c r="D233" s="101">
        <v>0.143</v>
      </c>
      <c r="E233" s="101">
        <v>0.142</v>
      </c>
      <c r="F233" s="109"/>
    </row>
    <row r="234" ht="15.15" spans="1:6">
      <c r="A234" s="96" t="s">
        <v>283</v>
      </c>
      <c r="B234" s="100" t="s">
        <v>2620</v>
      </c>
      <c r="C234" s="101">
        <v>0.14</v>
      </c>
      <c r="D234" s="101">
        <v>0.14</v>
      </c>
      <c r="E234" s="101">
        <v>0.144</v>
      </c>
      <c r="F234" s="109"/>
    </row>
    <row r="235" ht="15.15" spans="1:6">
      <c r="A235" s="96" t="s">
        <v>283</v>
      </c>
      <c r="B235" s="100" t="s">
        <v>2552</v>
      </c>
      <c r="C235" s="101">
        <v>0.141</v>
      </c>
      <c r="D235" s="101">
        <v>0.142</v>
      </c>
      <c r="E235" s="101">
        <v>0.145</v>
      </c>
      <c r="F235" s="102">
        <v>0.15</v>
      </c>
    </row>
    <row r="236" ht="15.15" spans="1:6">
      <c r="A236" s="96" t="s">
        <v>283</v>
      </c>
      <c r="B236" s="100" t="s">
        <v>2557</v>
      </c>
      <c r="C236" s="110"/>
      <c r="D236" s="110"/>
      <c r="E236" s="110"/>
      <c r="F236" s="102">
        <v>0.143</v>
      </c>
    </row>
    <row r="237" ht="24.75" spans="1:6">
      <c r="A237" s="96" t="s">
        <v>283</v>
      </c>
      <c r="B237" s="100" t="s">
        <v>2562</v>
      </c>
      <c r="C237" s="110"/>
      <c r="D237" s="110"/>
      <c r="E237" s="110"/>
      <c r="F237" s="102">
        <v>0.05</v>
      </c>
    </row>
    <row r="238" ht="24.75" spans="1:6">
      <c r="A238" s="96" t="s">
        <v>283</v>
      </c>
      <c r="B238" s="100" t="s">
        <v>2567</v>
      </c>
      <c r="C238" s="110"/>
      <c r="D238" s="110"/>
      <c r="E238" s="110"/>
      <c r="F238" s="102">
        <v>0.05</v>
      </c>
    </row>
    <row r="239" ht="24.75" spans="1:6">
      <c r="A239" s="96" t="s">
        <v>283</v>
      </c>
      <c r="B239" s="100" t="s">
        <v>2572</v>
      </c>
      <c r="C239" s="110"/>
      <c r="D239" s="110"/>
      <c r="E239" s="110"/>
      <c r="F239" s="102">
        <v>0.05</v>
      </c>
    </row>
    <row r="240" ht="24.75" spans="1:6">
      <c r="A240" s="96" t="s">
        <v>283</v>
      </c>
      <c r="B240" s="100" t="s">
        <v>2576</v>
      </c>
      <c r="C240" s="110"/>
      <c r="D240" s="110"/>
      <c r="E240" s="110"/>
      <c r="F240" s="102">
        <v>0.05</v>
      </c>
    </row>
    <row r="241" ht="24.75" spans="1:6">
      <c r="A241" s="96" t="s">
        <v>283</v>
      </c>
      <c r="B241" s="100" t="s">
        <v>2580</v>
      </c>
      <c r="C241" s="110"/>
      <c r="D241" s="110"/>
      <c r="E241" s="110"/>
      <c r="F241" s="102">
        <v>0.05</v>
      </c>
    </row>
    <row r="242" ht="24.75" spans="1:6">
      <c r="A242" s="96" t="s">
        <v>283</v>
      </c>
      <c r="B242" s="100" t="s">
        <v>2584</v>
      </c>
      <c r="C242" s="110"/>
      <c r="D242" s="110"/>
      <c r="E242" s="110"/>
      <c r="F242" s="102">
        <v>0.05</v>
      </c>
    </row>
    <row r="243" ht="24.75" spans="1:6">
      <c r="A243" s="96" t="s">
        <v>283</v>
      </c>
      <c r="B243" s="100" t="s">
        <v>2588</v>
      </c>
      <c r="C243" s="110"/>
      <c r="D243" s="110"/>
      <c r="E243" s="110"/>
      <c r="F243" s="102">
        <v>0.05</v>
      </c>
    </row>
    <row r="244" ht="24.75" spans="1:6">
      <c r="A244" s="104" t="s">
        <v>283</v>
      </c>
      <c r="B244" s="111" t="s">
        <v>2592</v>
      </c>
      <c r="C244" s="107"/>
      <c r="D244" s="107"/>
      <c r="E244" s="107"/>
      <c r="F244" s="112">
        <v>0.05</v>
      </c>
    </row>
    <row r="245" ht="15.15" spans="1:6">
      <c r="A245" s="96" t="s">
        <v>286</v>
      </c>
      <c r="B245" s="97" t="s">
        <v>2284</v>
      </c>
      <c r="C245" s="98">
        <v>0.15</v>
      </c>
      <c r="D245" s="98">
        <v>0.15</v>
      </c>
      <c r="E245" s="98">
        <v>0.15</v>
      </c>
      <c r="F245" s="99">
        <v>0.143</v>
      </c>
    </row>
    <row r="246" ht="15.15" spans="1:6">
      <c r="A246" s="96" t="s">
        <v>286</v>
      </c>
      <c r="B246" s="100" t="s">
        <v>2297</v>
      </c>
      <c r="C246" s="101">
        <v>0.15</v>
      </c>
      <c r="D246" s="101">
        <v>0.15</v>
      </c>
      <c r="E246" s="101">
        <v>0.15</v>
      </c>
      <c r="F246" s="102">
        <v>0.114</v>
      </c>
    </row>
    <row r="247" ht="15.15" spans="1:6">
      <c r="A247" s="96" t="s">
        <v>286</v>
      </c>
      <c r="B247" s="100" t="s">
        <v>2311</v>
      </c>
      <c r="C247" s="101">
        <v>0.15</v>
      </c>
      <c r="D247" s="101">
        <v>0.15</v>
      </c>
      <c r="E247" s="101">
        <v>0.15</v>
      </c>
      <c r="F247" s="102">
        <v>0.15</v>
      </c>
    </row>
    <row r="248" ht="15.15" spans="1:6">
      <c r="A248" s="96" t="s">
        <v>286</v>
      </c>
      <c r="B248" s="100" t="s">
        <v>2323</v>
      </c>
      <c r="C248" s="101">
        <v>0.15</v>
      </c>
      <c r="D248" s="101">
        <v>0.15</v>
      </c>
      <c r="E248" s="101">
        <v>0.15</v>
      </c>
      <c r="F248" s="102">
        <v>0.14</v>
      </c>
    </row>
    <row r="249" ht="15.15" spans="1:6">
      <c r="A249" s="96" t="s">
        <v>286</v>
      </c>
      <c r="B249" s="100" t="s">
        <v>2335</v>
      </c>
      <c r="C249" s="101">
        <v>0.15</v>
      </c>
      <c r="D249" s="101">
        <v>0.149</v>
      </c>
      <c r="E249" s="101">
        <v>0.15</v>
      </c>
      <c r="F249" s="102">
        <v>0.1</v>
      </c>
    </row>
    <row r="250" ht="15.15" spans="1:6">
      <c r="A250" s="96" t="s">
        <v>286</v>
      </c>
      <c r="B250" s="100" t="s">
        <v>2346</v>
      </c>
      <c r="C250" s="101">
        <v>0.15</v>
      </c>
      <c r="D250" s="101">
        <v>0.15</v>
      </c>
      <c r="E250" s="101">
        <v>0.15</v>
      </c>
      <c r="F250" s="102">
        <v>0.144</v>
      </c>
    </row>
    <row r="251" ht="15.15" spans="1:6">
      <c r="A251" s="96" t="s">
        <v>286</v>
      </c>
      <c r="B251" s="100" t="s">
        <v>2357</v>
      </c>
      <c r="C251" s="101">
        <v>0.15</v>
      </c>
      <c r="D251" s="101">
        <v>0.15</v>
      </c>
      <c r="E251" s="101">
        <v>0.15</v>
      </c>
      <c r="F251" s="102">
        <v>0.143</v>
      </c>
    </row>
    <row r="252" ht="15.15" spans="1:6">
      <c r="A252" s="96" t="s">
        <v>286</v>
      </c>
      <c r="B252" s="100" t="s">
        <v>2368</v>
      </c>
      <c r="C252" s="101">
        <v>0.15</v>
      </c>
      <c r="D252" s="101">
        <v>0.15</v>
      </c>
      <c r="E252" s="101">
        <v>0.15</v>
      </c>
      <c r="F252" s="102">
        <v>0.1</v>
      </c>
    </row>
    <row r="253" ht="15.15" spans="1:6">
      <c r="A253" s="96" t="s">
        <v>286</v>
      </c>
      <c r="B253" s="100" t="s">
        <v>2378</v>
      </c>
      <c r="C253" s="101">
        <v>0.15</v>
      </c>
      <c r="D253" s="101">
        <v>0.15</v>
      </c>
      <c r="E253" s="101">
        <v>0.15</v>
      </c>
      <c r="F253" s="102">
        <v>0.1</v>
      </c>
    </row>
    <row r="254" ht="15.15" spans="1:6">
      <c r="A254" s="96" t="s">
        <v>286</v>
      </c>
      <c r="B254" s="100" t="s">
        <v>2388</v>
      </c>
      <c r="C254" s="110"/>
      <c r="D254" s="110"/>
      <c r="E254" s="110"/>
      <c r="F254" s="102">
        <v>0.15</v>
      </c>
    </row>
    <row r="255" ht="15.15" spans="1:6">
      <c r="A255" s="96" t="s">
        <v>286</v>
      </c>
      <c r="B255" s="100" t="s">
        <v>2398</v>
      </c>
      <c r="C255" s="110"/>
      <c r="D255" s="110"/>
      <c r="E255" s="110"/>
      <c r="F255" s="102">
        <v>0.143</v>
      </c>
    </row>
    <row r="256" ht="15.15" spans="1:6">
      <c r="A256" s="96" t="s">
        <v>286</v>
      </c>
      <c r="B256" s="100" t="s">
        <v>2408</v>
      </c>
      <c r="C256" s="101">
        <v>0.146</v>
      </c>
      <c r="D256" s="101">
        <v>0.147</v>
      </c>
      <c r="E256" s="101">
        <v>0.15</v>
      </c>
      <c r="F256" s="102">
        <v>0.132</v>
      </c>
    </row>
    <row r="257" ht="15.15" spans="1:6">
      <c r="A257" s="96" t="s">
        <v>286</v>
      </c>
      <c r="B257" s="100" t="s">
        <v>2418</v>
      </c>
      <c r="C257" s="101">
        <v>0.15</v>
      </c>
      <c r="D257" s="101">
        <v>0.15</v>
      </c>
      <c r="E257" s="101">
        <v>0.15</v>
      </c>
      <c r="F257" s="102">
        <v>0.139</v>
      </c>
    </row>
    <row r="258" ht="15.15" spans="1:6">
      <c r="A258" s="96" t="s">
        <v>286</v>
      </c>
      <c r="B258" s="100" t="s">
        <v>2428</v>
      </c>
      <c r="C258" s="101">
        <v>0.15</v>
      </c>
      <c r="D258" s="101">
        <v>0.15</v>
      </c>
      <c r="E258" s="101">
        <v>0.15</v>
      </c>
      <c r="F258" s="102">
        <v>0.13</v>
      </c>
    </row>
    <row r="259" ht="15.15" spans="1:6">
      <c r="A259" s="96" t="s">
        <v>286</v>
      </c>
      <c r="B259" s="100" t="s">
        <v>2438</v>
      </c>
      <c r="C259" s="101">
        <v>0.148</v>
      </c>
      <c r="D259" s="101">
        <v>0.149</v>
      </c>
      <c r="E259" s="101">
        <v>0.15</v>
      </c>
      <c r="F259" s="102">
        <v>0.137</v>
      </c>
    </row>
    <row r="260" ht="15.15" spans="1:6">
      <c r="A260" s="96" t="s">
        <v>286</v>
      </c>
      <c r="B260" s="100" t="s">
        <v>2448</v>
      </c>
      <c r="C260" s="101">
        <v>0.15</v>
      </c>
      <c r="D260" s="101">
        <v>0.15</v>
      </c>
      <c r="E260" s="101">
        <v>0.15</v>
      </c>
      <c r="F260" s="102">
        <v>0.142</v>
      </c>
    </row>
    <row r="261" ht="15.15" spans="1:6">
      <c r="A261" s="96" t="s">
        <v>286</v>
      </c>
      <c r="B261" s="100" t="s">
        <v>2458</v>
      </c>
      <c r="C261" s="101">
        <v>0.15</v>
      </c>
      <c r="D261" s="101">
        <v>0.15</v>
      </c>
      <c r="E261" s="101">
        <v>0.149</v>
      </c>
      <c r="F261" s="102">
        <v>0.148</v>
      </c>
    </row>
    <row r="262" ht="15.15" spans="1:6">
      <c r="A262" s="96" t="s">
        <v>286</v>
      </c>
      <c r="B262" s="100" t="s">
        <v>2468</v>
      </c>
      <c r="C262" s="101">
        <v>0.15</v>
      </c>
      <c r="D262" s="101">
        <v>0.15</v>
      </c>
      <c r="E262" s="101">
        <v>0.15</v>
      </c>
      <c r="F262" s="109"/>
    </row>
    <row r="263" ht="15.15" spans="1:6">
      <c r="A263" s="96" t="s">
        <v>286</v>
      </c>
      <c r="B263" s="100" t="s">
        <v>2478</v>
      </c>
      <c r="C263" s="101">
        <v>0.149</v>
      </c>
      <c r="D263" s="101">
        <v>0.149</v>
      </c>
      <c r="E263" s="101">
        <v>0.15</v>
      </c>
      <c r="F263" s="102">
        <v>0.13</v>
      </c>
    </row>
    <row r="264" ht="15.15" spans="1:6">
      <c r="A264" s="96" t="s">
        <v>286</v>
      </c>
      <c r="B264" s="100" t="s">
        <v>2487</v>
      </c>
      <c r="C264" s="101">
        <v>0.148</v>
      </c>
      <c r="D264" s="101">
        <v>0.147</v>
      </c>
      <c r="E264" s="101">
        <v>0.15</v>
      </c>
      <c r="F264" s="102">
        <v>0.078</v>
      </c>
    </row>
    <row r="265" ht="15.15" spans="1:6">
      <c r="A265" s="96" t="s">
        <v>286</v>
      </c>
      <c r="B265" s="100" t="s">
        <v>2495</v>
      </c>
      <c r="C265" s="101">
        <v>0.15</v>
      </c>
      <c r="D265" s="101">
        <v>0.15</v>
      </c>
      <c r="E265" s="101">
        <v>0.15</v>
      </c>
      <c r="F265" s="102">
        <v>0.074</v>
      </c>
    </row>
    <row r="266" ht="15.15" spans="1:6">
      <c r="A266" s="96" t="s">
        <v>286</v>
      </c>
      <c r="B266" s="100" t="s">
        <v>2503</v>
      </c>
      <c r="C266" s="101">
        <v>0.147</v>
      </c>
      <c r="D266" s="101">
        <v>0.147</v>
      </c>
      <c r="E266" s="101">
        <v>0.15</v>
      </c>
      <c r="F266" s="102">
        <v>0.143</v>
      </c>
    </row>
    <row r="267" ht="15.15" spans="1:6">
      <c r="A267" s="96" t="s">
        <v>286</v>
      </c>
      <c r="B267" s="100" t="s">
        <v>2510</v>
      </c>
      <c r="C267" s="101">
        <v>0.142</v>
      </c>
      <c r="D267" s="101">
        <v>0.143</v>
      </c>
      <c r="E267" s="101">
        <v>0.15</v>
      </c>
      <c r="F267" s="109"/>
    </row>
    <row r="268" ht="15.15" spans="1:6">
      <c r="A268" s="96" t="s">
        <v>286</v>
      </c>
      <c r="B268" s="100" t="s">
        <v>2517</v>
      </c>
      <c r="C268" s="101">
        <v>0.15</v>
      </c>
      <c r="D268" s="101">
        <v>0.15</v>
      </c>
      <c r="E268" s="101">
        <v>0.15</v>
      </c>
      <c r="F268" s="102">
        <v>0.13</v>
      </c>
    </row>
    <row r="269" ht="15.15" spans="1:6">
      <c r="A269" s="96" t="s">
        <v>286</v>
      </c>
      <c r="B269" s="100" t="s">
        <v>2524</v>
      </c>
      <c r="C269" s="101">
        <v>0.15</v>
      </c>
      <c r="D269" s="101">
        <v>0.15</v>
      </c>
      <c r="E269" s="101">
        <v>0.15</v>
      </c>
      <c r="F269" s="102">
        <v>0.143</v>
      </c>
    </row>
    <row r="270" ht="15.15" spans="1:6">
      <c r="A270" s="96" t="s">
        <v>286</v>
      </c>
      <c r="B270" s="100" t="s">
        <v>2531</v>
      </c>
      <c r="C270" s="101">
        <v>0.145</v>
      </c>
      <c r="D270" s="101">
        <v>0.145</v>
      </c>
      <c r="E270" s="101">
        <v>0.15</v>
      </c>
      <c r="F270" s="102">
        <v>0.147</v>
      </c>
    </row>
    <row r="271" ht="15.15" spans="1:6">
      <c r="A271" s="96" t="s">
        <v>286</v>
      </c>
      <c r="B271" s="100" t="s">
        <v>2538</v>
      </c>
      <c r="C271" s="101">
        <v>0.15</v>
      </c>
      <c r="D271" s="101">
        <v>0.15</v>
      </c>
      <c r="E271" s="101">
        <v>0.15</v>
      </c>
      <c r="F271" s="102">
        <v>0.138</v>
      </c>
    </row>
    <row r="272" ht="15.15" spans="1:6">
      <c r="A272" s="96" t="s">
        <v>286</v>
      </c>
      <c r="B272" s="100" t="s">
        <v>2543</v>
      </c>
      <c r="C272" s="110"/>
      <c r="D272" s="110"/>
      <c r="E272" s="110"/>
      <c r="F272" s="102">
        <v>0.14</v>
      </c>
    </row>
    <row r="273" ht="15.15" spans="1:6">
      <c r="A273" s="96" t="s">
        <v>286</v>
      </c>
      <c r="B273" s="100" t="s">
        <v>2548</v>
      </c>
      <c r="C273" s="101">
        <v>0.142</v>
      </c>
      <c r="D273" s="101">
        <v>0.143</v>
      </c>
      <c r="E273" s="101">
        <v>0.15</v>
      </c>
      <c r="F273" s="102">
        <v>0.1</v>
      </c>
    </row>
    <row r="274" ht="15.15" spans="1:6">
      <c r="A274" s="96" t="s">
        <v>286</v>
      </c>
      <c r="B274" s="100" t="s">
        <v>2553</v>
      </c>
      <c r="C274" s="101">
        <v>0.148</v>
      </c>
      <c r="D274" s="101">
        <v>0.148</v>
      </c>
      <c r="E274" s="101">
        <v>0.15</v>
      </c>
      <c r="F274" s="102">
        <v>0.067</v>
      </c>
    </row>
    <row r="275" ht="15.15" spans="1:6">
      <c r="A275" s="96" t="s">
        <v>286</v>
      </c>
      <c r="B275" s="100" t="s">
        <v>2558</v>
      </c>
      <c r="C275" s="101">
        <v>0.15</v>
      </c>
      <c r="D275" s="101">
        <v>0.15</v>
      </c>
      <c r="E275" s="101">
        <v>0.15</v>
      </c>
      <c r="F275" s="102">
        <v>0.15</v>
      </c>
    </row>
    <row r="276" ht="15.15" spans="1:6">
      <c r="A276" s="96" t="s">
        <v>286</v>
      </c>
      <c r="B276" s="100" t="s">
        <v>2563</v>
      </c>
      <c r="C276" s="101">
        <v>0.145</v>
      </c>
      <c r="D276" s="101">
        <v>0.143</v>
      </c>
      <c r="E276" s="101">
        <v>0.15</v>
      </c>
      <c r="F276" s="102">
        <v>0.059</v>
      </c>
    </row>
    <row r="277" ht="15.15" spans="1:6">
      <c r="A277" s="96" t="s">
        <v>286</v>
      </c>
      <c r="B277" s="100" t="s">
        <v>2568</v>
      </c>
      <c r="C277" s="101">
        <v>0.15</v>
      </c>
      <c r="D277" s="101">
        <v>0.15</v>
      </c>
      <c r="E277" s="101">
        <v>0.15</v>
      </c>
      <c r="F277" s="102">
        <v>0.121</v>
      </c>
    </row>
    <row r="278" ht="15.15" spans="1:6">
      <c r="A278" s="96" t="s">
        <v>286</v>
      </c>
      <c r="B278" s="100" t="s">
        <v>2573</v>
      </c>
      <c r="C278" s="101">
        <v>0.15</v>
      </c>
      <c r="D278" s="101">
        <v>0.15</v>
      </c>
      <c r="E278" s="101">
        <v>0.15</v>
      </c>
      <c r="F278" s="102">
        <v>0.138</v>
      </c>
    </row>
    <row r="279" ht="24.75" spans="1:6">
      <c r="A279" s="96" t="s">
        <v>286</v>
      </c>
      <c r="B279" s="100" t="s">
        <v>2577</v>
      </c>
      <c r="C279" s="110"/>
      <c r="D279" s="110"/>
      <c r="E279" s="110"/>
      <c r="F279" s="102">
        <v>0.05</v>
      </c>
    </row>
    <row r="280" ht="24.75" spans="1:6">
      <c r="A280" s="96" t="s">
        <v>286</v>
      </c>
      <c r="B280" s="100" t="s">
        <v>2581</v>
      </c>
      <c r="C280" s="110"/>
      <c r="D280" s="110"/>
      <c r="E280" s="110"/>
      <c r="F280" s="102">
        <v>0.05</v>
      </c>
    </row>
    <row r="281" ht="24.75" spans="1:6">
      <c r="A281" s="96" t="s">
        <v>286</v>
      </c>
      <c r="B281" s="100" t="s">
        <v>2585</v>
      </c>
      <c r="C281" s="110"/>
      <c r="D281" s="110"/>
      <c r="E281" s="110"/>
      <c r="F281" s="102">
        <v>0.05</v>
      </c>
    </row>
    <row r="282" ht="24.75" spans="1:6">
      <c r="A282" s="96" t="s">
        <v>286</v>
      </c>
      <c r="B282" s="100" t="s">
        <v>2589</v>
      </c>
      <c r="C282" s="110"/>
      <c r="D282" s="110"/>
      <c r="E282" s="110"/>
      <c r="F282" s="102">
        <v>0.05</v>
      </c>
    </row>
    <row r="283" ht="24.75" spans="1:6">
      <c r="A283" s="96" t="s">
        <v>286</v>
      </c>
      <c r="B283" s="100" t="s">
        <v>2593</v>
      </c>
      <c r="C283" s="110"/>
      <c r="D283" s="110"/>
      <c r="E283" s="110"/>
      <c r="F283" s="102">
        <v>0.05</v>
      </c>
    </row>
    <row r="284" ht="24.75" spans="1:6">
      <c r="A284" s="96" t="s">
        <v>286</v>
      </c>
      <c r="B284" s="100" t="s">
        <v>2596</v>
      </c>
      <c r="C284" s="110"/>
      <c r="D284" s="110"/>
      <c r="E284" s="110"/>
      <c r="F284" s="102">
        <v>0.05</v>
      </c>
    </row>
    <row r="285" ht="24.75" spans="1:6">
      <c r="A285" s="96" t="s">
        <v>286</v>
      </c>
      <c r="B285" s="100" t="s">
        <v>2599</v>
      </c>
      <c r="C285" s="110"/>
      <c r="D285" s="110"/>
      <c r="E285" s="110"/>
      <c r="F285" s="102">
        <v>0.05</v>
      </c>
    </row>
    <row r="286" ht="24.75" spans="1:6">
      <c r="A286" s="96" t="s">
        <v>286</v>
      </c>
      <c r="B286" s="100" t="s">
        <v>2602</v>
      </c>
      <c r="C286" s="110"/>
      <c r="D286" s="110"/>
      <c r="E286" s="110"/>
      <c r="F286" s="102">
        <v>0.05</v>
      </c>
    </row>
    <row r="287" ht="24.75" spans="1:6">
      <c r="A287" s="96" t="s">
        <v>286</v>
      </c>
      <c r="B287" s="100" t="s">
        <v>2605</v>
      </c>
      <c r="C287" s="110"/>
      <c r="D287" s="110"/>
      <c r="E287" s="110"/>
      <c r="F287" s="102">
        <v>0.05</v>
      </c>
    </row>
    <row r="288" ht="24.75" spans="1:6">
      <c r="A288" s="96" t="s">
        <v>286</v>
      </c>
      <c r="B288" s="100" t="s">
        <v>2608</v>
      </c>
      <c r="C288" s="110"/>
      <c r="D288" s="110"/>
      <c r="E288" s="110"/>
      <c r="F288" s="102">
        <v>0.05</v>
      </c>
    </row>
    <row r="289" ht="24.75" spans="1:6">
      <c r="A289" s="104" t="s">
        <v>286</v>
      </c>
      <c r="B289" s="111" t="s">
        <v>2611</v>
      </c>
      <c r="C289" s="107"/>
      <c r="D289" s="107"/>
      <c r="E289" s="107"/>
      <c r="F289" s="112">
        <v>0.05</v>
      </c>
    </row>
    <row r="290" ht="15.15" spans="1:6">
      <c r="A290" s="96" t="s">
        <v>289</v>
      </c>
      <c r="B290" s="97" t="s">
        <v>2285</v>
      </c>
      <c r="C290" s="98">
        <v>0.15</v>
      </c>
      <c r="D290" s="98">
        <v>0.15</v>
      </c>
      <c r="E290" s="98">
        <v>0.15</v>
      </c>
      <c r="F290" s="120"/>
    </row>
    <row r="291" ht="15.15" spans="1:6">
      <c r="A291" s="96" t="s">
        <v>289</v>
      </c>
      <c r="B291" s="100" t="s">
        <v>2298</v>
      </c>
      <c r="C291" s="101">
        <v>0.15</v>
      </c>
      <c r="D291" s="101">
        <v>0.15</v>
      </c>
      <c r="E291" s="101">
        <v>0.15</v>
      </c>
      <c r="F291" s="109"/>
    </row>
    <row r="292" ht="15.15" spans="1:6">
      <c r="A292" s="96" t="s">
        <v>289</v>
      </c>
      <c r="B292" s="100" t="s">
        <v>2312</v>
      </c>
      <c r="C292" s="101">
        <v>0.15</v>
      </c>
      <c r="D292" s="101">
        <v>0.15</v>
      </c>
      <c r="E292" s="101">
        <v>0.15</v>
      </c>
      <c r="F292" s="102">
        <v>0.147</v>
      </c>
    </row>
    <row r="293" ht="15.15" spans="1:6">
      <c r="A293" s="96" t="s">
        <v>289</v>
      </c>
      <c r="B293" s="100" t="s">
        <v>2618</v>
      </c>
      <c r="C293" s="110"/>
      <c r="D293" s="110"/>
      <c r="E293" s="110"/>
      <c r="F293" s="102">
        <v>0.1</v>
      </c>
    </row>
    <row r="294" ht="15.15" spans="1:6">
      <c r="A294" s="96" t="s">
        <v>289</v>
      </c>
      <c r="B294" s="100" t="s">
        <v>2324</v>
      </c>
      <c r="C294" s="101">
        <v>0.15</v>
      </c>
      <c r="D294" s="101">
        <v>0.15</v>
      </c>
      <c r="E294" s="101">
        <v>0.15</v>
      </c>
      <c r="F294" s="102">
        <v>0.15</v>
      </c>
    </row>
    <row r="295" ht="15.15" spans="1:6">
      <c r="A295" s="96" t="s">
        <v>289</v>
      </c>
      <c r="B295" s="100" t="s">
        <v>2336</v>
      </c>
      <c r="C295" s="101">
        <v>0.15</v>
      </c>
      <c r="D295" s="101">
        <v>0.15</v>
      </c>
      <c r="E295" s="101">
        <v>0.15</v>
      </c>
      <c r="F295" s="102">
        <v>0.15</v>
      </c>
    </row>
    <row r="296" ht="15.15" spans="1:6">
      <c r="A296" s="96" t="s">
        <v>289</v>
      </c>
      <c r="B296" s="100" t="s">
        <v>2347</v>
      </c>
      <c r="C296" s="101">
        <v>0.15</v>
      </c>
      <c r="D296" s="101">
        <v>0.15</v>
      </c>
      <c r="E296" s="101">
        <v>0.15</v>
      </c>
      <c r="F296" s="102">
        <v>0.15</v>
      </c>
    </row>
    <row r="297" ht="15.15" spans="1:6">
      <c r="A297" s="96" t="s">
        <v>289</v>
      </c>
      <c r="B297" s="100" t="s">
        <v>2358</v>
      </c>
      <c r="C297" s="101">
        <v>0.148</v>
      </c>
      <c r="D297" s="101">
        <v>0.149</v>
      </c>
      <c r="E297" s="101">
        <v>0.15</v>
      </c>
      <c r="F297" s="102">
        <v>0.137</v>
      </c>
    </row>
    <row r="298" ht="15.15" spans="1:6">
      <c r="A298" s="96" t="s">
        <v>289</v>
      </c>
      <c r="B298" s="100" t="s">
        <v>2369</v>
      </c>
      <c r="C298" s="101">
        <v>0.134</v>
      </c>
      <c r="D298" s="101">
        <v>0.134</v>
      </c>
      <c r="E298" s="101">
        <v>0.145</v>
      </c>
      <c r="F298" s="102">
        <v>0.148</v>
      </c>
    </row>
    <row r="299" ht="15.15" spans="1:6">
      <c r="A299" s="96" t="s">
        <v>289</v>
      </c>
      <c r="B299" s="100" t="s">
        <v>2379</v>
      </c>
      <c r="C299" s="101">
        <v>0.15</v>
      </c>
      <c r="D299" s="101">
        <v>0.15</v>
      </c>
      <c r="E299" s="101">
        <v>0.15</v>
      </c>
      <c r="F299" s="109"/>
    </row>
    <row r="300" ht="15.15" spans="1:6">
      <c r="A300" s="96" t="s">
        <v>289</v>
      </c>
      <c r="B300" s="100" t="s">
        <v>2389</v>
      </c>
      <c r="C300" s="101">
        <v>0.15</v>
      </c>
      <c r="D300" s="101">
        <v>0.15</v>
      </c>
      <c r="E300" s="101">
        <v>0.15</v>
      </c>
      <c r="F300" s="102">
        <v>0.15</v>
      </c>
    </row>
    <row r="301" ht="15.15" spans="1:6">
      <c r="A301" s="96" t="s">
        <v>289</v>
      </c>
      <c r="B301" s="100" t="s">
        <v>2399</v>
      </c>
      <c r="C301" s="101">
        <v>0.15</v>
      </c>
      <c r="D301" s="101">
        <v>0.15</v>
      </c>
      <c r="E301" s="101">
        <v>0.15</v>
      </c>
      <c r="F301" s="109"/>
    </row>
    <row r="302" ht="15.15" spans="1:6">
      <c r="A302" s="96" t="s">
        <v>289</v>
      </c>
      <c r="B302" s="100" t="s">
        <v>2409</v>
      </c>
      <c r="C302" s="101">
        <v>0.15</v>
      </c>
      <c r="D302" s="101">
        <v>0.15</v>
      </c>
      <c r="E302" s="101">
        <v>0.15</v>
      </c>
      <c r="F302" s="102">
        <v>0.15</v>
      </c>
    </row>
    <row r="303" ht="15.15" spans="1:6">
      <c r="A303" s="96" t="s">
        <v>289</v>
      </c>
      <c r="B303" s="100" t="s">
        <v>2419</v>
      </c>
      <c r="C303" s="101">
        <v>0.15</v>
      </c>
      <c r="D303" s="101">
        <v>0.15</v>
      </c>
      <c r="E303" s="101">
        <v>0.15</v>
      </c>
      <c r="F303" s="102">
        <v>0.15</v>
      </c>
    </row>
    <row r="304" ht="15.15" spans="1:6">
      <c r="A304" s="96" t="s">
        <v>289</v>
      </c>
      <c r="B304" s="100" t="s">
        <v>2429</v>
      </c>
      <c r="C304" s="101">
        <v>0.15</v>
      </c>
      <c r="D304" s="101">
        <v>0.15</v>
      </c>
      <c r="E304" s="101">
        <v>0.15</v>
      </c>
      <c r="F304" s="109"/>
    </row>
    <row r="305" ht="15.15" spans="1:6">
      <c r="A305" s="96" t="s">
        <v>289</v>
      </c>
      <c r="B305" s="100" t="s">
        <v>2439</v>
      </c>
      <c r="C305" s="101">
        <v>0.15</v>
      </c>
      <c r="D305" s="101">
        <v>0.15</v>
      </c>
      <c r="E305" s="101">
        <v>0.15</v>
      </c>
      <c r="F305" s="102">
        <v>0.14</v>
      </c>
    </row>
    <row r="306" ht="15.15" spans="1:6">
      <c r="A306" s="96" t="s">
        <v>289</v>
      </c>
      <c r="B306" s="100" t="s">
        <v>2449</v>
      </c>
      <c r="C306" s="101">
        <v>0.15</v>
      </c>
      <c r="D306" s="101">
        <v>0.15</v>
      </c>
      <c r="E306" s="101">
        <v>0.15</v>
      </c>
      <c r="F306" s="109"/>
    </row>
    <row r="307" ht="15.15" spans="1:6">
      <c r="A307" s="96" t="s">
        <v>289</v>
      </c>
      <c r="B307" s="100" t="s">
        <v>2459</v>
      </c>
      <c r="C307" s="101">
        <v>0.15</v>
      </c>
      <c r="D307" s="101">
        <v>0.15</v>
      </c>
      <c r="E307" s="101">
        <v>0.15</v>
      </c>
      <c r="F307" s="102">
        <v>0.143</v>
      </c>
    </row>
    <row r="308" ht="15.15" spans="1:6">
      <c r="A308" s="96" t="s">
        <v>289</v>
      </c>
      <c r="B308" s="100" t="s">
        <v>2469</v>
      </c>
      <c r="C308" s="101">
        <v>0.15</v>
      </c>
      <c r="D308" s="101">
        <v>0.15</v>
      </c>
      <c r="E308" s="101">
        <v>0.15</v>
      </c>
      <c r="F308" s="102">
        <v>0.15</v>
      </c>
    </row>
    <row r="309" ht="15.15" spans="1:6">
      <c r="A309" s="96" t="s">
        <v>289</v>
      </c>
      <c r="B309" s="100" t="s">
        <v>2479</v>
      </c>
      <c r="C309" s="101">
        <v>0.15</v>
      </c>
      <c r="D309" s="101">
        <v>0.15</v>
      </c>
      <c r="E309" s="101">
        <v>0.15</v>
      </c>
      <c r="F309" s="109"/>
    </row>
    <row r="310" ht="15.15" spans="1:6">
      <c r="A310" s="96" t="s">
        <v>289</v>
      </c>
      <c r="B310" s="100" t="s">
        <v>2488</v>
      </c>
      <c r="C310" s="101">
        <v>0.15</v>
      </c>
      <c r="D310" s="101">
        <v>0.15</v>
      </c>
      <c r="E310" s="101">
        <v>0.15</v>
      </c>
      <c r="F310" s="102">
        <v>0.137</v>
      </c>
    </row>
    <row r="311" ht="15.15" spans="1:6">
      <c r="A311" s="96" t="s">
        <v>289</v>
      </c>
      <c r="B311" s="100" t="s">
        <v>2496</v>
      </c>
      <c r="C311" s="101">
        <v>0.15</v>
      </c>
      <c r="D311" s="101">
        <v>0.15</v>
      </c>
      <c r="E311" s="101">
        <v>0.15</v>
      </c>
      <c r="F311" s="102">
        <v>0.15</v>
      </c>
    </row>
    <row r="312" ht="15.15" spans="1:6">
      <c r="A312" s="96" t="s">
        <v>289</v>
      </c>
      <c r="B312" s="100" t="s">
        <v>2504</v>
      </c>
      <c r="C312" s="101">
        <v>0.15</v>
      </c>
      <c r="D312" s="101">
        <v>0.15</v>
      </c>
      <c r="E312" s="101">
        <v>0.15</v>
      </c>
      <c r="F312" s="102">
        <v>0.1</v>
      </c>
    </row>
    <row r="313" ht="15.15" spans="1:6">
      <c r="A313" s="96" t="s">
        <v>289</v>
      </c>
      <c r="B313" s="100" t="s">
        <v>2511</v>
      </c>
      <c r="C313" s="101">
        <v>0.15</v>
      </c>
      <c r="D313" s="101">
        <v>0.15</v>
      </c>
      <c r="E313" s="101">
        <v>0.15</v>
      </c>
      <c r="F313" s="102">
        <v>0.15</v>
      </c>
    </row>
    <row r="314" ht="24.75" spans="1:6">
      <c r="A314" s="96" t="s">
        <v>289</v>
      </c>
      <c r="B314" s="100" t="s">
        <v>2518</v>
      </c>
      <c r="C314" s="110"/>
      <c r="D314" s="110"/>
      <c r="E314" s="110"/>
      <c r="F314" s="102">
        <v>0.05</v>
      </c>
    </row>
    <row r="315" ht="24.75" spans="1:6">
      <c r="A315" s="96" t="s">
        <v>289</v>
      </c>
      <c r="B315" s="100" t="s">
        <v>2525</v>
      </c>
      <c r="C315" s="110"/>
      <c r="D315" s="110"/>
      <c r="E315" s="110"/>
      <c r="F315" s="102">
        <v>0.05</v>
      </c>
    </row>
    <row r="316" ht="24.75" spans="1:6">
      <c r="A316" s="104" t="s">
        <v>289</v>
      </c>
      <c r="B316" s="111" t="s">
        <v>2532</v>
      </c>
      <c r="C316" s="107"/>
      <c r="D316" s="107"/>
      <c r="E316" s="107"/>
      <c r="F316" s="112">
        <v>0.05</v>
      </c>
    </row>
    <row r="317" ht="15.15" spans="1:6">
      <c r="A317" s="96" t="s">
        <v>292</v>
      </c>
      <c r="B317" s="97" t="s">
        <v>2286</v>
      </c>
      <c r="C317" s="98">
        <v>0.15</v>
      </c>
      <c r="D317" s="98">
        <v>0.15</v>
      </c>
      <c r="E317" s="98">
        <v>0.15</v>
      </c>
      <c r="F317" s="99">
        <v>0.15</v>
      </c>
    </row>
    <row r="318" ht="15.15" spans="1:6">
      <c r="A318" s="96" t="s">
        <v>292</v>
      </c>
      <c r="B318" s="100" t="s">
        <v>2299</v>
      </c>
      <c r="C318" s="101">
        <v>0.107</v>
      </c>
      <c r="D318" s="101">
        <v>0.11</v>
      </c>
      <c r="E318" s="101">
        <v>0.112</v>
      </c>
      <c r="F318" s="109"/>
    </row>
    <row r="319" ht="15.15" spans="1:6">
      <c r="A319" s="96" t="s">
        <v>292</v>
      </c>
      <c r="B319" s="100" t="s">
        <v>2313</v>
      </c>
      <c r="C319" s="101">
        <v>0.15</v>
      </c>
      <c r="D319" s="101">
        <v>0.15</v>
      </c>
      <c r="E319" s="101">
        <v>0.15</v>
      </c>
      <c r="F319" s="102">
        <v>0.15</v>
      </c>
    </row>
    <row r="320" ht="15.15" spans="1:6">
      <c r="A320" s="96" t="s">
        <v>292</v>
      </c>
      <c r="B320" s="100" t="s">
        <v>2325</v>
      </c>
      <c r="C320" s="101">
        <v>0.15</v>
      </c>
      <c r="D320" s="101">
        <v>0.15</v>
      </c>
      <c r="E320" s="101">
        <v>0.15</v>
      </c>
      <c r="F320" s="109"/>
    </row>
    <row r="321" ht="15.15" spans="1:6">
      <c r="A321" s="96" t="s">
        <v>292</v>
      </c>
      <c r="B321" s="100" t="s">
        <v>2337</v>
      </c>
      <c r="C321" s="101">
        <v>0.15</v>
      </c>
      <c r="D321" s="101">
        <v>0.15</v>
      </c>
      <c r="E321" s="101">
        <v>0.15</v>
      </c>
      <c r="F321" s="109"/>
    </row>
    <row r="322" ht="15.15" spans="1:6">
      <c r="A322" s="96" t="s">
        <v>292</v>
      </c>
      <c r="B322" s="100" t="s">
        <v>2348</v>
      </c>
      <c r="C322" s="101">
        <v>0.15</v>
      </c>
      <c r="D322" s="101">
        <v>0.15</v>
      </c>
      <c r="E322" s="101">
        <v>0.15</v>
      </c>
      <c r="F322" s="102">
        <v>0.15</v>
      </c>
    </row>
    <row r="323" ht="15.15" spans="1:6">
      <c r="A323" s="96" t="s">
        <v>292</v>
      </c>
      <c r="B323" s="100" t="s">
        <v>2359</v>
      </c>
      <c r="C323" s="101">
        <v>0.15</v>
      </c>
      <c r="D323" s="101">
        <v>0.15</v>
      </c>
      <c r="E323" s="101">
        <v>0.15</v>
      </c>
      <c r="F323" s="109"/>
    </row>
    <row r="324" ht="15.15" spans="1:6">
      <c r="A324" s="96" t="s">
        <v>292</v>
      </c>
      <c r="B324" s="100" t="s">
        <v>2370</v>
      </c>
      <c r="C324" s="101">
        <v>0.15</v>
      </c>
      <c r="D324" s="101">
        <v>0.15</v>
      </c>
      <c r="E324" s="101">
        <v>0.15</v>
      </c>
      <c r="F324" s="109"/>
    </row>
    <row r="325" ht="15.15" spans="1:6">
      <c r="A325" s="96" t="s">
        <v>292</v>
      </c>
      <c r="B325" s="100" t="s">
        <v>2380</v>
      </c>
      <c r="C325" s="101">
        <v>0.15</v>
      </c>
      <c r="D325" s="101">
        <v>0.15</v>
      </c>
      <c r="E325" s="101">
        <v>0.15</v>
      </c>
      <c r="F325" s="102">
        <v>0.147</v>
      </c>
    </row>
    <row r="326" ht="15.15" spans="1:6">
      <c r="A326" s="96" t="s">
        <v>292</v>
      </c>
      <c r="B326" s="100" t="s">
        <v>2390</v>
      </c>
      <c r="C326" s="101">
        <v>0.15</v>
      </c>
      <c r="D326" s="101">
        <v>0.15</v>
      </c>
      <c r="E326" s="101">
        <v>0.15</v>
      </c>
      <c r="F326" s="109"/>
    </row>
    <row r="327" ht="15.15" spans="1:6">
      <c r="A327" s="96" t="s">
        <v>292</v>
      </c>
      <c r="B327" s="100" t="s">
        <v>2400</v>
      </c>
      <c r="C327" s="101">
        <v>0.15</v>
      </c>
      <c r="D327" s="101">
        <v>0.15</v>
      </c>
      <c r="E327" s="101">
        <v>0.15</v>
      </c>
      <c r="F327" s="102">
        <v>0.15</v>
      </c>
    </row>
    <row r="328" ht="15.15" spans="1:6">
      <c r="A328" s="96" t="s">
        <v>292</v>
      </c>
      <c r="B328" s="100" t="s">
        <v>2410</v>
      </c>
      <c r="C328" s="101">
        <v>0.15</v>
      </c>
      <c r="D328" s="101">
        <v>0.15</v>
      </c>
      <c r="E328" s="101">
        <v>0.15</v>
      </c>
      <c r="F328" s="102">
        <v>0.141</v>
      </c>
    </row>
    <row r="329" ht="15.15" spans="1:6">
      <c r="A329" s="96" t="s">
        <v>292</v>
      </c>
      <c r="B329" s="100" t="s">
        <v>2420</v>
      </c>
      <c r="C329" s="101">
        <v>0.15</v>
      </c>
      <c r="D329" s="101">
        <v>0.15</v>
      </c>
      <c r="E329" s="101">
        <v>0.15</v>
      </c>
      <c r="F329" s="102">
        <v>0.15</v>
      </c>
    </row>
    <row r="330" ht="15.15" spans="1:6">
      <c r="A330" s="96" t="s">
        <v>292</v>
      </c>
      <c r="B330" s="100" t="s">
        <v>2430</v>
      </c>
      <c r="C330" s="101">
        <v>0.15</v>
      </c>
      <c r="D330" s="101">
        <v>0.15</v>
      </c>
      <c r="E330" s="101">
        <v>0.15</v>
      </c>
      <c r="F330" s="109"/>
    </row>
    <row r="331" ht="15.15" spans="1:6">
      <c r="A331" s="96" t="s">
        <v>292</v>
      </c>
      <c r="B331" s="100" t="s">
        <v>2440</v>
      </c>
      <c r="C331" s="101">
        <v>0.15</v>
      </c>
      <c r="D331" s="101">
        <v>0.15</v>
      </c>
      <c r="E331" s="101">
        <v>0.15</v>
      </c>
      <c r="F331" s="102">
        <v>0.15</v>
      </c>
    </row>
    <row r="332" ht="15.15" spans="1:6">
      <c r="A332" s="96" t="s">
        <v>292</v>
      </c>
      <c r="B332" s="100" t="s">
        <v>2450</v>
      </c>
      <c r="C332" s="101">
        <v>0.15</v>
      </c>
      <c r="D332" s="101">
        <v>0.15</v>
      </c>
      <c r="E332" s="101">
        <v>0.15</v>
      </c>
      <c r="F332" s="102">
        <v>0.15</v>
      </c>
    </row>
    <row r="333" ht="15.15" spans="1:6">
      <c r="A333" s="96" t="s">
        <v>292</v>
      </c>
      <c r="B333" s="100" t="s">
        <v>2460</v>
      </c>
      <c r="C333" s="101">
        <v>0.15</v>
      </c>
      <c r="D333" s="101">
        <v>0.15</v>
      </c>
      <c r="E333" s="101">
        <v>0.15</v>
      </c>
      <c r="F333" s="102">
        <v>0.141</v>
      </c>
    </row>
    <row r="334" ht="15.15" spans="1:6">
      <c r="A334" s="96" t="s">
        <v>292</v>
      </c>
      <c r="B334" s="100" t="s">
        <v>2470</v>
      </c>
      <c r="C334" s="101">
        <v>0.15</v>
      </c>
      <c r="D334" s="101">
        <v>0.15</v>
      </c>
      <c r="E334" s="101">
        <v>0.15</v>
      </c>
      <c r="F334" s="102">
        <v>0.15</v>
      </c>
    </row>
    <row r="335" ht="15.15" spans="1:6">
      <c r="A335" s="96" t="s">
        <v>292</v>
      </c>
      <c r="B335" s="100" t="s">
        <v>2480</v>
      </c>
      <c r="C335" s="101">
        <v>0.15</v>
      </c>
      <c r="D335" s="101">
        <v>0.15</v>
      </c>
      <c r="E335" s="101">
        <v>0.15</v>
      </c>
      <c r="F335" s="109"/>
    </row>
    <row r="336" ht="15.15" spans="1:6">
      <c r="A336" s="96" t="s">
        <v>292</v>
      </c>
      <c r="B336" s="100" t="s">
        <v>2489</v>
      </c>
      <c r="C336" s="101">
        <v>0.15</v>
      </c>
      <c r="D336" s="101">
        <v>0.15</v>
      </c>
      <c r="E336" s="101">
        <v>0.15</v>
      </c>
      <c r="F336" s="102">
        <v>0.118</v>
      </c>
    </row>
    <row r="337" ht="15.15" spans="1:6">
      <c r="A337" s="104" t="s">
        <v>292</v>
      </c>
      <c r="B337" s="111" t="s">
        <v>2497</v>
      </c>
      <c r="C337" s="107"/>
      <c r="D337" s="107"/>
      <c r="E337" s="107"/>
      <c r="F337" s="112">
        <v>0.143</v>
      </c>
    </row>
    <row r="338" ht="15.15" spans="1:6">
      <c r="A338" s="96" t="s">
        <v>295</v>
      </c>
      <c r="B338" s="97" t="s">
        <v>2287</v>
      </c>
      <c r="C338" s="98">
        <v>0.15</v>
      </c>
      <c r="D338" s="98">
        <v>0.15</v>
      </c>
      <c r="E338" s="98">
        <v>0.15</v>
      </c>
      <c r="F338" s="120"/>
    </row>
    <row r="339" ht="15.15" spans="1:6">
      <c r="A339" s="96" t="s">
        <v>295</v>
      </c>
      <c r="B339" s="100" t="s">
        <v>2300</v>
      </c>
      <c r="C339" s="101">
        <v>0.15</v>
      </c>
      <c r="D339" s="101">
        <v>0.15</v>
      </c>
      <c r="E339" s="101">
        <v>0.15</v>
      </c>
      <c r="F339" s="109"/>
    </row>
    <row r="340" ht="15.15" spans="1:6">
      <c r="A340" s="96" t="s">
        <v>295</v>
      </c>
      <c r="B340" s="100" t="s">
        <v>2314</v>
      </c>
      <c r="C340" s="101">
        <v>0.15</v>
      </c>
      <c r="D340" s="101">
        <v>0.15</v>
      </c>
      <c r="E340" s="101">
        <v>0.15</v>
      </c>
      <c r="F340" s="109"/>
    </row>
    <row r="341" ht="15.15" spans="1:6">
      <c r="A341" s="96" t="s">
        <v>295</v>
      </c>
      <c r="B341" s="100" t="s">
        <v>2326</v>
      </c>
      <c r="C341" s="101">
        <v>0.15</v>
      </c>
      <c r="D341" s="101">
        <v>0.15</v>
      </c>
      <c r="E341" s="101">
        <v>0.15</v>
      </c>
      <c r="F341" s="102">
        <v>0.15</v>
      </c>
    </row>
    <row r="342" ht="15.15" spans="1:6">
      <c r="A342" s="96" t="s">
        <v>295</v>
      </c>
      <c r="B342" s="100" t="s">
        <v>2338</v>
      </c>
      <c r="C342" s="101">
        <v>0.15</v>
      </c>
      <c r="D342" s="101">
        <v>0.15</v>
      </c>
      <c r="E342" s="101">
        <v>0.15</v>
      </c>
      <c r="F342" s="102">
        <v>0.15</v>
      </c>
    </row>
    <row r="343" ht="15.15" spans="1:6">
      <c r="A343" s="96" t="s">
        <v>295</v>
      </c>
      <c r="B343" s="100" t="s">
        <v>2349</v>
      </c>
      <c r="C343" s="101">
        <v>0.15</v>
      </c>
      <c r="D343" s="101">
        <v>0.15</v>
      </c>
      <c r="E343" s="101">
        <v>0.15</v>
      </c>
      <c r="F343" s="102">
        <v>0.15</v>
      </c>
    </row>
    <row r="344" ht="15.15" spans="1:6">
      <c r="A344" s="104" t="s">
        <v>295</v>
      </c>
      <c r="B344" s="111" t="s">
        <v>2360</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2621</v>
      </c>
      <c r="C1" s="24">
        <f>项目基本情况!D3</f>
        <v>44858</v>
      </c>
      <c r="D1" s="23" t="s">
        <v>2622</v>
      </c>
      <c r="E1" s="25">
        <f>'数据-取费表'!B22</f>
        <v>2</v>
      </c>
      <c r="F1" s="23" t="s">
        <v>2623</v>
      </c>
      <c r="G1" s="26">
        <f ca="1">INDIRECT("d"&amp;$K$1)/100</f>
        <v>0.0365</v>
      </c>
      <c r="H1" s="23" t="s">
        <v>2624</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2648</v>
      </c>
      <c r="C13" s="65">
        <v>44795</v>
      </c>
      <c r="D13" s="66">
        <v>3.65</v>
      </c>
      <c r="E13" s="66">
        <f>D13</f>
        <v>3.65</v>
      </c>
      <c r="F13" s="66">
        <f>D13</f>
        <v>3.65</v>
      </c>
      <c r="G13" s="66">
        <f>D13</f>
        <v>3.65</v>
      </c>
      <c r="H13" s="66">
        <v>4.3</v>
      </c>
      <c r="I13" s="66"/>
      <c r="J13" s="66"/>
      <c r="K13" s="63"/>
      <c r="L13" s="64" t="s">
        <v>2648</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2649</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2650</v>
      </c>
      <c r="Y45" s="68" t="s">
        <v>2650</v>
      </c>
      <c r="Z45" s="68" t="s">
        <v>2650</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 t="s">
        <v>2651</v>
      </c>
      <c r="E1" s="5" t="s">
        <v>2652</v>
      </c>
      <c r="F1" s="6" t="s">
        <v>2653</v>
      </c>
    </row>
    <row r="2" ht="19.8" spans="1:1">
      <c r="A2" s="7" t="s">
        <v>2654</v>
      </c>
    </row>
    <row r="3" ht="15.6" spans="1:1">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
  <sheetViews>
    <sheetView tabSelected="1" workbookViewId="0">
      <selection activeCell="N20" sqref="N20"/>
    </sheetView>
  </sheetViews>
  <sheetFormatPr defaultColWidth="8.88888888888889" defaultRowHeight="14.4" outlineLevelRow="5"/>
  <cols>
    <col min="1" max="1" width="18.7777777777778" customWidth="1"/>
    <col min="2" max="2" width="49.1111111111111" customWidth="1"/>
    <col min="13" max="13" width="12.8888888888889"/>
    <col min="16" max="16" width="11.7777777777778"/>
  </cols>
  <sheetData>
    <row r="1" s="1" customFormat="1" ht="19.95" customHeight="1" spans="1:14">
      <c r="A1" s="2" t="s">
        <v>2661</v>
      </c>
      <c r="B1" s="2" t="s">
        <v>2662</v>
      </c>
      <c r="L1" s="1" t="s">
        <v>2663</v>
      </c>
      <c r="M1" s="1" t="s">
        <v>468</v>
      </c>
      <c r="N1" s="1" t="s">
        <v>467</v>
      </c>
    </row>
    <row r="2" s="1" customFormat="1" ht="19.95" customHeight="1" spans="1:14">
      <c r="A2" s="2" t="s">
        <v>2664</v>
      </c>
      <c r="B2" s="2">
        <v>4.59</v>
      </c>
      <c r="L2" s="1">
        <v>501</v>
      </c>
      <c r="M2" s="1">
        <v>519.16</v>
      </c>
      <c r="N2" s="1">
        <v>66.34</v>
      </c>
    </row>
    <row r="3" s="1" customFormat="1" ht="19.95" customHeight="1" spans="1:14">
      <c r="A3" s="2" t="s">
        <v>2665</v>
      </c>
      <c r="B3" s="2">
        <v>4.68</v>
      </c>
      <c r="L3" s="1">
        <v>506</v>
      </c>
      <c r="M3" s="1">
        <v>364.35</v>
      </c>
      <c r="N3" s="1">
        <v>46.56</v>
      </c>
    </row>
    <row r="4" s="1" customFormat="1" ht="45" customHeight="1" spans="1:14">
      <c r="A4" s="2" t="s">
        <v>1032</v>
      </c>
      <c r="B4" s="2" t="s">
        <v>2666</v>
      </c>
      <c r="L4" s="3" t="s">
        <v>2667</v>
      </c>
      <c r="M4" s="1">
        <v>2440.49</v>
      </c>
      <c r="N4" s="1">
        <v>311.86</v>
      </c>
    </row>
    <row r="5" spans="1:16">
      <c r="A5" s="2" t="s">
        <v>2668</v>
      </c>
      <c r="B5" s="2">
        <f>'比较法-办公'!C50</f>
        <v>4.98</v>
      </c>
      <c r="C5">
        <f>B5*0.9</f>
        <v>4.482</v>
      </c>
      <c r="D5">
        <f>B5*1.1</f>
        <v>5.478</v>
      </c>
      <c r="M5" s="1">
        <f>SUM(M2:M4)</f>
        <v>3324</v>
      </c>
      <c r="N5" s="1">
        <f>SUM(N2:N4)</f>
        <v>424.76</v>
      </c>
      <c r="O5" s="1"/>
      <c r="P5">
        <f>M5/N5</f>
        <v>7.82559563047368</v>
      </c>
    </row>
    <row r="6" spans="13:13">
      <c r="M6">
        <f>2300/M5*N5</f>
        <v>293.90734055355</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3" customWidth="1"/>
    <col min="2" max="9" width="12.1111111111111" style="383" customWidth="1"/>
    <col min="10" max="16384" width="9" style="383"/>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2791.88</v>
      </c>
      <c r="C4" s="3432">
        <f>项目基本情况!C18</f>
        <v>0</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3" customWidth="1"/>
    <col min="2" max="3" width="22.3333333333333" style="383" customWidth="1"/>
    <col min="4" max="4" width="23" style="383" customWidth="1"/>
    <col min="5" max="16384" width="9" style="383"/>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44866</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2022-11-01T02:19:33Z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