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G:\高鹏\项目\军队-延庆项目\测算\"/>
    </mc:Choice>
  </mc:AlternateContent>
  <xr:revisionPtr revIDLastSave="0" documentId="13_ncr:1_{593AC7E2-6CEA-43D9-AEC4-91E5373FDE5B}" xr6:coauthVersionLast="47" xr6:coauthVersionMax="47" xr10:uidLastSave="{00000000-0000-0000-0000-000000000000}"/>
  <bookViews>
    <workbookView xWindow="-120" yWindow="-120" windowWidth="38640" windowHeight="21240" tabRatio="875" firstSheet="10"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案例" sheetId="73" r:id="rId22"/>
    <sheet name="地价 (2)" sheetId="72"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22">'地价 (2)'!$A$1:$V$87</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 localSheetId="22">[1]定义!$M$1:$M$6</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地下">'[1]2014基准地价'!$B$33:$B$39</definedName>
    <definedName name="二级">区片价!$K$1:$K$21</definedName>
    <definedName name="二级分类" localSheetId="22">'[1]2014修正'!$C$17:$C$39</definedName>
    <definedName name="二级分类">修正!$C$19:$C$51</definedName>
    <definedName name="法定最高年限" localSheetId="22">[1]定义!$G$1:$G$4</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 localSheetId="22">[1]定义!$Q$1:$Q$6</definedName>
    <definedName name="公共配套设施">定义!$Q$1:$Q$6</definedName>
    <definedName name="估价范围判定">定义!$D$1:$D$4</definedName>
    <definedName name="估价方法" localSheetId="22">[1]定义!$B$1:$B$50</definedName>
    <definedName name="估价方法">定义!$B$1:$B$50</definedName>
    <definedName name="估价目的">[1]定义!#REF!</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 localSheetId="22">'地价 (2)'!$A$3:$A$38</definedName>
    <definedName name="季度2014">地价!$A$2:$A$41</definedName>
    <definedName name="价值类型2" localSheetId="22">[1]定义!#REF!</definedName>
    <definedName name="价值类型2">定义!$B$54:$B$56</definedName>
    <definedName name="交通便捷度" localSheetId="22">[1]定义!$O$1:$O$6</definedName>
    <definedName name="交通便捷度">定义!$O$1:$O$6</definedName>
    <definedName name="结构">[1]定义!$X:$X</definedName>
    <definedName name="仅抵押价值">[1]定义!#REF!</definedName>
    <definedName name="九级">区片价!$R$1:$R$51</definedName>
    <definedName name="居住社区成熟度" localSheetId="22">[1]定义!$K$1:$K$6</definedName>
    <definedName name="居住社区成熟度">定义!$K$1:$K$6</definedName>
    <definedName name="类别">定义!$J$1:$J$3</definedName>
    <definedName name="临街状况" localSheetId="22">[1]定义!$T$1:$T$5</definedName>
    <definedName name="临街状况">定义!$T$1:$T$5</definedName>
    <definedName name="六级">区片价!$O$1:$O$64</definedName>
    <definedName name="内部装修维护情况">定义!$U$1:$U$6</definedName>
    <definedName name="七级">区片价!$P$1:$P$45</definedName>
    <definedName name="七通一平" localSheetId="22">'[1]2014修正'!$A$6:$A$14</definedName>
    <definedName name="七通一平">修正!$A$8:$A$16</definedName>
    <definedName name="区域土地利用方向" localSheetId="22">[1]定义!$P$1:$P$6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 localSheetId="22">'[1]2014修正'!$C$59:$C$119</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#REF!</definedName>
    <definedName name="套工地质条件">#REF!</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 localSheetId="22">#REF!</definedName>
    <definedName name="套工土地级别">'比较法-工业'!$B$100:$M$100</definedName>
    <definedName name="套工用途" localSheetId="22">#REF!</definedName>
    <definedName name="套工用途">'比较法-工业'!$B$71:$M$71</definedName>
    <definedName name="套工宗地内开发程度">#REF!</definedName>
    <definedName name="套工宗地形状" localSheetId="22">#REF!</definedName>
    <definedName name="套工宗地形状">'比较法-工业'!$B$111:$M$111</definedName>
    <definedName name="套综道路等级" localSheetId="22">[1]比较法!$B$94:$M$94</definedName>
    <definedName name="套综道路等级">'比较法-住宅、综合'!$B$107:$M$107</definedName>
    <definedName name="套综工程地质条件" localSheetId="22">[1]比较法!$B$113:$M$113</definedName>
    <definedName name="套综工程地质条件">'比较法-住宅、综合'!$B$126:$M$126</definedName>
    <definedName name="套综交易情况" localSheetId="22">[1]比较法!$A$61:$M$61</definedName>
    <definedName name="套综交易情况">'比较法-住宅、综合'!$A$74:$M$74</definedName>
    <definedName name="套综临街宽度及深度" localSheetId="22">[1]比较法!$B$109:$M$109</definedName>
    <definedName name="套综临街宽度及深度">'比较法-住宅、综合'!$B$122:$M$122</definedName>
    <definedName name="套综土地级别" localSheetId="22">[1]比较法!$B$96:$M$96</definedName>
    <definedName name="套综土地级别">'比较法-住宅、综合'!$B$109:$M$109</definedName>
    <definedName name="套综用途" localSheetId="22">[1]比较法!$B$63:$M$63</definedName>
    <definedName name="套综用途">'比较法-住宅、综合'!$B$76:$M$76</definedName>
    <definedName name="套综宗地内开发程度" localSheetId="22">[1]比较法!$B$111:$M$111</definedName>
    <definedName name="套综宗地内开发程度">'比较法-住宅、综合'!$B$124:$M$124</definedName>
    <definedName name="套综宗地形状" localSheetId="22">[1]比较法!$B$107:$M$107</definedName>
    <definedName name="套综宗地形状">'比较法-住宅、综合'!$B$120:$M$120</definedName>
    <definedName name="土地估价师">估价师及机构信息!$D$3:$D$17</definedName>
    <definedName name="土地级别" localSheetId="22">[1]定义!$C$1:$C$13</definedName>
    <definedName name="土地级别">定义!$C$1:$C$14</definedName>
    <definedName name="土地利用方向">定义!$P$1:$P$6</definedName>
    <definedName name="土地年限区间">定义!$I$1:$I$16</definedName>
    <definedName name="位置">定义!$E$2:$E$4</definedName>
    <definedName name="五等判定" localSheetId="22">[1]定义!$W$1:$W$6</definedName>
    <definedName name="五等判定">定义!$W$1:$W$6</definedName>
    <definedName name="五级">区片价!$N$1:$N$41</definedName>
    <definedName name="项目类型" localSheetId="34">'[2]数据-汇总表'!$C$17:$C$26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B14" i="66" l="1"/>
  <c r="C14" i="66"/>
  <c r="C19" i="9"/>
  <c r="I13" i="3"/>
  <c r="E4" i="73"/>
  <c r="D4" i="73"/>
  <c r="D14" i="9"/>
  <c r="D118" i="40"/>
  <c r="J12" i="40"/>
  <c r="H12" i="40"/>
  <c r="F12" i="40"/>
  <c r="F67" i="40"/>
  <c r="G67" i="40"/>
  <c r="H67" i="40"/>
  <c r="I67" i="40"/>
  <c r="E67" i="40"/>
  <c r="D67" i="40"/>
  <c r="E133" i="40"/>
  <c r="F133" i="40"/>
  <c r="G133" i="40"/>
  <c r="H133" i="40"/>
  <c r="I133" i="40"/>
  <c r="D133" i="40"/>
  <c r="C133" i="40"/>
  <c r="I132" i="40"/>
  <c r="H132" i="40"/>
  <c r="G132" i="40"/>
  <c r="F132" i="40"/>
  <c r="E132" i="40"/>
  <c r="D132" i="40"/>
  <c r="C132" i="40"/>
  <c r="D87" i="72"/>
  <c r="F86" i="72"/>
  <c r="E86" i="72"/>
  <c r="D86" i="72"/>
  <c r="C86" i="72"/>
  <c r="B86" i="72"/>
  <c r="F85" i="72"/>
  <c r="E85" i="72"/>
  <c r="E84" i="72" s="1"/>
  <c r="C85" i="72"/>
  <c r="D85" i="72" s="1"/>
  <c r="B85" i="72"/>
  <c r="F84" i="72"/>
  <c r="C84" i="72"/>
  <c r="D84" i="72" s="1"/>
  <c r="B84" i="72"/>
  <c r="D83" i="72"/>
  <c r="F82" i="72"/>
  <c r="E82" i="72"/>
  <c r="D82" i="72"/>
  <c r="C82" i="72"/>
  <c r="B82" i="72"/>
  <c r="F81" i="72"/>
  <c r="E81" i="72"/>
  <c r="E80" i="72" s="1"/>
  <c r="C81" i="72"/>
  <c r="D81" i="72" s="1"/>
  <c r="B81" i="72"/>
  <c r="F80" i="72"/>
  <c r="C80" i="72"/>
  <c r="D80" i="72" s="1"/>
  <c r="B80" i="72"/>
  <c r="D79" i="72"/>
  <c r="T78" i="72"/>
  <c r="Q78" i="72"/>
  <c r="P78" i="72"/>
  <c r="O78" i="72"/>
  <c r="N78" i="72"/>
  <c r="F78" i="72"/>
  <c r="V78" i="72" s="1"/>
  <c r="E78" i="72"/>
  <c r="U78" i="72" s="1"/>
  <c r="D78" i="72"/>
  <c r="C78" i="72"/>
  <c r="B78" i="72"/>
  <c r="S78" i="72" s="1"/>
  <c r="Q77" i="72"/>
  <c r="P77" i="72"/>
  <c r="O77" i="72"/>
  <c r="N77" i="72"/>
  <c r="F77" i="72"/>
  <c r="E77" i="72"/>
  <c r="E76" i="72" s="1"/>
  <c r="C77" i="72"/>
  <c r="D77" i="72" s="1"/>
  <c r="B77" i="72"/>
  <c r="Q76" i="72"/>
  <c r="P76" i="72"/>
  <c r="O76" i="72"/>
  <c r="N76" i="72"/>
  <c r="F76" i="72"/>
  <c r="C76" i="72"/>
  <c r="D76" i="72" s="1"/>
  <c r="B76" i="72"/>
  <c r="Q75" i="72"/>
  <c r="P75" i="72"/>
  <c r="O75" i="72"/>
  <c r="N75" i="72"/>
  <c r="D75" i="72"/>
  <c r="T74" i="72"/>
  <c r="Q74" i="72"/>
  <c r="P74" i="72"/>
  <c r="O74" i="72"/>
  <c r="N74" i="72"/>
  <c r="F74" i="72"/>
  <c r="V74" i="72" s="1"/>
  <c r="E74" i="72"/>
  <c r="U74" i="72" s="1"/>
  <c r="D74" i="72"/>
  <c r="C74" i="72"/>
  <c r="B74" i="72"/>
  <c r="S74" i="72" s="1"/>
  <c r="Q73" i="72"/>
  <c r="P73" i="72"/>
  <c r="O73" i="72"/>
  <c r="N73" i="72"/>
  <c r="F73" i="72"/>
  <c r="E73" i="72"/>
  <c r="E72" i="72" s="1"/>
  <c r="C73" i="72"/>
  <c r="D73" i="72" s="1"/>
  <c r="B73" i="72"/>
  <c r="Q72" i="72"/>
  <c r="P72" i="72"/>
  <c r="O72" i="72"/>
  <c r="N72" i="72"/>
  <c r="F72" i="72"/>
  <c r="C72" i="72"/>
  <c r="D72" i="72" s="1"/>
  <c r="B72" i="72"/>
  <c r="Q71" i="72"/>
  <c r="P71" i="72"/>
  <c r="O71" i="72"/>
  <c r="N71" i="72"/>
  <c r="D71" i="72"/>
  <c r="T70" i="72"/>
  <c r="Q70" i="72"/>
  <c r="P70" i="72"/>
  <c r="O70" i="72"/>
  <c r="N70" i="72"/>
  <c r="F70" i="72"/>
  <c r="V70" i="72" s="1"/>
  <c r="E70" i="72"/>
  <c r="U70" i="72" s="1"/>
  <c r="D70" i="72"/>
  <c r="C70" i="72"/>
  <c r="B70" i="72"/>
  <c r="S70" i="72" s="1"/>
  <c r="Q69" i="72"/>
  <c r="P69" i="72"/>
  <c r="O69" i="72"/>
  <c r="N69" i="72"/>
  <c r="F69" i="72"/>
  <c r="E69" i="72"/>
  <c r="E68" i="72" s="1"/>
  <c r="C69" i="72"/>
  <c r="D69" i="72" s="1"/>
  <c r="B69" i="72"/>
  <c r="Q68" i="72"/>
  <c r="P68" i="72"/>
  <c r="O68" i="72"/>
  <c r="N68" i="72"/>
  <c r="F68" i="72"/>
  <c r="C68" i="72"/>
  <c r="D68" i="72" s="1"/>
  <c r="B68" i="72"/>
  <c r="Q67" i="72"/>
  <c r="P67" i="72"/>
  <c r="O67" i="72"/>
  <c r="N67" i="72"/>
  <c r="D67" i="72"/>
  <c r="T66" i="72"/>
  <c r="O66" i="72"/>
  <c r="F66" i="72"/>
  <c r="V66" i="72" s="1"/>
  <c r="E66" i="72"/>
  <c r="U66" i="72" s="1"/>
  <c r="D66" i="72"/>
  <c r="C66" i="72"/>
  <c r="B66" i="72"/>
  <c r="S66" i="72" s="1"/>
  <c r="F65" i="72"/>
  <c r="Q65" i="72" s="1"/>
  <c r="E65" i="72"/>
  <c r="E64" i="72" s="1"/>
  <c r="C65" i="72"/>
  <c r="O65" i="72" s="1"/>
  <c r="B65" i="72"/>
  <c r="N65" i="72" s="1"/>
  <c r="F64" i="72"/>
  <c r="Q63" i="72" s="1"/>
  <c r="C64" i="72"/>
  <c r="O64" i="72" s="1"/>
  <c r="B64" i="72"/>
  <c r="N64" i="72" s="1"/>
  <c r="O63" i="72"/>
  <c r="N63" i="72"/>
  <c r="D63" i="72"/>
  <c r="Q62" i="72"/>
  <c r="P62" i="72"/>
  <c r="O62" i="72"/>
  <c r="N62" i="72"/>
  <c r="Q61" i="72"/>
  <c r="P61" i="72"/>
  <c r="O61" i="72"/>
  <c r="N61" i="72"/>
  <c r="Q60" i="72"/>
  <c r="P60" i="72"/>
  <c r="O60" i="72"/>
  <c r="N60" i="72"/>
  <c r="F60" i="72"/>
  <c r="F61" i="72" s="1"/>
  <c r="F62" i="72" s="1"/>
  <c r="V62" i="72" s="1"/>
  <c r="Q59" i="72"/>
  <c r="P59" i="72"/>
  <c r="E60" i="72" s="1"/>
  <c r="E61" i="72" s="1"/>
  <c r="E62" i="72" s="1"/>
  <c r="U62" i="72" s="1"/>
  <c r="O59" i="72"/>
  <c r="C60" i="72" s="1"/>
  <c r="N59" i="72"/>
  <c r="B60" i="72" s="1"/>
  <c r="B61" i="72" s="1"/>
  <c r="B62" i="72" s="1"/>
  <c r="S62" i="72" s="1"/>
  <c r="D59" i="72"/>
  <c r="Q58" i="72"/>
  <c r="P58" i="72"/>
  <c r="O58" i="72"/>
  <c r="N58" i="72"/>
  <c r="Q57" i="72"/>
  <c r="P57" i="72"/>
  <c r="O57" i="72"/>
  <c r="N57" i="72"/>
  <c r="Q56" i="72"/>
  <c r="P56" i="72"/>
  <c r="O56" i="72"/>
  <c r="N56" i="72"/>
  <c r="F56" i="72"/>
  <c r="F57" i="72" s="1"/>
  <c r="F58" i="72" s="1"/>
  <c r="V58" i="72" s="1"/>
  <c r="Q55" i="72"/>
  <c r="P55" i="72"/>
  <c r="E56" i="72" s="1"/>
  <c r="E57" i="72" s="1"/>
  <c r="E58" i="72" s="1"/>
  <c r="U58" i="72" s="1"/>
  <c r="O55" i="72"/>
  <c r="C56" i="72" s="1"/>
  <c r="N55" i="72"/>
  <c r="B56" i="72" s="1"/>
  <c r="B57" i="72" s="1"/>
  <c r="B58" i="72" s="1"/>
  <c r="S58" i="72" s="1"/>
  <c r="D55" i="72"/>
  <c r="Q54" i="72"/>
  <c r="P54" i="72"/>
  <c r="O54" i="72"/>
  <c r="N54" i="72"/>
  <c r="Q53" i="72"/>
  <c r="P53" i="72"/>
  <c r="O53" i="72"/>
  <c r="N53" i="72"/>
  <c r="Q52" i="72"/>
  <c r="P52" i="72"/>
  <c r="O52" i="72"/>
  <c r="N52" i="72"/>
  <c r="F52" i="72"/>
  <c r="Q51" i="72"/>
  <c r="P51" i="72"/>
  <c r="E52" i="72" s="1"/>
  <c r="E53" i="72" s="1"/>
  <c r="E54" i="72" s="1"/>
  <c r="U54" i="72" s="1"/>
  <c r="O51" i="72"/>
  <c r="C52" i="72" s="1"/>
  <c r="N51" i="72"/>
  <c r="B52" i="72" s="1"/>
  <c r="B53" i="72" s="1"/>
  <c r="B54" i="72" s="1"/>
  <c r="S54" i="72" s="1"/>
  <c r="D51" i="72"/>
  <c r="Q50" i="72"/>
  <c r="P50" i="72"/>
  <c r="O50" i="72"/>
  <c r="N50" i="72"/>
  <c r="Q49" i="72"/>
  <c r="P49" i="72"/>
  <c r="O49" i="72"/>
  <c r="N49" i="72"/>
  <c r="E49" i="72"/>
  <c r="E50" i="72" s="1"/>
  <c r="U50" i="72" s="1"/>
  <c r="Q48" i="72"/>
  <c r="P48" i="72"/>
  <c r="O48" i="72"/>
  <c r="N48" i="72"/>
  <c r="F48" i="72"/>
  <c r="F49" i="72" s="1"/>
  <c r="F50" i="72" s="1"/>
  <c r="V50" i="72" s="1"/>
  <c r="E48" i="72"/>
  <c r="Q47" i="72"/>
  <c r="P47" i="72"/>
  <c r="O47" i="72"/>
  <c r="C48" i="72" s="1"/>
  <c r="N47" i="72"/>
  <c r="B48" i="72" s="1"/>
  <c r="B49" i="72" s="1"/>
  <c r="B50" i="72" s="1"/>
  <c r="S50" i="72" s="1"/>
  <c r="D47" i="72"/>
  <c r="T46" i="72"/>
  <c r="Q46" i="72"/>
  <c r="P46" i="72"/>
  <c r="O46" i="72"/>
  <c r="N46" i="72"/>
  <c r="D46" i="72"/>
  <c r="Q45" i="72"/>
  <c r="P45" i="72"/>
  <c r="O45" i="72"/>
  <c r="N45" i="72"/>
  <c r="E45" i="72"/>
  <c r="E46" i="72" s="1"/>
  <c r="U46" i="72" s="1"/>
  <c r="Q44" i="72"/>
  <c r="P44" i="72"/>
  <c r="O44" i="72"/>
  <c r="N44" i="72"/>
  <c r="E44" i="72"/>
  <c r="Q43" i="72"/>
  <c r="F44" i="72" s="1"/>
  <c r="F45" i="72" s="1"/>
  <c r="F46" i="72" s="1"/>
  <c r="V46" i="72" s="1"/>
  <c r="P43" i="72"/>
  <c r="O43" i="72"/>
  <c r="C44" i="72" s="1"/>
  <c r="N43" i="72"/>
  <c r="B44" i="72" s="1"/>
  <c r="B45" i="72" s="1"/>
  <c r="B46" i="72" s="1"/>
  <c r="S46" i="72" s="1"/>
  <c r="D43" i="72"/>
  <c r="Q42" i="72"/>
  <c r="P42" i="72"/>
  <c r="O42" i="72"/>
  <c r="N42" i="72"/>
  <c r="Q41" i="72"/>
  <c r="P41" i="72"/>
  <c r="O41" i="72"/>
  <c r="N41" i="72"/>
  <c r="Q40" i="72"/>
  <c r="P40" i="72"/>
  <c r="O40" i="72"/>
  <c r="N40" i="72"/>
  <c r="F40" i="72"/>
  <c r="F41" i="72" s="1"/>
  <c r="F42" i="72" s="1"/>
  <c r="V42" i="72" s="1"/>
  <c r="E40" i="72"/>
  <c r="E41" i="72" s="1"/>
  <c r="E42" i="72" s="1"/>
  <c r="U42" i="72" s="1"/>
  <c r="Q39" i="72"/>
  <c r="P39" i="72"/>
  <c r="O39" i="72"/>
  <c r="C40" i="72" s="1"/>
  <c r="N39" i="72"/>
  <c r="B40" i="72" s="1"/>
  <c r="B41" i="72" s="1"/>
  <c r="B42" i="72" s="1"/>
  <c r="S42" i="72" s="1"/>
  <c r="D39" i="72"/>
  <c r="Q38" i="72"/>
  <c r="P38" i="72"/>
  <c r="O38" i="72"/>
  <c r="N38" i="72"/>
  <c r="Q37" i="72"/>
  <c r="P37" i="72"/>
  <c r="O37" i="72"/>
  <c r="N37" i="72"/>
  <c r="E37" i="72"/>
  <c r="E38" i="72" s="1"/>
  <c r="U38" i="72" s="1"/>
  <c r="Q36" i="72"/>
  <c r="P36" i="72"/>
  <c r="O36" i="72"/>
  <c r="N36" i="72"/>
  <c r="E36" i="72"/>
  <c r="Q35" i="72"/>
  <c r="F36" i="72" s="1"/>
  <c r="F37" i="72" s="1"/>
  <c r="F38" i="72" s="1"/>
  <c r="V38" i="72" s="1"/>
  <c r="P35" i="72"/>
  <c r="O35" i="72"/>
  <c r="C36" i="72" s="1"/>
  <c r="N35" i="72"/>
  <c r="B36" i="72" s="1"/>
  <c r="B37" i="72" s="1"/>
  <c r="B38" i="72" s="1"/>
  <c r="S38" i="72" s="1"/>
  <c r="D35" i="72"/>
  <c r="Q34" i="72"/>
  <c r="P34" i="72"/>
  <c r="O34" i="72"/>
  <c r="N34" i="72"/>
  <c r="Q33" i="72"/>
  <c r="P33" i="72"/>
  <c r="O33" i="72"/>
  <c r="N33" i="72"/>
  <c r="Q32" i="72"/>
  <c r="P32" i="72"/>
  <c r="O32" i="72"/>
  <c r="N32" i="72"/>
  <c r="F32" i="72"/>
  <c r="F33" i="72" s="1"/>
  <c r="F34" i="72" s="1"/>
  <c r="V34" i="72" s="1"/>
  <c r="E32" i="72"/>
  <c r="E33" i="72" s="1"/>
  <c r="E34" i="72" s="1"/>
  <c r="U34" i="72" s="1"/>
  <c r="Q31" i="72"/>
  <c r="P31" i="72"/>
  <c r="O31" i="72"/>
  <c r="C32" i="72" s="1"/>
  <c r="N31" i="72"/>
  <c r="B32" i="72" s="1"/>
  <c r="B33" i="72" s="1"/>
  <c r="B34" i="72" s="1"/>
  <c r="S34" i="72" s="1"/>
  <c r="D31" i="72"/>
  <c r="Q30" i="72"/>
  <c r="P30" i="72"/>
  <c r="O30" i="72"/>
  <c r="N30" i="72"/>
  <c r="Q29" i="72"/>
  <c r="P29" i="72"/>
  <c r="O29" i="72"/>
  <c r="N29" i="72"/>
  <c r="E29" i="72"/>
  <c r="E30" i="72" s="1"/>
  <c r="U30" i="72" s="1"/>
  <c r="Q28" i="72"/>
  <c r="P28" i="72"/>
  <c r="O28" i="72"/>
  <c r="N28" i="72"/>
  <c r="E28" i="72"/>
  <c r="Q27" i="72"/>
  <c r="F28" i="72" s="1"/>
  <c r="F29" i="72" s="1"/>
  <c r="F30" i="72" s="1"/>
  <c r="V30" i="72" s="1"/>
  <c r="P27" i="72"/>
  <c r="O27" i="72"/>
  <c r="C28" i="72" s="1"/>
  <c r="N27" i="72"/>
  <c r="B28" i="72" s="1"/>
  <c r="B29" i="72" s="1"/>
  <c r="B30" i="72" s="1"/>
  <c r="S30" i="72" s="1"/>
  <c r="D27" i="72"/>
  <c r="Q26" i="72"/>
  <c r="P26" i="72"/>
  <c r="O26" i="72"/>
  <c r="N26" i="72"/>
  <c r="B26" i="72" s="1"/>
  <c r="B25" i="72" s="1"/>
  <c r="B24" i="72" s="1"/>
  <c r="F26" i="72"/>
  <c r="V26" i="72" s="1"/>
  <c r="E26" i="72"/>
  <c r="U26" i="72" s="1"/>
  <c r="C26" i="72"/>
  <c r="C25" i="72" s="1"/>
  <c r="C24" i="72" s="1"/>
  <c r="D24" i="72" s="1"/>
  <c r="Q25" i="72"/>
  <c r="P25" i="72"/>
  <c r="O25" i="72"/>
  <c r="N25" i="72"/>
  <c r="F25" i="72"/>
  <c r="E25" i="72"/>
  <c r="Q24" i="72"/>
  <c r="P24" i="72"/>
  <c r="O24" i="72"/>
  <c r="N24" i="72"/>
  <c r="F24" i="72"/>
  <c r="E24" i="72"/>
  <c r="Q23" i="72"/>
  <c r="P23" i="72"/>
  <c r="O23" i="72"/>
  <c r="N23" i="72"/>
  <c r="D23" i="72"/>
  <c r="Q22" i="72"/>
  <c r="P22" i="72"/>
  <c r="O22" i="72"/>
  <c r="N22" i="72"/>
  <c r="B22" i="72" s="1"/>
  <c r="B21" i="72" s="1"/>
  <c r="B20" i="72" s="1"/>
  <c r="B19" i="72" s="1"/>
  <c r="B18" i="72" s="1"/>
  <c r="F22" i="72"/>
  <c r="V22" i="72" s="1"/>
  <c r="E22" i="72"/>
  <c r="U22" i="72" s="1"/>
  <c r="C22" i="72"/>
  <c r="C21" i="72" s="1"/>
  <c r="C20" i="72" s="1"/>
  <c r="D20" i="72" s="1"/>
  <c r="Q21" i="72"/>
  <c r="P21" i="72"/>
  <c r="O21" i="72"/>
  <c r="N21" i="72"/>
  <c r="F21" i="72"/>
  <c r="E21" i="72"/>
  <c r="Q20" i="72"/>
  <c r="P20" i="72"/>
  <c r="O20" i="72"/>
  <c r="N20" i="72"/>
  <c r="F20" i="72"/>
  <c r="F19" i="72" s="1"/>
  <c r="F18" i="72" s="1"/>
  <c r="E20" i="72"/>
  <c r="E19" i="72" s="1"/>
  <c r="E18" i="72" s="1"/>
  <c r="U18" i="72" s="1"/>
  <c r="Q19" i="72"/>
  <c r="P19" i="72"/>
  <c r="O19" i="72"/>
  <c r="N19" i="72"/>
  <c r="C19" i="72"/>
  <c r="D19" i="72" s="1"/>
  <c r="Q18" i="72"/>
  <c r="P18" i="72"/>
  <c r="O18" i="72"/>
  <c r="N18" i="72"/>
  <c r="Q17" i="72"/>
  <c r="P17" i="72"/>
  <c r="O17" i="72"/>
  <c r="N17" i="72"/>
  <c r="Q16" i="72"/>
  <c r="P16" i="72"/>
  <c r="O16" i="72"/>
  <c r="N16" i="72"/>
  <c r="Q15" i="72"/>
  <c r="P15" i="72"/>
  <c r="O15" i="72"/>
  <c r="N15" i="72"/>
  <c r="Q14" i="72"/>
  <c r="P14" i="72"/>
  <c r="O14" i="72"/>
  <c r="N14" i="72"/>
  <c r="Q13" i="72"/>
  <c r="P13" i="72"/>
  <c r="O13" i="72"/>
  <c r="N13" i="72"/>
  <c r="Q12" i="72"/>
  <c r="P12" i="72"/>
  <c r="O12" i="72"/>
  <c r="N12" i="72"/>
  <c r="Q11" i="72"/>
  <c r="P11" i="72"/>
  <c r="O11" i="72"/>
  <c r="N11" i="72"/>
  <c r="Q10" i="72"/>
  <c r="P10" i="72"/>
  <c r="O10" i="72"/>
  <c r="N10" i="72"/>
  <c r="Q9" i="72"/>
  <c r="P9" i="72"/>
  <c r="O9" i="72"/>
  <c r="N9" i="72"/>
  <c r="Q8" i="72"/>
  <c r="P8" i="72"/>
  <c r="O8" i="72"/>
  <c r="N8" i="72"/>
  <c r="Q7" i="72"/>
  <c r="P7" i="72"/>
  <c r="O7" i="72"/>
  <c r="N7" i="72"/>
  <c r="Q6" i="72"/>
  <c r="P6" i="72"/>
  <c r="O6" i="72"/>
  <c r="N6" i="72"/>
  <c r="L4" i="72"/>
  <c r="K4" i="72"/>
  <c r="J4" i="72"/>
  <c r="I4" i="72"/>
  <c r="C66" i="40"/>
  <c r="C79" i="40"/>
  <c r="I29" i="40"/>
  <c r="G29" i="40"/>
  <c r="E29" i="40"/>
  <c r="C29" i="40"/>
  <c r="I110" i="40"/>
  <c r="H110" i="40" s="1"/>
  <c r="G110" i="40" s="1"/>
  <c r="F110" i="40" s="1"/>
  <c r="V18" i="72" l="1"/>
  <c r="F17" i="72"/>
  <c r="F16" i="72" s="1"/>
  <c r="F15" i="72" s="1"/>
  <c r="F14" i="72" s="1"/>
  <c r="B17" i="72"/>
  <c r="B16" i="72" s="1"/>
  <c r="B15" i="72" s="1"/>
  <c r="B14" i="72" s="1"/>
  <c r="S18" i="72"/>
  <c r="C53" i="72"/>
  <c r="D52" i="72"/>
  <c r="F53" i="72"/>
  <c r="F54" i="72" s="1"/>
  <c r="V54" i="72" s="1"/>
  <c r="C61" i="72"/>
  <c r="D60" i="72"/>
  <c r="D21" i="72"/>
  <c r="D22" i="72"/>
  <c r="T22" i="72"/>
  <c r="S26" i="72"/>
  <c r="C29" i="72"/>
  <c r="D28" i="72"/>
  <c r="C37" i="72"/>
  <c r="D36" i="72"/>
  <c r="C45" i="72"/>
  <c r="D45" i="72" s="1"/>
  <c r="D44" i="72"/>
  <c r="C49" i="72"/>
  <c r="D48" i="72"/>
  <c r="P64" i="72"/>
  <c r="P63" i="72"/>
  <c r="E17" i="72"/>
  <c r="E16" i="72" s="1"/>
  <c r="E15" i="72" s="1"/>
  <c r="E14" i="72" s="1"/>
  <c r="D25" i="72"/>
  <c r="D26" i="72"/>
  <c r="T26" i="72"/>
  <c r="C57" i="72"/>
  <c r="D56" i="72"/>
  <c r="Q64" i="72"/>
  <c r="S22" i="72"/>
  <c r="C18" i="72"/>
  <c r="C33" i="72"/>
  <c r="D32" i="72"/>
  <c r="C41" i="72"/>
  <c r="D40" i="72"/>
  <c r="P65" i="72"/>
  <c r="P66" i="72"/>
  <c r="D64" i="72"/>
  <c r="Q66" i="72"/>
  <c r="D65" i="72"/>
  <c r="N66" i="72"/>
  <c r="F36" i="40"/>
  <c r="E110" i="40"/>
  <c r="D110" i="40" s="1"/>
  <c r="C110" i="40" s="1"/>
  <c r="D29" i="72" l="1"/>
  <c r="C30" i="72"/>
  <c r="V14" i="72"/>
  <c r="F13" i="72"/>
  <c r="F12" i="72" s="1"/>
  <c r="F11" i="72" s="1"/>
  <c r="F10" i="72" s="1"/>
  <c r="C34" i="72"/>
  <c r="D33" i="72"/>
  <c r="C54" i="72"/>
  <c r="D53" i="72"/>
  <c r="C17" i="72"/>
  <c r="D18" i="72"/>
  <c r="T18" i="72"/>
  <c r="C58" i="72"/>
  <c r="D57" i="72"/>
  <c r="U14" i="72"/>
  <c r="E13" i="72"/>
  <c r="E12" i="72" s="1"/>
  <c r="E11" i="72" s="1"/>
  <c r="E10" i="72" s="1"/>
  <c r="C50" i="72"/>
  <c r="D49" i="72"/>
  <c r="D37" i="72"/>
  <c r="C38" i="72"/>
  <c r="C62" i="72"/>
  <c r="D61" i="72"/>
  <c r="C42" i="72"/>
  <c r="D41" i="72"/>
  <c r="B13" i="72"/>
  <c r="B12" i="72" s="1"/>
  <c r="B11" i="72" s="1"/>
  <c r="B10" i="72" s="1"/>
  <c r="S14" i="72"/>
  <c r="C16" i="72" l="1"/>
  <c r="D17" i="72"/>
  <c r="T34" i="72"/>
  <c r="D34" i="72"/>
  <c r="B9" i="72"/>
  <c r="B8" i="72" s="1"/>
  <c r="B7" i="72" s="1"/>
  <c r="B6" i="72" s="1"/>
  <c r="S6" i="72" s="1"/>
  <c r="S10" i="72"/>
  <c r="T62" i="72"/>
  <c r="D62" i="72"/>
  <c r="D50" i="72"/>
  <c r="T50" i="72"/>
  <c r="T58" i="72"/>
  <c r="D58" i="72"/>
  <c r="V10" i="72"/>
  <c r="F9" i="72"/>
  <c r="F8" i="72" s="1"/>
  <c r="F7" i="72" s="1"/>
  <c r="F6" i="72" s="1"/>
  <c r="V6" i="72" s="1"/>
  <c r="T38" i="72"/>
  <c r="D38" i="72"/>
  <c r="U10" i="72"/>
  <c r="E9" i="72"/>
  <c r="E8" i="72" s="1"/>
  <c r="E7" i="72" s="1"/>
  <c r="E6" i="72" s="1"/>
  <c r="U6" i="72" s="1"/>
  <c r="T54" i="72"/>
  <c r="D54" i="72"/>
  <c r="D42" i="72"/>
  <c r="T42" i="72"/>
  <c r="D30" i="72"/>
  <c r="T30" i="72"/>
  <c r="D16" i="72" l="1"/>
  <c r="C15" i="72"/>
  <c r="D15" i="72" l="1"/>
  <c r="C14" i="72"/>
  <c r="C13" i="72" l="1"/>
  <c r="T14" i="72"/>
  <c r="D14" i="72"/>
  <c r="C12" i="72" l="1"/>
  <c r="D13" i="72"/>
  <c r="D12" i="72" l="1"/>
  <c r="C11" i="72"/>
  <c r="D11" i="72" l="1"/>
  <c r="C10" i="72"/>
  <c r="C9" i="72" l="1"/>
  <c r="D10" i="72"/>
  <c r="T10" i="72"/>
  <c r="C8" i="72" l="1"/>
  <c r="D9" i="72"/>
  <c r="D8" i="72" l="1"/>
  <c r="C7" i="72"/>
  <c r="D7" i="72" l="1"/>
  <c r="C6" i="72"/>
  <c r="T6" i="72" l="1"/>
  <c r="D6" i="72"/>
  <c r="K47" i="69" l="1"/>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4" i="65"/>
  <c r="F14" i="65"/>
  <c r="E14" i="65"/>
  <c r="AB30" i="70" l="1"/>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R18" i="70"/>
  <c r="V18" i="70"/>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s="1"/>
  <c r="B89" i="59"/>
  <c r="F88" i="59"/>
  <c r="F87" i="59" s="1"/>
  <c r="B88" i="59"/>
  <c r="B87" i="59" s="1"/>
  <c r="D86" i="59"/>
  <c r="F85" i="59"/>
  <c r="E85" i="59"/>
  <c r="E84" i="59" s="1"/>
  <c r="E83" i="59" s="1"/>
  <c r="C85" i="59"/>
  <c r="D85" i="59"/>
  <c r="B85" i="59"/>
  <c r="B84" i="59" s="1"/>
  <c r="B83" i="59" s="1"/>
  <c r="F84" i="59"/>
  <c r="F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c r="C73" i="59"/>
  <c r="B73" i="59"/>
  <c r="S73" i="59"/>
  <c r="Q72" i="59"/>
  <c r="P72" i="59"/>
  <c r="O72" i="59"/>
  <c r="N72"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C64" i="59" s="1"/>
  <c r="N62" i="59"/>
  <c r="B63" i="59"/>
  <c r="B64" i="59" s="1"/>
  <c r="B65" i="59" s="1"/>
  <c r="S65" i="59" s="1"/>
  <c r="D62" i="59"/>
  <c r="Q61" i="59"/>
  <c r="P61" i="59"/>
  <c r="O61" i="59"/>
  <c r="N61" i="59"/>
  <c r="Q60" i="59"/>
  <c r="P60" i="59"/>
  <c r="O60" i="59"/>
  <c r="N60" i="59"/>
  <c r="Q59" i="59"/>
  <c r="P59" i="59"/>
  <c r="O59" i="59"/>
  <c r="C60" i="59" s="1"/>
  <c r="N59" i="59"/>
  <c r="Q58" i="59"/>
  <c r="F59" i="59"/>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C56" i="59" s="1"/>
  <c r="D56"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s="1"/>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B35" i="59" s="1"/>
  <c r="B36" i="59" s="1"/>
  <c r="B37" i="59" s="1"/>
  <c r="S37" i="59" s="1"/>
  <c r="D34" i="59"/>
  <c r="Q33" i="59"/>
  <c r="AB33" i="59" s="1"/>
  <c r="P33" i="59"/>
  <c r="AA33" i="59" s="1"/>
  <c r="O33" i="59"/>
  <c r="N33" i="59"/>
  <c r="Q32" i="59"/>
  <c r="AB32" i="59" s="1"/>
  <c r="P32" i="59"/>
  <c r="AA32" i="59" s="1"/>
  <c r="O32" i="59"/>
  <c r="N32" i="59"/>
  <c r="Q31" i="59"/>
  <c r="AB31" i="59" s="1"/>
  <c r="P31" i="59"/>
  <c r="AA31" i="59" s="1"/>
  <c r="O31" i="59"/>
  <c r="N31" i="59"/>
  <c r="Q30" i="59"/>
  <c r="P30" i="59"/>
  <c r="O30" i="59"/>
  <c r="N30" i="59"/>
  <c r="D30" i="59"/>
  <c r="AA29" i="59"/>
  <c r="E31" i="59"/>
  <c r="E32" i="59"/>
  <c r="E33" i="59" s="1"/>
  <c r="U33" i="59" s="1"/>
  <c r="AA40" i="59"/>
  <c r="F60" i="59"/>
  <c r="F61" i="59" s="1"/>
  <c r="V61" i="59" s="1"/>
  <c r="F64" i="59"/>
  <c r="F65" i="59" s="1"/>
  <c r="V65" i="59" s="1"/>
  <c r="D47" i="59"/>
  <c r="C52" i="59"/>
  <c r="C53" i="59" s="1"/>
  <c r="D51" i="59"/>
  <c r="D55" i="59"/>
  <c r="D59" i="59"/>
  <c r="D63" i="59"/>
  <c r="T69" i="59"/>
  <c r="O69" i="59"/>
  <c r="D69" i="59"/>
  <c r="C68" i="59"/>
  <c r="D68" i="59" s="1"/>
  <c r="P69" i="59"/>
  <c r="U69" i="59"/>
  <c r="E72" i="59"/>
  <c r="E71" i="59" s="1"/>
  <c r="C76" i="59"/>
  <c r="D76" i="59" s="1"/>
  <c r="D77" i="59"/>
  <c r="E80" i="59"/>
  <c r="E79" i="59"/>
  <c r="D81" i="59"/>
  <c r="C84" i="59"/>
  <c r="U16" i="4"/>
  <c r="S16" i="4"/>
  <c r="Q16" i="4"/>
  <c r="O16" i="4"/>
  <c r="M16" i="4"/>
  <c r="K16" i="4"/>
  <c r="O68" i="59"/>
  <c r="D84" i="59"/>
  <c r="C83" i="59"/>
  <c r="D83" i="59" s="1"/>
  <c r="C57" i="59"/>
  <c r="D57" i="59" s="1"/>
  <c r="T57"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G20" i="20"/>
  <c r="C27" i="40" s="1"/>
  <c r="C22" i="20"/>
  <c r="B100" i="46" s="1"/>
  <c r="B68" i="46"/>
  <c r="S18" i="36"/>
  <c r="S18" i="35"/>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AA36" i="40"/>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F41" i="40" s="1"/>
  <c r="AA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J23" i="40" s="1"/>
  <c r="AC23" i="40" s="1"/>
  <c r="D89" i="40"/>
  <c r="H21" i="40" s="1"/>
  <c r="D87" i="40"/>
  <c r="E87" i="40" s="1"/>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J23" i="36" s="1"/>
  <c r="D70" i="36"/>
  <c r="H22" i="36"/>
  <c r="AB22" i="36"/>
  <c r="D68" i="36"/>
  <c r="E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J24" i="35" s="1"/>
  <c r="AC24" i="35" s="1"/>
  <c r="B73" i="35"/>
  <c r="B57" i="35"/>
  <c r="B61" i="35"/>
  <c r="B59" i="35"/>
  <c r="H12" i="35" s="1"/>
  <c r="B131" i="34"/>
  <c r="B129" i="34"/>
  <c r="B127" i="34"/>
  <c r="F45" i="34" s="1"/>
  <c r="AA45" i="34" s="1"/>
  <c r="B99" i="34"/>
  <c r="B97" i="34"/>
  <c r="B95" i="34"/>
  <c r="B93" i="34"/>
  <c r="B75" i="34"/>
  <c r="B73" i="34"/>
  <c r="B71" i="34"/>
  <c r="B130" i="33"/>
  <c r="H46" i="33" s="1"/>
  <c r="AB46" i="33" s="1"/>
  <c r="B128" i="33"/>
  <c r="H45" i="33" s="1"/>
  <c r="U45" i="33" s="1"/>
  <c r="B126" i="33"/>
  <c r="B98"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AC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C19" i="40" s="1"/>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c r="B130" i="21"/>
  <c r="B128" i="21"/>
  <c r="B126" i="21"/>
  <c r="B98" i="21"/>
  <c r="B96" i="21"/>
  <c r="H30" i="21" s="1"/>
  <c r="U30" i="21" s="1"/>
  <c r="B94" i="21"/>
  <c r="B92" i="21"/>
  <c r="B90" i="21"/>
  <c r="B74" i="2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AA19" i="21"/>
  <c r="H19" i="21"/>
  <c r="AB19" i="21" s="1"/>
  <c r="J19" i="21"/>
  <c r="W19" i="2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F29" i="36"/>
  <c r="AA29" i="36"/>
  <c r="F16" i="36"/>
  <c r="AA16" i="36" s="1"/>
  <c r="U22" i="36"/>
  <c r="W22" i="36"/>
  <c r="U26" i="36"/>
  <c r="AC31" i="36"/>
  <c r="J33" i="36"/>
  <c r="W33" i="36"/>
  <c r="U31" i="35"/>
  <c r="W24" i="35"/>
  <c r="W31" i="35"/>
  <c r="F36" i="34"/>
  <c r="S36" i="34" s="1"/>
  <c r="W9" i="34"/>
  <c r="S34" i="34"/>
  <c r="W39" i="34"/>
  <c r="H39" i="33"/>
  <c r="AB39" i="33"/>
  <c r="F26" i="33"/>
  <c r="AA26" i="33" s="1"/>
  <c r="U33" i="33"/>
  <c r="W38" i="33"/>
  <c r="S40" i="33"/>
  <c r="S8" i="21"/>
  <c r="H39" i="37"/>
  <c r="AB39" i="37" s="1"/>
  <c r="AB27" i="35"/>
  <c r="W10" i="40"/>
  <c r="U11" i="40"/>
  <c r="S40" i="39"/>
  <c r="F11" i="21"/>
  <c r="S11" i="21" s="1"/>
  <c r="AC40" i="21"/>
  <c r="AA38" i="21"/>
  <c r="AB36" i="21"/>
  <c r="C23" i="39"/>
  <c r="U36" i="39"/>
  <c r="H32" i="33"/>
  <c r="AB32" i="33" s="1"/>
  <c r="H11" i="21"/>
  <c r="U11" i="21" s="1"/>
  <c r="J11" i="21"/>
  <c r="W11" i="21" s="1"/>
  <c r="F85" i="40"/>
  <c r="G85" i="40" s="1"/>
  <c r="U9" i="21"/>
  <c r="J27" i="36"/>
  <c r="W27" i="36" s="1"/>
  <c r="J34" i="36"/>
  <c r="W34" i="36" s="1"/>
  <c r="J30" i="35"/>
  <c r="W30" i="35" s="1"/>
  <c r="F22" i="35"/>
  <c r="H10" i="35"/>
  <c r="U10" i="35" s="1"/>
  <c r="U29" i="36"/>
  <c r="E85" i="36"/>
  <c r="F85" i="36" s="1"/>
  <c r="G85" i="36" s="1"/>
  <c r="H85" i="36" s="1"/>
  <c r="I85" i="36" s="1"/>
  <c r="J85" i="36" s="1"/>
  <c r="K85" i="36" s="1"/>
  <c r="L85" i="36" s="1"/>
  <c r="M85" i="36" s="1"/>
  <c r="J29" i="36"/>
  <c r="AC29" i="36" s="1"/>
  <c r="F12" i="36"/>
  <c r="S12" i="36" s="1"/>
  <c r="F34" i="36"/>
  <c r="S34" i="36"/>
  <c r="AB8" i="36"/>
  <c r="H16" i="35"/>
  <c r="U16" i="35"/>
  <c r="H33" i="35"/>
  <c r="AB33" i="35" s="1"/>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AC34" i="36"/>
  <c r="H29" i="35"/>
  <c r="U34" i="37"/>
  <c r="S34" i="37"/>
  <c r="AA34" i="37"/>
  <c r="AB42" i="34"/>
  <c r="AB40" i="34"/>
  <c r="W36" i="34"/>
  <c r="J19" i="34"/>
  <c r="AC19" i="34"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BL572" i="3"/>
  <c r="H14" i="21"/>
  <c r="H28" i="21"/>
  <c r="AB28" i="21"/>
  <c r="F28" i="21"/>
  <c r="J28" i="21"/>
  <c r="AC28" i="21" s="1"/>
  <c r="F30" i="21"/>
  <c r="S30" i="21" s="1"/>
  <c r="J30" i="21"/>
  <c r="J44" i="21"/>
  <c r="AC44" i="21" s="1"/>
  <c r="H44" i="21"/>
  <c r="AB44" i="21" s="1"/>
  <c r="U44" i="2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29" i="33"/>
  <c r="W29" i="33" s="1"/>
  <c r="J45" i="33"/>
  <c r="W45" i="33" s="1"/>
  <c r="F45" i="33"/>
  <c r="S45" i="33"/>
  <c r="F11" i="35"/>
  <c r="S11" i="35" s="1"/>
  <c r="H28" i="36"/>
  <c r="U28" i="36"/>
  <c r="H32" i="36"/>
  <c r="AB32" i="36" s="1"/>
  <c r="J32" i="36"/>
  <c r="J11" i="36"/>
  <c r="W11" i="36" s="1"/>
  <c r="H13" i="36"/>
  <c r="AB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F14" i="33"/>
  <c r="AA14" i="33" s="1"/>
  <c r="H30" i="33"/>
  <c r="AB30" i="33"/>
  <c r="F30" i="33"/>
  <c r="S30" i="33" s="1"/>
  <c r="J30" i="33"/>
  <c r="H44" i="33"/>
  <c r="U44" i="33" s="1"/>
  <c r="J44" i="33"/>
  <c r="AC44" i="33" s="1"/>
  <c r="F44" i="33"/>
  <c r="S44" i="33" s="1"/>
  <c r="J46" i="33"/>
  <c r="AC46" i="33" s="1"/>
  <c r="F46" i="33"/>
  <c r="H13" i="34"/>
  <c r="U13" i="34" s="1"/>
  <c r="J13" i="34"/>
  <c r="W13" i="34" s="1"/>
  <c r="F13" i="34"/>
  <c r="AA13" i="34" s="1"/>
  <c r="H29" i="34"/>
  <c r="U29" i="34" s="1"/>
  <c r="J31" i="34"/>
  <c r="W31" i="34" s="1"/>
  <c r="H31" i="34"/>
  <c r="AB31" i="34" s="1"/>
  <c r="F31" i="34"/>
  <c r="S31" i="34" s="1"/>
  <c r="H45" i="34"/>
  <c r="U45" i="34" s="1"/>
  <c r="J45" i="34"/>
  <c r="W45" i="34" s="1"/>
  <c r="H47" i="34"/>
  <c r="U47" i="34" s="1"/>
  <c r="F47" i="34"/>
  <c r="AA47" i="34" s="1"/>
  <c r="J47" i="34"/>
  <c r="AC47" i="34" s="1"/>
  <c r="H13" i="35"/>
  <c r="J25" i="35"/>
  <c r="AC25" i="35" s="1"/>
  <c r="J35" i="35"/>
  <c r="AC35" i="35" s="1"/>
  <c r="F35" i="35"/>
  <c r="S35" i="35" s="1"/>
  <c r="H35" i="35"/>
  <c r="U35" i="35" s="1"/>
  <c r="J25" i="36"/>
  <c r="W25" i="36" s="1"/>
  <c r="F25" i="36"/>
  <c r="AA25" i="36" s="1"/>
  <c r="H25" i="36"/>
  <c r="AB25" i="36"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S28" i="21"/>
  <c r="AA28" i="21"/>
  <c r="W42" i="21"/>
  <c r="U36" i="37"/>
  <c r="AB45" i="33"/>
  <c r="AB27" i="33"/>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33" i="36"/>
  <c r="W23" i="35"/>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AZ325" i="3" s="1"/>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AZ383" i="3" s="1"/>
  <c r="G384" i="3"/>
  <c r="AZ315" i="3"/>
  <c r="AZ347" i="3"/>
  <c r="F37" i="46"/>
  <c r="AB16" i="35"/>
  <c r="AB15" i="37"/>
  <c r="AA43" i="21"/>
  <c r="U43" i="21"/>
  <c r="BH5" i="3"/>
  <c r="R16" i="4"/>
  <c r="D3" i="35"/>
  <c r="G4" i="4"/>
  <c r="S37" i="34"/>
  <c r="J16" i="35"/>
  <c r="W16" i="35"/>
  <c r="U42" i="21"/>
  <c r="AC26" i="36"/>
  <c r="W25" i="35"/>
  <c r="AZ300" i="3"/>
  <c r="H13" i="39"/>
  <c r="AB13" i="39" s="1"/>
  <c r="F13" i="39"/>
  <c r="J13" i="39"/>
  <c r="AC13" i="39" s="1"/>
  <c r="AA36" i="35"/>
  <c r="H11" i="37"/>
  <c r="AB11" i="37"/>
  <c r="W37" i="37"/>
  <c r="AA30" i="33"/>
  <c r="AA36" i="37"/>
  <c r="S42" i="33"/>
  <c r="U32" i="33"/>
  <c r="AB17" i="37"/>
  <c r="AZ508" i="3"/>
  <c r="AC29" i="33"/>
  <c r="AA45" i="33"/>
  <c r="AC11" i="36"/>
  <c r="AB45" i="34"/>
  <c r="AC14" i="37"/>
  <c r="AB35" i="35"/>
  <c r="W44" i="33"/>
  <c r="AC30" i="33"/>
  <c r="W30" i="33"/>
  <c r="AC29" i="37"/>
  <c r="W32" i="36"/>
  <c r="AC32" i="36"/>
  <c r="U28" i="33"/>
  <c r="AB28" i="33"/>
  <c r="J33" i="34"/>
  <c r="AC33" i="34" s="1"/>
  <c r="AB36" i="34"/>
  <c r="J40" i="34"/>
  <c r="W40" i="34" s="1"/>
  <c r="F16" i="35"/>
  <c r="AA16" i="35" s="1"/>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c r="F32" i="34"/>
  <c r="AA32" i="34" s="1"/>
  <c r="J32" i="34"/>
  <c r="W32" i="34" s="1"/>
  <c r="H46" i="34"/>
  <c r="AB46" i="34" s="1"/>
  <c r="F46" i="34"/>
  <c r="AA46" i="34"/>
  <c r="J46" i="34"/>
  <c r="AC46" i="34" s="1"/>
  <c r="H11" i="35"/>
  <c r="J11" i="35"/>
  <c r="AC11" i="35" s="1"/>
  <c r="F96" i="37"/>
  <c r="H32" i="37"/>
  <c r="AB32" i="37"/>
  <c r="F19" i="39"/>
  <c r="S19" i="39" s="1"/>
  <c r="H19" i="39"/>
  <c r="J19" i="39"/>
  <c r="W19" i="39" s="1"/>
  <c r="F43" i="39"/>
  <c r="H43" i="39"/>
  <c r="U43" i="39"/>
  <c r="J43" i="39"/>
  <c r="F99" i="37"/>
  <c r="AC27" i="37"/>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H41" i="40"/>
  <c r="AB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0" i="40"/>
  <c r="U40" i="40" s="1"/>
  <c r="H34" i="40"/>
  <c r="U34" i="40" s="1"/>
  <c r="B41" i="1"/>
  <c r="M20" i="44" s="1"/>
  <c r="J40" i="40"/>
  <c r="W40" i="40" s="1"/>
  <c r="J34" i="40"/>
  <c r="AC34" i="40" s="1"/>
  <c r="H16" i="40"/>
  <c r="AB16" i="40" s="1"/>
  <c r="H14" i="40"/>
  <c r="U14" i="40" s="1"/>
  <c r="F32" i="40"/>
  <c r="AA32" i="40" s="1"/>
  <c r="F61" i="46"/>
  <c r="H61" i="46" s="1"/>
  <c r="AZ244" i="3"/>
  <c r="AZ252" i="3"/>
  <c r="AZ276" i="3"/>
  <c r="F72" i="46"/>
  <c r="H74" i="46" s="1"/>
  <c r="J13" i="40"/>
  <c r="W13" i="40" s="1"/>
  <c r="S47" i="39"/>
  <c r="AB25" i="39"/>
  <c r="AC15" i="40"/>
  <c r="W27" i="39"/>
  <c r="S23" i="39"/>
  <c r="AB16"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H25" i="40"/>
  <c r="AB25" i="40" s="1"/>
  <c r="F93" i="40"/>
  <c r="G93" i="40" s="1"/>
  <c r="U47" i="39"/>
  <c r="J37" i="34"/>
  <c r="AC37" i="34" s="1"/>
  <c r="J36" i="33"/>
  <c r="W36" i="33" s="1"/>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F25" i="40"/>
  <c r="AA25" i="40" s="1"/>
  <c r="J11" i="33"/>
  <c r="W11" i="33" s="1"/>
  <c r="H33" i="37"/>
  <c r="AB33" i="37" s="1"/>
  <c r="W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U9" i="36"/>
  <c r="S33" i="36"/>
  <c r="AA27" i="36"/>
  <c r="S16" i="36"/>
  <c r="S29" i="36"/>
  <c r="AC33" i="35"/>
  <c r="U22" i="35"/>
  <c r="S8" i="35"/>
  <c r="U33" i="35"/>
  <c r="AA20" i="35"/>
  <c r="W20" i="35"/>
  <c r="S23" i="35"/>
  <c r="S16" i="35"/>
  <c r="AB14"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AC40" i="34"/>
  <c r="W44" i="34"/>
  <c r="W19" i="34"/>
  <c r="AC21" i="34"/>
  <c r="W21" i="34"/>
  <c r="U15" i="34"/>
  <c r="AB21" i="34"/>
  <c r="U21" i="34"/>
  <c r="U27" i="34"/>
  <c r="U19" i="34"/>
  <c r="AB41" i="34"/>
  <c r="S13" i="34"/>
  <c r="AA41" i="34"/>
  <c r="U39" i="33"/>
  <c r="U37" i="33"/>
  <c r="S35" i="33"/>
  <c r="W34" i="33"/>
  <c r="AB41" i="33"/>
  <c r="U36" i="33"/>
  <c r="AC35" i="33"/>
  <c r="S29" i="33"/>
  <c r="W43" i="33"/>
  <c r="U46" i="33"/>
  <c r="W39" i="33"/>
  <c r="U35" i="33"/>
  <c r="AB34" i="33"/>
  <c r="W26"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W23" i="21"/>
  <c r="F23" i="21"/>
  <c r="H23" i="21"/>
  <c r="AA17" i="21"/>
  <c r="W17" i="21"/>
  <c r="F15" i="21"/>
  <c r="S15" i="21" s="1"/>
  <c r="F77" i="21"/>
  <c r="G77" i="21"/>
  <c r="J15" i="21"/>
  <c r="H15" i="21"/>
  <c r="AC11" i="21"/>
  <c r="AB11" i="21"/>
  <c r="W13" i="21"/>
  <c r="AA11" i="21"/>
  <c r="AC21" i="21"/>
  <c r="W21" i="21"/>
  <c r="W44" i="21"/>
  <c r="AC19" i="21"/>
  <c r="W10" i="21"/>
  <c r="AC38" i="21"/>
  <c r="AB21" i="21"/>
  <c r="U21" i="21"/>
  <c r="AB29" i="21"/>
  <c r="AA30" i="21"/>
  <c r="AA31" i="21"/>
  <c r="W33" i="40"/>
  <c r="U33" i="40"/>
  <c r="U15" i="40"/>
  <c r="S16" i="40"/>
  <c r="W11" i="40"/>
  <c r="F37" i="40"/>
  <c r="S37" i="40" s="1"/>
  <c r="J37" i="40"/>
  <c r="AC37" i="40" s="1"/>
  <c r="H37" i="40"/>
  <c r="U37" i="40" s="1"/>
  <c r="G112" i="40"/>
  <c r="H112" i="40" s="1"/>
  <c r="I112" i="40" s="1"/>
  <c r="J112" i="40" s="1"/>
  <c r="K112" i="40" s="1"/>
  <c r="L112" i="40" s="1"/>
  <c r="M112" i="40" s="1"/>
  <c r="F39" i="40"/>
  <c r="AA39" i="40" s="1"/>
  <c r="H39" i="40"/>
  <c r="U39" i="40" s="1"/>
  <c r="J39" i="40"/>
  <c r="AC39" i="40" s="1"/>
  <c r="F97" i="40"/>
  <c r="G97" i="40" s="1"/>
  <c r="H97" i="40" s="1"/>
  <c r="I97" i="40" s="1"/>
  <c r="J97" i="40" s="1"/>
  <c r="K97" i="40" s="1"/>
  <c r="L97" i="40" s="1"/>
  <c r="M97" i="40" s="1"/>
  <c r="F87" i="40"/>
  <c r="H19" i="40" s="1"/>
  <c r="U19" i="40" s="1"/>
  <c r="J19" i="40"/>
  <c r="AC19" i="40" s="1"/>
  <c r="F17" i="40"/>
  <c r="AA17" i="40" s="1"/>
  <c r="H17" i="40"/>
  <c r="U17" i="40" s="1"/>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G66" i="36" s="1"/>
  <c r="H18" i="36"/>
  <c r="U18" i="36" s="1"/>
  <c r="U16" i="36"/>
  <c r="S25" i="36"/>
  <c r="AA34" i="36"/>
  <c r="U23" i="36"/>
  <c r="AC27" i="36"/>
  <c r="W28" i="36"/>
  <c r="AA32" i="36"/>
  <c r="U13" i="36"/>
  <c r="AA22" i="36"/>
  <c r="W29" i="36"/>
  <c r="W9" i="36"/>
  <c r="W8" i="36"/>
  <c r="AC30" i="35"/>
  <c r="U24" i="35"/>
  <c r="W32" i="35"/>
  <c r="S24" i="35"/>
  <c r="AA33" i="35"/>
  <c r="U32" i="35"/>
  <c r="W22" i="35"/>
  <c r="S32" i="35"/>
  <c r="W35" i="37"/>
  <c r="AC33" i="37"/>
  <c r="U33" i="37"/>
  <c r="AC15" i="37"/>
  <c r="S12" i="37"/>
  <c r="W38" i="37"/>
  <c r="W36" i="37"/>
  <c r="AB28" i="37"/>
  <c r="S28" i="37"/>
  <c r="W13" i="37"/>
  <c r="U38" i="37"/>
  <c r="AA31" i="34"/>
  <c r="AB35" i="34"/>
  <c r="W47" i="34"/>
  <c r="AB29" i="34"/>
  <c r="AB47" i="34"/>
  <c r="AB13" i="34"/>
  <c r="AC13" i="34"/>
  <c r="S47" i="34"/>
  <c r="S19" i="34"/>
  <c r="S8" i="34"/>
  <c r="AA19" i="33"/>
  <c r="AC25" i="33"/>
  <c r="S43" i="33"/>
  <c r="AB42" i="33"/>
  <c r="S26" i="33"/>
  <c r="S15" i="33"/>
  <c r="S39" i="21"/>
  <c r="AB25" i="21"/>
  <c r="AB45" i="21"/>
  <c r="W25" i="21"/>
  <c r="AA25" i="21"/>
  <c r="AC37" i="21"/>
  <c r="AA29" i="21"/>
  <c r="U27" i="21"/>
  <c r="W31" i="21"/>
  <c r="S27" i="21"/>
  <c r="AA15" i="21"/>
  <c r="AC27" i="21"/>
  <c r="W29" i="21"/>
  <c r="G95" i="40"/>
  <c r="J27" i="40"/>
  <c r="W27" i="40" s="1"/>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B20" i="31"/>
  <c r="R22" i="31"/>
  <c r="B21" i="31" s="1"/>
  <c r="A17" i="51"/>
  <c r="B13" i="63" s="1"/>
  <c r="AT6" i="3"/>
  <c r="AZ16" i="3"/>
  <c r="E4" i="4"/>
  <c r="B21" i="55" s="1"/>
  <c r="B72" i="63" s="1"/>
  <c r="C4" i="4"/>
  <c r="B20" i="55" s="1"/>
  <c r="B70" i="63" s="1"/>
  <c r="J18" i="36"/>
  <c r="AC18" i="36" s="1"/>
  <c r="W18" i="36"/>
  <c r="L20" i="6"/>
  <c r="C45" i="9"/>
  <c r="B7" i="66" s="1"/>
  <c r="C44" i="9"/>
  <c r="B6" i="66" s="1"/>
  <c r="K29" i="9"/>
  <c r="K30" i="9" s="1"/>
  <c r="N76" i="9"/>
  <c r="C46" i="9"/>
  <c r="K33" i="9" s="1"/>
  <c r="B8" i="66"/>
  <c r="J21" i="46"/>
  <c r="F38" i="46"/>
  <c r="F41" i="46"/>
  <c r="F40" i="46"/>
  <c r="H117" i="46"/>
  <c r="D24" i="59"/>
  <c r="C23" i="59"/>
  <c r="D23"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J5" i="65"/>
  <c r="F12" i="67"/>
  <c r="B9" i="67"/>
  <c r="F8" i="44"/>
  <c r="F10" i="44"/>
  <c r="F7" i="15"/>
  <c r="M25" i="44"/>
  <c r="M8" i="44"/>
  <c r="M26" i="44"/>
  <c r="I6" i="65"/>
  <c r="F43" i="15"/>
  <c r="M22" i="15"/>
  <c r="J4" i="65"/>
  <c r="I5" i="65"/>
  <c r="F40" i="15"/>
  <c r="M30" i="44"/>
  <c r="E10" i="67"/>
  <c r="J36" i="15"/>
  <c r="F9" i="67"/>
  <c r="E13" i="67"/>
  <c r="F9" i="15"/>
  <c r="F42" i="15"/>
  <c r="J7" i="65"/>
  <c r="F8" i="67"/>
  <c r="M24" i="15"/>
  <c r="F10" i="67"/>
  <c r="E14" i="67"/>
  <c r="F36" i="15"/>
  <c r="M24" i="44"/>
  <c r="B12" i="67"/>
  <c r="B14" i="67"/>
  <c r="J17" i="44"/>
  <c r="N3" i="65"/>
  <c r="M6" i="15"/>
  <c r="F8" i="15"/>
  <c r="F6" i="15"/>
  <c r="J15" i="15"/>
  <c r="M28" i="15"/>
  <c r="N6" i="65"/>
  <c r="F14" i="67"/>
  <c r="M23" i="15"/>
  <c r="N4" i="65"/>
  <c r="E11" i="67"/>
  <c r="F18" i="44"/>
  <c r="B8" i="67"/>
  <c r="I3" i="65"/>
  <c r="N5" i="65"/>
  <c r="F37" i="15"/>
  <c r="F11" i="44"/>
  <c r="B13" i="67"/>
  <c r="I7" i="65"/>
  <c r="F40" i="44"/>
  <c r="F11" i="67"/>
  <c r="F43" i="44"/>
  <c r="E9" i="67"/>
  <c r="F13" i="15"/>
  <c r="F16" i="15"/>
  <c r="E12" i="67"/>
  <c r="L47" i="15"/>
  <c r="E8" i="67"/>
  <c r="I4" i="65"/>
  <c r="F13" i="67"/>
  <c r="M11" i="44"/>
  <c r="F38" i="44"/>
  <c r="F45" i="44"/>
  <c r="M8" i="15"/>
  <c r="F39" i="44"/>
  <c r="L48" i="44"/>
  <c r="L49" i="44"/>
  <c r="M29" i="15"/>
  <c r="M26" i="15"/>
  <c r="J3" i="65"/>
  <c r="L48" i="15"/>
  <c r="F28" i="44"/>
  <c r="M10" i="44"/>
  <c r="F15" i="44"/>
  <c r="F9" i="44"/>
  <c r="N7" i="65"/>
  <c r="M28" i="44"/>
  <c r="J6" i="65"/>
  <c r="B10" i="67"/>
  <c r="M9" i="15"/>
  <c r="F38" i="15"/>
  <c r="M31" i="44"/>
  <c r="F26" i="15"/>
  <c r="B11" i="67"/>
  <c r="U41" i="40" l="1"/>
  <c r="J41" i="40"/>
  <c r="AC41" i="40" s="1"/>
  <c r="J42" i="40"/>
  <c r="H42" i="40"/>
  <c r="AB42" i="40" s="1"/>
  <c r="W38" i="40"/>
  <c r="H29" i="40"/>
  <c r="U29" i="40" s="1"/>
  <c r="F13" i="40"/>
  <c r="J29" i="40"/>
  <c r="W29" i="40" s="1"/>
  <c r="U42" i="40"/>
  <c r="W41" i="40"/>
  <c r="U36" i="40"/>
  <c r="G87" i="40"/>
  <c r="S14" i="40"/>
  <c r="H23" i="40"/>
  <c r="U23" i="40" s="1"/>
  <c r="O41" i="9"/>
  <c r="R8" i="54" s="1"/>
  <c r="B54" i="63" s="1"/>
  <c r="F19" i="40"/>
  <c r="AA19" i="40" s="1"/>
  <c r="M43" i="9"/>
  <c r="F23" i="40"/>
  <c r="S23" i="40" s="1"/>
  <c r="E91" i="40"/>
  <c r="F91" i="40" s="1"/>
  <c r="G91" i="40" s="1"/>
  <c r="U35" i="40"/>
  <c r="S32" i="40"/>
  <c r="AB21" i="40"/>
  <c r="U21" i="40"/>
  <c r="F29" i="40"/>
  <c r="AA29" i="40" s="1"/>
  <c r="S35" i="40"/>
  <c r="AB34" i="40"/>
  <c r="W23" i="40"/>
  <c r="W21" i="40"/>
  <c r="AA21" i="40"/>
  <c r="AC14" i="40"/>
  <c r="AB29" i="40"/>
  <c r="S40" i="40"/>
  <c r="AB39" i="40"/>
  <c r="S39" i="40"/>
  <c r="W39" i="40"/>
  <c r="AA37" i="40"/>
  <c r="AB37" i="40"/>
  <c r="W37" i="40"/>
  <c r="AC13" i="40"/>
  <c r="AB13" i="40"/>
  <c r="S15" i="40"/>
  <c r="W19" i="40"/>
  <c r="AB19" i="40"/>
  <c r="S38" i="40"/>
  <c r="W25" i="40"/>
  <c r="S25" i="40"/>
  <c r="U25" i="40"/>
  <c r="W32" i="40"/>
  <c r="W30" i="40"/>
  <c r="S30" i="40"/>
  <c r="U30" i="40"/>
  <c r="W17" i="40"/>
  <c r="AB40" i="40"/>
  <c r="AZ557" i="3"/>
  <c r="AA22" i="35"/>
  <c r="S22" i="35"/>
  <c r="S39" i="37"/>
  <c r="AA39" i="37"/>
  <c r="J14" i="21"/>
  <c r="F14" i="21"/>
  <c r="F46" i="21"/>
  <c r="H46" i="21"/>
  <c r="B99" i="46"/>
  <c r="B76" i="46"/>
  <c r="C29" i="39"/>
  <c r="W8" i="35"/>
  <c r="AC8" i="35"/>
  <c r="H36" i="35"/>
  <c r="J36" i="35"/>
  <c r="J13" i="36"/>
  <c r="F13" i="36"/>
  <c r="AC39" i="37"/>
  <c r="W39" i="37"/>
  <c r="S41" i="40"/>
  <c r="W15" i="39"/>
  <c r="W34" i="40"/>
  <c r="AB37" i="34"/>
  <c r="AC40" i="40"/>
  <c r="AZ496" i="3"/>
  <c r="AZ522" i="3"/>
  <c r="AZ529" i="3"/>
  <c r="AZ548" i="3"/>
  <c r="AB31" i="37"/>
  <c r="U13" i="35"/>
  <c r="AB13" i="35"/>
  <c r="W30" i="21"/>
  <c r="AC30" i="21"/>
  <c r="J29" i="34"/>
  <c r="F29" i="34"/>
  <c r="F13" i="35"/>
  <c r="J13" i="35"/>
  <c r="F25" i="35"/>
  <c r="H25" i="35"/>
  <c r="AC23" i="36"/>
  <c r="W23" i="36"/>
  <c r="H13" i="37"/>
  <c r="F13" i="37"/>
  <c r="C22" i="59"/>
  <c r="C21" i="59" s="1"/>
  <c r="AA27" i="34"/>
  <c r="F72" i="9"/>
  <c r="AZ346" i="3"/>
  <c r="AZ123" i="3"/>
  <c r="AZ377" i="3"/>
  <c r="AZ303" i="3"/>
  <c r="AA46" i="33"/>
  <c r="S46" i="33"/>
  <c r="AA45" i="21"/>
  <c r="S45" i="21"/>
  <c r="W35" i="21"/>
  <c r="AC35" i="21"/>
  <c r="AC33" i="33"/>
  <c r="W33" i="33"/>
  <c r="AB38" i="33"/>
  <c r="U38" i="33"/>
  <c r="AC40" i="33"/>
  <c r="W40" i="33"/>
  <c r="H9" i="34"/>
  <c r="F9" i="34"/>
  <c r="F31" i="33"/>
  <c r="J31" i="33"/>
  <c r="H31" i="33"/>
  <c r="U31" i="33" s="1"/>
  <c r="W27" i="35"/>
  <c r="AC27" i="35"/>
  <c r="J24" i="36"/>
  <c r="H24" i="36"/>
  <c r="F24" i="36"/>
  <c r="G29" i="6"/>
  <c r="W37" i="34"/>
  <c r="U27" i="39"/>
  <c r="AB14" i="40"/>
  <c r="AZ352" i="3"/>
  <c r="AZ341" i="3"/>
  <c r="AZ336" i="3"/>
  <c r="AZ320" i="3"/>
  <c r="AZ339" i="3"/>
  <c r="AZ541" i="3"/>
  <c r="AB31" i="21"/>
  <c r="U14" i="21"/>
  <c r="AB14" i="21"/>
  <c r="AA33" i="33"/>
  <c r="S33" i="33"/>
  <c r="S28" i="34"/>
  <c r="AA28" i="34"/>
  <c r="H14" i="33"/>
  <c r="J14" i="33"/>
  <c r="F9" i="35"/>
  <c r="J12" i="35"/>
  <c r="G569" i="3"/>
  <c r="G504" i="3"/>
  <c r="BL391" i="3"/>
  <c r="BL396" i="3"/>
  <c r="G397" i="3"/>
  <c r="BA398" i="3"/>
  <c r="BL400" i="3"/>
  <c r="AZ400" i="3" s="1"/>
  <c r="G401" i="3"/>
  <c r="BA403" i="3"/>
  <c r="BA405" i="3"/>
  <c r="BL405" i="3"/>
  <c r="AZ405" i="3" s="1"/>
  <c r="G408" i="3"/>
  <c r="G409" i="3"/>
  <c r="BA412" i="3"/>
  <c r="G416" i="3"/>
  <c r="BL426" i="3"/>
  <c r="BA438" i="3"/>
  <c r="BL440" i="3"/>
  <c r="G441" i="3"/>
  <c r="G446" i="3"/>
  <c r="BA447" i="3"/>
  <c r="BL449" i="3"/>
  <c r="G452" i="3"/>
  <c r="S37" i="33"/>
  <c r="G564" i="3"/>
  <c r="G551" i="3"/>
  <c r="G533" i="3"/>
  <c r="G505" i="3"/>
  <c r="G496" i="3"/>
  <c r="G495" i="3"/>
  <c r="G489" i="3"/>
  <c r="G15" i="3"/>
  <c r="AZ551" i="3"/>
  <c r="AB41" i="21"/>
  <c r="G548" i="3"/>
  <c r="G519" i="3"/>
  <c r="BL389" i="3"/>
  <c r="G392" i="3"/>
  <c r="G393" i="3"/>
  <c r="BA396" i="3"/>
  <c r="BA433" i="3"/>
  <c r="BL433" i="3"/>
  <c r="BA436" i="3"/>
  <c r="AZ436" i="3" s="1"/>
  <c r="G389" i="3"/>
  <c r="BA395" i="3"/>
  <c r="BA397" i="3"/>
  <c r="G398" i="3"/>
  <c r="BA399" i="3"/>
  <c r="BL401" i="3"/>
  <c r="BA404" i="3"/>
  <c r="BL409" i="3"/>
  <c r="G412" i="3"/>
  <c r="BA418" i="3"/>
  <c r="G438" i="3"/>
  <c r="G442" i="3"/>
  <c r="G443" i="3"/>
  <c r="BA443" i="3"/>
  <c r="BL446" i="3"/>
  <c r="BA205" i="3"/>
  <c r="BL206" i="3"/>
  <c r="BA217" i="3"/>
  <c r="G222" i="3"/>
  <c r="BL222" i="3"/>
  <c r="G226" i="3"/>
  <c r="BA227" i="3"/>
  <c r="BL238" i="3"/>
  <c r="BA240" i="3"/>
  <c r="AZ240" i="3" s="1"/>
  <c r="BL240" i="3"/>
  <c r="BA245" i="3"/>
  <c r="BL247" i="3"/>
  <c r="AZ247" i="3" s="1"/>
  <c r="BA249" i="3"/>
  <c r="G254" i="3"/>
  <c r="BL254" i="3"/>
  <c r="BA256" i="3"/>
  <c r="BL256" i="3"/>
  <c r="BL292" i="3"/>
  <c r="AZ292" i="3" s="1"/>
  <c r="BL397"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48" i="3"/>
  <c r="G451" i="3"/>
  <c r="BA451" i="3"/>
  <c r="BL456" i="3"/>
  <c r="G457" i="3"/>
  <c r="G459" i="3"/>
  <c r="BA459" i="3"/>
  <c r="BL461" i="3"/>
  <c r="BA464" i="3"/>
  <c r="G468" i="3"/>
  <c r="BA470" i="3"/>
  <c r="BL472" i="3"/>
  <c r="G473" i="3"/>
  <c r="G475" i="3"/>
  <c r="BA475" i="3"/>
  <c r="BL477" i="3"/>
  <c r="BA480" i="3"/>
  <c r="G315" i="3"/>
  <c r="BA341" i="3"/>
  <c r="G349" i="3"/>
  <c r="BA350" i="3"/>
  <c r="G367" i="3"/>
  <c r="G383" i="3"/>
  <c r="BA385" i="3"/>
  <c r="BL386" i="3"/>
  <c r="BL207" i="3"/>
  <c r="G208" i="3"/>
  <c r="G209" i="3"/>
  <c r="BL210" i="3"/>
  <c r="BA221" i="3"/>
  <c r="BL223" i="3"/>
  <c r="G230" i="3"/>
  <c r="BA231" i="3"/>
  <c r="AZ231" i="3" s="1"/>
  <c r="G235" i="3"/>
  <c r="G236" i="3"/>
  <c r="BA237" i="3"/>
  <c r="BL239" i="3"/>
  <c r="G240" i="3"/>
  <c r="G242" i="3"/>
  <c r="BL242" i="3"/>
  <c r="G247" i="3"/>
  <c r="G269" i="3"/>
  <c r="G270" i="3"/>
  <c r="BL270" i="3"/>
  <c r="BA275" i="3"/>
  <c r="AZ275" i="3" s="1"/>
  <c r="G129" i="3"/>
  <c r="G145"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AZ319" i="3" s="1"/>
  <c r="G320" i="3"/>
  <c r="BL330" i="3"/>
  <c r="AZ330" i="3" s="1"/>
  <c r="G331" i="3"/>
  <c r="G336" i="3"/>
  <c r="BL346" i="3"/>
  <c r="G347" i="3"/>
  <c r="BA368" i="3"/>
  <c r="BL380" i="3"/>
  <c r="AZ380" i="3" s="1"/>
  <c r="G207" i="3"/>
  <c r="BA209" i="3"/>
  <c r="BA224" i="3"/>
  <c r="G228" i="3"/>
  <c r="G229" i="3"/>
  <c r="BL230" i="3"/>
  <c r="BA232" i="3"/>
  <c r="BL232" i="3"/>
  <c r="BA241" i="3"/>
  <c r="BA251" i="3"/>
  <c r="G255" i="3"/>
  <c r="BA257" i="3"/>
  <c r="BA260" i="3"/>
  <c r="BL260" i="3"/>
  <c r="BA263" i="3"/>
  <c r="G267" i="3"/>
  <c r="G268" i="3"/>
  <c r="BL273" i="3"/>
  <c r="BL274" i="3"/>
  <c r="BL285" i="3"/>
  <c r="BA295" i="3"/>
  <c r="BL296" i="3"/>
  <c r="BL114" i="3"/>
  <c r="AZ114" i="3" s="1"/>
  <c r="BA115" i="3"/>
  <c r="AZ115" i="3" s="1"/>
  <c r="BL117" i="3"/>
  <c r="G118" i="3"/>
  <c r="BL144" i="3"/>
  <c r="G453" i="3"/>
  <c r="BA456" i="3"/>
  <c r="G460" i="3"/>
  <c r="BA462" i="3"/>
  <c r="BL464" i="3"/>
  <c r="G465" i="3"/>
  <c r="BA467" i="3"/>
  <c r="BL469" i="3"/>
  <c r="BA472" i="3"/>
  <c r="AZ472" i="3" s="1"/>
  <c r="G476" i="3"/>
  <c r="BA478" i="3"/>
  <c r="BL480" i="3"/>
  <c r="BL312" i="3"/>
  <c r="AZ312" i="3" s="1"/>
  <c r="G313" i="3"/>
  <c r="BL335" i="3"/>
  <c r="BA353" i="3"/>
  <c r="AZ353" i="3" s="1"/>
  <c r="G365" i="3"/>
  <c r="G375" i="3"/>
  <c r="C44" i="59"/>
  <c r="C45" i="59" s="1"/>
  <c r="D43" i="59"/>
  <c r="S77" i="59"/>
  <c r="B76" i="59"/>
  <c r="B75" i="59" s="1"/>
  <c r="BA261" i="3"/>
  <c r="BL263" i="3"/>
  <c r="G266" i="3"/>
  <c r="BL266" i="3"/>
  <c r="BL272" i="3"/>
  <c r="G282" i="3"/>
  <c r="BL282" i="3"/>
  <c r="BL288" i="3"/>
  <c r="BA113" i="3"/>
  <c r="BA117" i="3"/>
  <c r="BA119" i="3"/>
  <c r="AZ119" i="3" s="1"/>
  <c r="G123" i="3"/>
  <c r="BA123" i="3"/>
  <c r="BL125" i="3"/>
  <c r="BA132" i="3"/>
  <c r="BA148" i="3"/>
  <c r="G153" i="3"/>
  <c r="BL157" i="3"/>
  <c r="AZ157" i="3" s="1"/>
  <c r="G162" i="3"/>
  <c r="BA162" i="3"/>
  <c r="AZ162" i="3" s="1"/>
  <c r="BL164" i="3"/>
  <c r="BA171" i="3"/>
  <c r="BA176" i="3"/>
  <c r="AZ176" i="3" s="1"/>
  <c r="BL178" i="3"/>
  <c r="AZ178" i="3" s="1"/>
  <c r="BA180" i="3"/>
  <c r="AZ180" i="3" s="1"/>
  <c r="G184" i="3"/>
  <c r="BA204" i="3"/>
  <c r="AZ204" i="3" s="1"/>
  <c r="C36" i="59"/>
  <c r="D35" i="59"/>
  <c r="D60" i="59"/>
  <c r="C61" i="59"/>
  <c r="G211" i="3"/>
  <c r="BA213" i="3"/>
  <c r="BL214" i="3"/>
  <c r="BA219" i="3"/>
  <c r="AZ219" i="3" s="1"/>
  <c r="G223" i="3"/>
  <c r="BA225" i="3"/>
  <c r="BA233" i="3"/>
  <c r="BA236" i="3"/>
  <c r="AZ236" i="3" s="1"/>
  <c r="BL236" i="3"/>
  <c r="BA239" i="3"/>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BA24" i="3"/>
  <c r="BL53" i="3"/>
  <c r="S69" i="59"/>
  <c r="AB30" i="59"/>
  <c r="F31" i="59"/>
  <c r="F32" i="59" s="1"/>
  <c r="F33" i="59" s="1"/>
  <c r="V33" i="59" s="1"/>
  <c r="AB3" i="59"/>
  <c r="AB27" i="59"/>
  <c r="T73" i="59"/>
  <c r="D73" i="59"/>
  <c r="C72" i="59"/>
  <c r="T81" i="59"/>
  <c r="C80" i="59"/>
  <c r="BA125" i="3"/>
  <c r="BA127" i="3"/>
  <c r="AZ127" i="3" s="1"/>
  <c r="G133" i="3"/>
  <c r="BL133" i="3"/>
  <c r="AZ133" i="3" s="1"/>
  <c r="BL136" i="3"/>
  <c r="BA140" i="3"/>
  <c r="G143" i="3"/>
  <c r="G149" i="3"/>
  <c r="BL149" i="3"/>
  <c r="BA159" i="3"/>
  <c r="AZ159" i="3" s="1"/>
  <c r="BA164" i="3"/>
  <c r="AZ164" i="3" s="1"/>
  <c r="BA166" i="3"/>
  <c r="AZ166" i="3" s="1"/>
  <c r="G172" i="3"/>
  <c r="BL175" i="3"/>
  <c r="G181" i="3"/>
  <c r="G185" i="3"/>
  <c r="BA186" i="3"/>
  <c r="BL25" i="3"/>
  <c r="BA29" i="3"/>
  <c r="BL30" i="3"/>
  <c r="BL31" i="3"/>
  <c r="BA33" i="3"/>
  <c r="BL34" i="3"/>
  <c r="BL35" i="3"/>
  <c r="BA36" i="3"/>
  <c r="BL44" i="3"/>
  <c r="BL65" i="3"/>
  <c r="AA31" i="39"/>
  <c r="S31" i="39"/>
  <c r="C65" i="59"/>
  <c r="D64" i="59"/>
  <c r="F72" i="59"/>
  <c r="F71" i="59" s="1"/>
  <c r="F80" i="59"/>
  <c r="F79" i="59" s="1"/>
  <c r="BA187" i="3"/>
  <c r="BA191" i="3"/>
  <c r="BA195" i="3"/>
  <c r="BA199" i="3"/>
  <c r="G202" i="3"/>
  <c r="G203" i="3"/>
  <c r="BA203" i="3"/>
  <c r="AZ203" i="3" s="1"/>
  <c r="G24" i="3"/>
  <c r="G25" i="3"/>
  <c r="BA26" i="3"/>
  <c r="G30" i="3"/>
  <c r="G31" i="3"/>
  <c r="BA31" i="3"/>
  <c r="AZ31" i="3" s="1"/>
  <c r="G34" i="3"/>
  <c r="G35" i="3"/>
  <c r="BA35" i="3"/>
  <c r="G40" i="3"/>
  <c r="G41" i="3"/>
  <c r="BA42" i="3"/>
  <c r="G46" i="3"/>
  <c r="G47" i="3"/>
  <c r="BA47" i="3"/>
  <c r="AZ47" i="3" s="1"/>
  <c r="G50" i="3"/>
  <c r="G51" i="3"/>
  <c r="BA51" i="3"/>
  <c r="AZ51" i="3" s="1"/>
  <c r="G56" i="3"/>
  <c r="G57" i="3"/>
  <c r="BA58" i="3"/>
  <c r="BL62" i="3"/>
  <c r="BL64" i="3"/>
  <c r="G68" i="3"/>
  <c r="BA70" i="3"/>
  <c r="BL75" i="3"/>
  <c r="G77" i="3"/>
  <c r="G78" i="3"/>
  <c r="BA78" i="3"/>
  <c r="AZ78" i="3" s="1"/>
  <c r="BA80" i="3"/>
  <c r="BL81" i="3"/>
  <c r="BL82" i="3"/>
  <c r="BA83" i="3"/>
  <c r="BL86" i="3"/>
  <c r="G91" i="3"/>
  <c r="BA91" i="3"/>
  <c r="BA93" i="3"/>
  <c r="G96" i="3"/>
  <c r="G103" i="3"/>
  <c r="BA103" i="3"/>
  <c r="BL105" i="3"/>
  <c r="BA108" i="3"/>
  <c r="K13" i="1"/>
  <c r="M13" i="1" s="1"/>
  <c r="P27" i="6"/>
  <c r="Q68" i="59"/>
  <c r="AA27" i="59"/>
  <c r="X32" i="59"/>
  <c r="X33" i="59"/>
  <c r="E48" i="59"/>
  <c r="E49" i="59" s="1"/>
  <c r="U49" i="59" s="1"/>
  <c r="B60" i="59"/>
  <c r="B61" i="59" s="1"/>
  <c r="S61" i="59" s="1"/>
  <c r="D25" i="59"/>
  <c r="BL48" i="3"/>
  <c r="BA56" i="3"/>
  <c r="BL79" i="3"/>
  <c r="BA82" i="3"/>
  <c r="BA88" i="3"/>
  <c r="AZ88" i="3" s="1"/>
  <c r="BA90" i="3"/>
  <c r="BL92" i="3"/>
  <c r="BL95" i="3"/>
  <c r="BL104" i="3"/>
  <c r="AZ104" i="3" s="1"/>
  <c r="BA107" i="3"/>
  <c r="BL109" i="3"/>
  <c r="BL111" i="3"/>
  <c r="BA112" i="3"/>
  <c r="AZ112" i="3" s="1"/>
  <c r="S21" i="21"/>
  <c r="D52" i="59"/>
  <c r="C75" i="59"/>
  <c r="D75" i="59" s="1"/>
  <c r="C67" i="59"/>
  <c r="C88" i="59"/>
  <c r="Q69" i="59"/>
  <c r="AA3" i="59"/>
  <c r="AA30" i="59"/>
  <c r="Y31" i="59"/>
  <c r="Z31" i="59" s="1"/>
  <c r="Y32" i="59"/>
  <c r="Z32" i="59" s="1"/>
  <c r="Y33" i="59"/>
  <c r="Z33" i="59" s="1"/>
  <c r="Y38" i="59"/>
  <c r="Z38" i="59" s="1"/>
  <c r="F39" i="59"/>
  <c r="F40" i="59" s="1"/>
  <c r="F41" i="59" s="1"/>
  <c r="V41" i="59" s="1"/>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AZ63" i="3" s="1"/>
  <c r="BA64" i="3"/>
  <c r="AZ64" i="3" s="1"/>
  <c r="BL66" i="3"/>
  <c r="BA69" i="3"/>
  <c r="G72" i="3"/>
  <c r="G73" i="3"/>
  <c r="G74" i="3"/>
  <c r="G79" i="3"/>
  <c r="G84" i="3"/>
  <c r="G85" i="3"/>
  <c r="G92" i="3"/>
  <c r="G95" i="3"/>
  <c r="BA95" i="3"/>
  <c r="BL101" i="3"/>
  <c r="BA106" i="3"/>
  <c r="BL108" i="3"/>
  <c r="AZ108" i="3" s="1"/>
  <c r="G109" i="3"/>
  <c r="G111" i="3"/>
  <c r="X34"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40" i="3"/>
  <c r="AZ448" i="3"/>
  <c r="AZ456" i="3"/>
  <c r="AZ460" i="3"/>
  <c r="AZ464" i="3"/>
  <c r="AZ468" i="3"/>
  <c r="AZ476" i="3"/>
  <c r="AZ480"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AZ218" i="3" s="1"/>
  <c r="BL219" i="3"/>
  <c r="BA222" i="3"/>
  <c r="BA226" i="3"/>
  <c r="AZ226" i="3" s="1"/>
  <c r="BL227" i="3"/>
  <c r="AZ113" i="3"/>
  <c r="AZ291" i="3"/>
  <c r="AZ117" i="3"/>
  <c r="AZ125" i="3"/>
  <c r="AZ141" i="3"/>
  <c r="BA149" i="3"/>
  <c r="AZ149" i="3" s="1"/>
  <c r="BL233" i="3"/>
  <c r="AZ233" i="3" s="1"/>
  <c r="BL237" i="3"/>
  <c r="AZ237" i="3" s="1"/>
  <c r="BL241" i="3"/>
  <c r="AZ241" i="3" s="1"/>
  <c r="BL245" i="3"/>
  <c r="AZ245" i="3" s="1"/>
  <c r="BL249" i="3"/>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BA21" i="3"/>
  <c r="BL22" i="3"/>
  <c r="AZ22" i="3" s="1"/>
  <c r="BA25" i="3"/>
  <c r="AZ25" i="3" s="1"/>
  <c r="BL26" i="3"/>
  <c r="AZ26" i="3" s="1"/>
  <c r="BA37" i="3"/>
  <c r="AZ37" i="3" s="1"/>
  <c r="BL38" i="3"/>
  <c r="AZ38" i="3" s="1"/>
  <c r="BA41" i="3"/>
  <c r="AZ41" i="3" s="1"/>
  <c r="BL42" i="3"/>
  <c r="BA53" i="3"/>
  <c r="AZ53" i="3" s="1"/>
  <c r="BL54" i="3"/>
  <c r="AZ54" i="3" s="1"/>
  <c r="BL84" i="3"/>
  <c r="AZ84" i="3" s="1"/>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AZ20" i="3"/>
  <c r="AZ484" i="3"/>
  <c r="AZ395" i="3"/>
  <c r="AZ397" i="3"/>
  <c r="AZ411" i="3"/>
  <c r="AZ413" i="3"/>
  <c r="AZ427" i="3"/>
  <c r="AZ443" i="3"/>
  <c r="AZ447" i="3"/>
  <c r="AZ451" i="3"/>
  <c r="AZ457" i="3"/>
  <c r="AZ465" i="3"/>
  <c r="AZ473" i="3"/>
  <c r="AZ206" i="3"/>
  <c r="AZ116" i="3"/>
  <c r="BT5" i="3"/>
  <c r="G28" i="6" s="1"/>
  <c r="G30" i="6" s="1"/>
  <c r="G31" i="6" s="1"/>
  <c r="BI5" i="3"/>
  <c r="BG5" i="3"/>
  <c r="AZ208" i="3"/>
  <c r="AZ211" i="3"/>
  <c r="AZ227" i="3"/>
  <c r="AZ235" i="3"/>
  <c r="AZ243" i="3"/>
  <c r="AZ251" i="3"/>
  <c r="AZ259" i="3"/>
  <c r="AZ271" i="3"/>
  <c r="AZ287" i="3"/>
  <c r="AZ168" i="3"/>
  <c r="AZ186" i="3"/>
  <c r="AZ190" i="3"/>
  <c r="AZ29" i="3"/>
  <c r="AZ33" i="3"/>
  <c r="AZ45"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K15" i="1"/>
  <c r="O11" i="1"/>
  <c r="P11" i="1"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D69"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P29" i="46"/>
  <c r="B72" i="39" s="1"/>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3" i="65"/>
  <c r="E2" i="65"/>
  <c r="E53" i="40" l="1"/>
  <c r="F19" i="6"/>
  <c r="E19" i="6" s="1"/>
  <c r="AC42" i="40"/>
  <c r="W42" i="40"/>
  <c r="AC29" i="40"/>
  <c r="S13" i="40"/>
  <c r="AA13" i="40"/>
  <c r="AB23" i="40"/>
  <c r="S19" i="40"/>
  <c r="K34" i="9"/>
  <c r="BL5" i="3"/>
  <c r="AA23" i="40"/>
  <c r="S29" i="40"/>
  <c r="D21" i="12"/>
  <c r="C21" i="12" s="1"/>
  <c r="AZ21" i="3"/>
  <c r="AZ350" i="3"/>
  <c r="AZ82" i="3"/>
  <c r="AZ248" i="3"/>
  <c r="AZ263" i="3"/>
  <c r="AZ232" i="3"/>
  <c r="AZ256" i="3"/>
  <c r="AC14" i="33"/>
  <c r="W14" i="33"/>
  <c r="W24" i="36"/>
  <c r="AC24" i="36"/>
  <c r="AC31" i="33"/>
  <c r="W31" i="33"/>
  <c r="S13" i="35"/>
  <c r="AA13" i="35"/>
  <c r="AC36" i="35"/>
  <c r="W36" i="35"/>
  <c r="AA46" i="21"/>
  <c r="S46" i="21"/>
  <c r="O66" i="59"/>
  <c r="D67" i="59"/>
  <c r="D80" i="59"/>
  <c r="C79" i="59"/>
  <c r="D79" i="59" s="1"/>
  <c r="T61" i="59"/>
  <c r="D61" i="59"/>
  <c r="AA9" i="35"/>
  <c r="S9" i="35"/>
  <c r="AB24" i="36"/>
  <c r="U24" i="36"/>
  <c r="AB9" i="34"/>
  <c r="U9" i="34"/>
  <c r="AC13" i="35"/>
  <c r="W13" i="35"/>
  <c r="W13" i="36"/>
  <c r="AC13" i="36"/>
  <c r="U46" i="21"/>
  <c r="AB46" i="21"/>
  <c r="G10" i="1"/>
  <c r="AZ91" i="3"/>
  <c r="P25" i="46"/>
  <c r="P26" i="46"/>
  <c r="E15" i="6"/>
  <c r="E61" i="40" s="1"/>
  <c r="O23" i="46"/>
  <c r="AZ103" i="3"/>
  <c r="O67" i="59"/>
  <c r="AZ42" i="3"/>
  <c r="AZ195" i="3"/>
  <c r="AZ249" i="3"/>
  <c r="AZ391" i="3"/>
  <c r="AZ205" i="3"/>
  <c r="AZ474" i="3"/>
  <c r="AB31" i="33"/>
  <c r="T65" i="59"/>
  <c r="D65" i="59"/>
  <c r="C71" i="59"/>
  <c r="D71" i="59" s="1"/>
  <c r="D72" i="59"/>
  <c r="AZ284" i="3"/>
  <c r="AZ239" i="3"/>
  <c r="U14" i="33"/>
  <c r="AB14" i="33"/>
  <c r="AA31" i="33"/>
  <c r="S31" i="33"/>
  <c r="S13" i="37"/>
  <c r="AA13" i="37"/>
  <c r="AB25" i="35"/>
  <c r="U25" i="35"/>
  <c r="S29" i="34"/>
  <c r="AA29" i="34"/>
  <c r="AB36" i="35"/>
  <c r="U36" i="35"/>
  <c r="AA14" i="21"/>
  <c r="S14" i="21"/>
  <c r="R7" i="54"/>
  <c r="B52" i="63" s="1"/>
  <c r="AZ30" i="3"/>
  <c r="AZ285" i="3"/>
  <c r="AZ222" i="3"/>
  <c r="AZ386" i="3"/>
  <c r="D88" i="59"/>
  <c r="C87" i="59"/>
  <c r="D87" i="59" s="1"/>
  <c r="AZ35" i="3"/>
  <c r="C37" i="59"/>
  <c r="D36" i="59"/>
  <c r="AZ260" i="3"/>
  <c r="W12" i="35"/>
  <c r="AC12" i="35"/>
  <c r="AA24" i="36"/>
  <c r="S24" i="36"/>
  <c r="AA9" i="34"/>
  <c r="S9" i="34"/>
  <c r="AB13" i="37"/>
  <c r="U13" i="37"/>
  <c r="AA25" i="35"/>
  <c r="S25" i="35"/>
  <c r="AC29" i="34"/>
  <c r="W29" i="34"/>
  <c r="S13" i="36"/>
  <c r="AA13" i="36"/>
  <c r="W14" i="21"/>
  <c r="AC14"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C29" i="12"/>
  <c r="BA5" i="3"/>
  <c r="E12" i="6"/>
  <c r="J7" i="21"/>
  <c r="AC7" i="21" s="1"/>
  <c r="V48" i="21" s="1"/>
  <c r="I48"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A3" i="3" s="1"/>
  <c r="I4" i="6" s="1"/>
  <c r="G3" i="46" s="1"/>
  <c r="E63" i="39"/>
  <c r="E58" i="40"/>
  <c r="E66" i="39"/>
  <c r="H7" i="34"/>
  <c r="U7" i="34" s="1"/>
  <c r="F7" i="34"/>
  <c r="AA7" i="34" s="1"/>
  <c r="R49" i="34" s="1"/>
  <c r="J7" i="34"/>
  <c r="W7" i="34"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E32" i="6" l="1"/>
  <c r="K6" i="1"/>
  <c r="Z7" i="46"/>
  <c r="E26" i="46"/>
  <c r="G26" i="46"/>
  <c r="B117" i="46"/>
  <c r="H26" i="46"/>
  <c r="J26" i="46"/>
  <c r="F26" i="46"/>
  <c r="T37" i="59"/>
  <c r="D3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W12" i="40"/>
  <c r="AC12" i="40"/>
  <c r="V44" i="40" s="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M27" i="15"/>
  <c r="M29" i="44"/>
  <c r="M6" i="1" l="1"/>
  <c r="O6" i="1" s="1"/>
  <c r="P6" i="1" s="1"/>
  <c r="C15" i="12" s="1"/>
  <c r="H16" i="1"/>
  <c r="Q16" i="1"/>
  <c r="G16" i="1"/>
  <c r="AP16" i="1"/>
  <c r="F22" i="11" s="1"/>
  <c r="C22" i="11" s="1"/>
  <c r="C23" i="11" s="1"/>
  <c r="B2" i="11" s="1"/>
  <c r="B3" i="11"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D22" i="12"/>
  <c r="C22" i="12" s="1"/>
  <c r="C20" i="12" s="1"/>
  <c r="D26" i="46"/>
  <c r="C25" i="46" s="1"/>
  <c r="C33" i="46"/>
  <c r="E33" i="46"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U12" i="40"/>
  <c r="AB12" i="40"/>
  <c r="AA12" i="40"/>
  <c r="R44" i="40" s="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B5" i="11" l="1"/>
  <c r="F21" i="43"/>
  <c r="F33" i="12"/>
  <c r="C34" i="12" s="1"/>
  <c r="D33" i="12" s="1"/>
  <c r="M21" i="6"/>
  <c r="I21" i="6" s="1"/>
  <c r="S21" i="6" s="1"/>
  <c r="F12" i="39"/>
  <c r="H12" i="39"/>
  <c r="J12" i="39"/>
  <c r="C34" i="46"/>
  <c r="E34" i="46"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H21" i="6" l="1"/>
  <c r="AC12" i="39"/>
  <c r="W12" i="39"/>
  <c r="H25" i="6"/>
  <c r="R25" i="6" s="1"/>
  <c r="R12" i="1" s="1"/>
  <c r="U12" i="39"/>
  <c r="AB12" i="39"/>
  <c r="D30" i="6"/>
  <c r="S12" i="39"/>
  <c r="AA12" i="39"/>
  <c r="H24" i="6"/>
  <c r="R24" i="6" s="1"/>
  <c r="R11" i="1" s="1"/>
  <c r="H23" i="6"/>
  <c r="R23" i="6" s="1"/>
  <c r="R10" i="1" s="1"/>
  <c r="H22" i="6"/>
  <c r="R22" i="6" s="1"/>
  <c r="R9" i="1" s="1"/>
  <c r="S16" i="1"/>
  <c r="T11" i="1" s="1"/>
  <c r="D16" i="59"/>
  <c r="C15" i="59"/>
  <c r="C31" i="46"/>
  <c r="C30" i="46"/>
  <c r="B2" i="46" s="1"/>
  <c r="F14" i="66"/>
  <c r="I27" i="6"/>
  <c r="S19" i="6"/>
  <c r="S27" i="6" s="1"/>
  <c r="H19" i="6"/>
  <c r="R19" i="6" s="1"/>
  <c r="R6" i="1" s="1"/>
  <c r="R26" i="6"/>
  <c r="F7" i="59"/>
  <c r="B8" i="59"/>
  <c r="E8" i="59"/>
  <c r="R21" i="6"/>
  <c r="R8" i="1" s="1"/>
  <c r="D27" i="6"/>
  <c r="D31" i="6" s="1"/>
  <c r="A20" i="64"/>
  <c r="A6" i="64"/>
  <c r="A20" i="51"/>
  <c r="B15" i="63" s="1"/>
  <c r="N5" i="54"/>
  <c r="B43" i="63" s="1"/>
  <c r="A6" i="51"/>
  <c r="B7" i="63" s="1"/>
  <c r="D6" i="66"/>
  <c r="D8" i="66"/>
  <c r="D7" i="66"/>
  <c r="D16" i="6"/>
  <c r="R20" i="6"/>
  <c r="R7" i="1" s="1"/>
  <c r="C17" i="43"/>
  <c r="C14" i="43"/>
  <c r="C14" i="12"/>
  <c r="C17" i="12"/>
  <c r="I64" i="40"/>
  <c r="H66" i="40"/>
  <c r="H71" i="39"/>
  <c r="I69" i="39"/>
  <c r="N46" i="36"/>
  <c r="E3" i="67"/>
  <c r="B2" i="67"/>
  <c r="D5" i="66"/>
  <c r="C5" i="66"/>
  <c r="M21" i="15"/>
  <c r="F37" i="44"/>
  <c r="M23" i="44"/>
  <c r="F35" i="15"/>
  <c r="C14" i="15"/>
  <c r="T7" i="1" l="1"/>
  <c r="T12" i="1"/>
  <c r="T13" i="1"/>
  <c r="T10" i="1"/>
  <c r="L44" i="9"/>
  <c r="D4" i="46"/>
  <c r="T8" i="1"/>
  <c r="T9" i="1"/>
  <c r="T6"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H7" i="36"/>
  <c r="J64" i="40"/>
  <c r="I66" i="40"/>
  <c r="J69" i="39"/>
  <c r="I71" i="39"/>
  <c r="B3" i="67"/>
  <c r="B4" i="67"/>
  <c r="C16" i="44"/>
  <c r="T16" i="1" l="1"/>
  <c r="C20" i="44"/>
  <c r="C17" i="44"/>
  <c r="F7" i="36"/>
  <c r="AA7" i="36" s="1"/>
  <c r="R36" i="36" s="1"/>
  <c r="C13" i="59"/>
  <c r="D14" i="59"/>
  <c r="C19" i="15"/>
  <c r="C20" i="15" s="1"/>
  <c r="C26" i="15" s="1"/>
  <c r="F5" i="59"/>
  <c r="V5" i="59" s="1"/>
  <c r="B6" i="59"/>
  <c r="E6" i="59"/>
  <c r="C19" i="43"/>
  <c r="K69" i="39"/>
  <c r="J71" i="39"/>
  <c r="U7" i="36"/>
  <c r="AB7" i="36"/>
  <c r="T36" i="36" s="1"/>
  <c r="G36" i="36" s="1"/>
  <c r="AC7" i="36"/>
  <c r="V36" i="36" s="1"/>
  <c r="I36" i="36" s="1"/>
  <c r="W7" i="36"/>
  <c r="J66" i="40"/>
  <c r="K64" i="40"/>
  <c r="C21" i="44" l="1"/>
  <c r="C22" i="44" s="1"/>
  <c r="C28" i="44" s="1"/>
  <c r="S7" i="36"/>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AC9" i="40"/>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46" i="40" s="1"/>
  <c r="C20" i="9" s="1"/>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G19" i="9" l="1"/>
  <c r="L43" i="9"/>
  <c r="D22" i="9"/>
  <c r="D5" i="59"/>
  <c r="M24" i="46" s="1"/>
  <c r="T5" i="59"/>
  <c r="B5" i="39"/>
  <c r="B4" i="39"/>
  <c r="B3" i="39"/>
  <c r="B5" i="40"/>
  <c r="B4" i="40"/>
  <c r="B3" i="40"/>
  <c r="C21" i="9" l="1"/>
  <c r="G21" i="9" s="1"/>
  <c r="G20" i="9"/>
  <c r="N43" i="9"/>
  <c r="C32" i="9"/>
  <c r="F20" i="43"/>
  <c r="D20" i="43" s="1"/>
  <c r="F26" i="12"/>
  <c r="F26" i="44"/>
  <c r="F24" i="15"/>
  <c r="C42" i="9" l="1"/>
  <c r="O38" i="9"/>
  <c r="C33" i="9"/>
  <c r="O43" i="9"/>
  <c r="C35" i="9"/>
  <c r="F42" i="9" s="1"/>
  <c r="C34" i="9"/>
  <c r="C20" i="43"/>
  <c r="C24" i="15"/>
  <c r="C23" i="15"/>
  <c r="C27" i="12"/>
  <c r="D26" i="12" s="1"/>
  <c r="C32" i="12" s="1"/>
  <c r="D30" i="12" s="1"/>
  <c r="C28" i="12"/>
  <c r="C26" i="12" s="1"/>
  <c r="C31" i="12" s="1"/>
  <c r="C30" i="12" s="1"/>
  <c r="C26" i="44"/>
  <c r="C25" i="44"/>
  <c r="D42" i="9" l="1"/>
  <c r="Q5" i="54" s="1"/>
  <c r="B47" i="63" s="1"/>
  <c r="N38" i="9"/>
  <c r="K28" i="9" s="1"/>
  <c r="E42" i="9"/>
  <c r="P5" i="54" s="1"/>
  <c r="B46" i="63" s="1"/>
  <c r="M38" i="9"/>
  <c r="K27" i="9" s="1"/>
  <c r="K25" i="9"/>
  <c r="K26" i="9"/>
  <c r="D63" i="9"/>
  <c r="R5" i="54"/>
  <c r="B48" i="63" s="1"/>
  <c r="N68" i="9"/>
  <c r="C23" i="43"/>
  <c r="C31" i="44"/>
  <c r="C38" i="44" s="1"/>
  <c r="C36" i="12"/>
  <c r="B2" i="12" s="1"/>
  <c r="B3" i="12" s="1"/>
  <c r="C29" i="15"/>
  <c r="C82" i="9" l="1"/>
  <c r="C81" i="9" s="1"/>
  <c r="C85" i="9" s="1"/>
  <c r="C86" i="9" s="1"/>
  <c r="D72" i="9" s="1"/>
  <c r="D71" i="9"/>
  <c r="D66" i="9" s="1"/>
  <c r="N72" i="9" s="1"/>
  <c r="C96" i="9"/>
  <c r="C91" i="9" s="1"/>
  <c r="C90" i="9"/>
  <c r="D73" i="9"/>
  <c r="N73" i="9" s="1"/>
  <c r="C103" i="9"/>
  <c r="C111" i="9"/>
  <c r="C104" i="9" s="1"/>
  <c r="D70"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8" i="9" l="1"/>
  <c r="E98" i="9" s="1"/>
  <c r="E99" i="9" s="1"/>
  <c r="C114" i="9"/>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Q77" i="9" l="1"/>
  <c r="O79" i="9"/>
  <c r="O81" i="9" s="1"/>
  <c r="Q58" i="15"/>
  <c r="Q63" i="15" s="1"/>
  <c r="Q76" i="15"/>
  <c r="Q69" i="44"/>
  <c r="Q59" i="44"/>
  <c r="Q64" i="44" s="1"/>
  <c r="Q68" i="44"/>
  <c r="Q77" i="44"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<sst xmlns="http://schemas.openxmlformats.org/spreadsheetml/2006/main" count="7564" uniqueCount="3390">
  <si>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</si>
  <si>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</si>
  <si>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</si>
  <si>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</si>
  <si>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</si>
  <si>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</si>
  <si>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</si>
  <si>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</si>
  <si>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</si>
  <si>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</si>
  <si>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</si>
  <si>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</si>
  <si>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</si>
  <si>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</si>
  <si>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</si>
  <si>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</si>
  <si>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</si>
  <si>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</si>
  <si>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</si>
  <si>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</si>
  <si>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</si>
  <si>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</si>
  <si>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</si>
  <si>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</si>
  <si>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</si>
  <si>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</si>
  <si>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</si>
  <si>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</si>
  <si>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</si>
  <si>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</si>
  <si>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</si>
  <si>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</si>
  <si>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</si>
  <si>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</si>
  <si>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</si>
  <si>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</si>
  <si>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</si>
  <si>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</si>
  <si>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</si>
  <si>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</si>
  <si>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</si>
  <si>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</si>
  <si>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</si>
  <si>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</si>
  <si>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</si>
  <si>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</si>
  <si>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</si>
  <si>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</si>
  <si>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</si>
  <si>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</si>
  <si>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</si>
  <si>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</si>
  <si>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</si>
  <si>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</si>
  <si>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</si>
  <si>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</si>
  <si>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</si>
  <si>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</si>
  <si>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</si>
  <si>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</si>
  <si>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</si>
  <si>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</si>
  <si>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</si>
  <si>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</si>
  <si>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</si>
  <si>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</si>
  <si>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</si>
  <si>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</si>
  <si>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</si>
  <si>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</si>
  <si>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</si>
  <si>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</si>
  <si>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</si>
  <si>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</si>
  <si>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</si>
  <si>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</si>
  <si>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</si>
  <si>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</si>
  <si>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</si>
  <si>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</si>
  <si>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</si>
  <si>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</si>
  <si>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</si>
  <si>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</si>
  <si>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</si>
  <si>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</si>
  <si>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</si>
  <si>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</si>
  <si>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</si>
  <si>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</si>
  <si>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</si>
  <si>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</si>
  <si>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</si>
  <si>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</si>
  <si>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</si>
  <si>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</si>
  <si>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</si>
  <si>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</si>
  <si>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</si>
  <si>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</si>
  <si>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</si>
  <si>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</si>
  <si>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</si>
  <si>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</si>
  <si>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</si>
  <si>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</si>
  <si>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</si>
  <si>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</si>
  <si>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</si>
  <si>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</si>
  <si>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</si>
  <si>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</si>
  <si>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</si>
  <si>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</si>
  <si>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</si>
  <si>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</si>
  <si>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</si>
  <si>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</si>
  <si>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</si>
  <si>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</si>
  <si>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</si>
  <si>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</si>
  <si>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</si>
  <si>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</si>
  <si>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</si>
  <si>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</si>
  <si>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</si>
  <si>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</si>
  <si>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</si>
  <si>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</si>
  <si>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</si>
  <si>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</si>
  <si>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</si>
  <si>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</si>
  <si>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</si>
  <si>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</si>
  <si>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</si>
  <si>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</si>
  <si>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</si>
  <si>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</si>
  <si>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</si>
  <si>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</si>
  <si>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</si>
  <si>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</si>
  <si>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</si>
  <si>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</si>
  <si>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</si>
  <si>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</si>
  <si>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</si>
  <si>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</si>
  <si>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</si>
  <si>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</si>
  <si>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</si>
  <si>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</si>
  <si>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</si>
  <si>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</si>
  <si>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</si>
  <si>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</si>
  <si>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</si>
  <si>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</si>
  <si>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</si>
  <si>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</si>
  <si>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</si>
  <si>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</si>
  <si>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</si>
  <si>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</si>
  <si>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</si>
  <si>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</si>
  <si>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</si>
  <si>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</si>
  <si>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</si>
  <si>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</si>
  <si>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</si>
  <si>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</si>
  <si>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</si>
  <si>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</si>
  <si>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</si>
  <si>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</si>
  <si>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</si>
  <si>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</si>
  <si>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</si>
  <si>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</si>
  <si>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</si>
  <si>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</si>
  <si>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</si>
  <si>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</si>
  <si>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</si>
  <si>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</si>
  <si>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</si>
  <si>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</si>
  <si>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</si>
  <si>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</si>
  <si>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</si>
  <si>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</si>
  <si>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</si>
  <si>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</si>
  <si>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</si>
  <si>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</si>
  <si>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</si>
  <si>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</si>
  <si>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</si>
  <si>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</si>
  <si>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</si>
  <si>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</si>
  <si>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</si>
  <si>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</si>
  <si>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</si>
  <si>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</si>
  <si>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</si>
  <si>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</si>
  <si>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</si>
  <si>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</si>
  <si>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</si>
  <si>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</si>
  <si>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</si>
  <si>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</si>
  <si>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</si>
  <si>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</si>
  <si>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</si>
  <si>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</si>
  <si>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</si>
  <si>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</si>
  <si>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</si>
  <si>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</si>
  <si>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</si>
  <si>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</si>
  <si>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</si>
  <si>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</si>
  <si>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</si>
  <si>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</si>
  <si>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</si>
  <si>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</si>
  <si>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</si>
  <si>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</si>
  <si>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</si>
  <si>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</si>
  <si>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</si>
  <si>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</si>
  <si>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</si>
  <si>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</si>
  <si>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</si>
  <si>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</si>
  <si>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</si>
  <si>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</si>
  <si>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</si>
  <si>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</si>
  <si>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</si>
  <si>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</si>
  <si>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</si>
  <si>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</si>
  <si>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</si>
  <si>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</si>
  <si>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</si>
  <si>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</si>
  <si>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</si>
  <si>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</si>
  <si>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</si>
  <si>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</si>
  <si>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</si>
  <si>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</si>
  <si>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</si>
  <si>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</si>
  <si>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</si>
  <si>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</si>
  <si>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</si>
  <si>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</si>
  <si>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</si>
  <si>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</si>
  <si>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</si>
  <si>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</si>
  <si>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</si>
  <si>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</si>
  <si>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</si>
  <si>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</si>
  <si>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</si>
  <si>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</si>
  <si>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</si>
  <si>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</si>
  <si>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</si>
  <si>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</si>
  <si>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</si>
  <si>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</si>
  <si>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</si>
  <si>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</si>
  <si>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</si>
  <si>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</si>
  <si>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</si>
  <si>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</si>
  <si>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</si>
  <si>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</si>
  <si>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</si>
  <si>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</si>
  <si>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</si>
  <si>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</si>
  <si>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</si>
  <si>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</si>
  <si>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</si>
  <si>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</si>
  <si>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</si>
  <si>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</si>
  <si>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</si>
  <si>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</si>
  <si>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</si>
  <si>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</si>
  <si>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</si>
  <si>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</si>
  <si>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</si>
  <si>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</si>
  <si>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</si>
  <si>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</si>
  <si>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</si>
  <si>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</si>
  <si>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</si>
  <si>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</si>
  <si>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</si>
  <si>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</si>
  <si>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</si>
  <si>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</si>
  <si>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</si>
  <si>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</si>
  <si>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</si>
  <si>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</si>
  <si>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</si>
  <si>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</si>
  <si>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</si>
  <si>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</si>
  <si>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</si>
  <si>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</si>
  <si>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</si>
  <si>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</si>
  <si>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</si>
  <si>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</si>
  <si>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</si>
  <si>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</si>
  <si>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</si>
  <si>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</si>
  <si>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</si>
  <si>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</si>
  <si>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</si>
  <si>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</si>
  <si>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</si>
  <si>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</si>
  <si>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</si>
  <si>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</si>
  <si>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</si>
  <si>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</si>
  <si>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</si>
  <si>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</si>
  <si>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</si>
  <si>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</si>
  <si>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</si>
  <si>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</si>
  <si>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</si>
  <si>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</si>
  <si>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</si>
  <si>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</si>
  <si>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</si>
  <si>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</si>
  <si>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</si>
  <si>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</si>
  <si>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</si>
  <si>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</si>
  <si>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</si>
  <si>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</si>
  <si>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</si>
  <si>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</si>
  <si>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</si>
  <si>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</si>
  <si>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</si>
  <si>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</si>
  <si>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</si>
  <si>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</si>
  <si>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</si>
  <si>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</si>
  <si>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</si>
  <si>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</si>
  <si>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</si>
  <si>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</si>
  <si>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</si>
  <si>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</si>
  <si>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</si>
  <si>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</si>
  <si>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</si>
  <si>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</si>
  <si>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</si>
  <si>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</si>
  <si>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</si>
  <si>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</si>
  <si>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</si>
  <si>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</si>
  <si>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</si>
  <si>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</si>
  <si>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</si>
  <si>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</si>
  <si>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</si>
  <si>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</si>
  <si>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</si>
  <si>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</si>
  <si>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</si>
  <si>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</si>
  <si>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</si>
  <si>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</si>
  <si>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</si>
  <si>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</si>
  <si>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</si>
  <si>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</si>
  <si>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</si>
  <si>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</si>
  <si>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</si>
  <si>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</si>
  <si>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</si>
  <si>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</si>
  <si>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</si>
  <si>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</si>
  <si>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</si>
  <si>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</si>
  <si>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</si>
  <si>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</si>
  <si>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</si>
  <si>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</si>
  <si>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</si>
  <si>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</si>
  <si>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</si>
  <si>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</si>
  <si>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</si>
  <si>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</si>
  <si>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</si>
  <si>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</si>
  <si>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</si>
  <si>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</si>
  <si>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</si>
  <si>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</si>
  <si>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</si>
  <si>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</si>
  <si>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</si>
  <si>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</si>
  <si>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</si>
  <si>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</si>
  <si>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</si>
  <si>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</si>
  <si>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</si>
  <si>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</si>
  <si>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</si>
  <si>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</si>
  <si>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</si>
  <si>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</si>
  <si>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</si>
  <si>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</si>
  <si>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</si>
  <si>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</si>
  <si>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</si>
  <si>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</si>
  <si>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</si>
  <si>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</si>
  <si>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</si>
  <si>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</si>
  <si>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</si>
  <si>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</si>
  <si>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</si>
  <si>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</si>
  <si>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</si>
  <si>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</si>
  <si>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</si>
  <si>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</si>
  <si>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</si>
  <si>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</si>
  <si>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</si>
  <si>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</si>
  <si>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</si>
  <si>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</si>
  <si>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</si>
  <si>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</si>
  <si>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</si>
  <si>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</si>
  <si>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</si>
  <si>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</si>
  <si>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</si>
  <si>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</si>
  <si>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</si>
  <si>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</si>
  <si>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</si>
  <si>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</si>
  <si>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</si>
  <si>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</si>
  <si>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</si>
  <si>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</si>
  <si>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</si>
  <si>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</si>
  <si>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</si>
  <si>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</si>
  <si>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</si>
  <si>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</si>
  <si>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</si>
  <si>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</si>
  <si>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</si>
  <si>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</si>
  <si>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</si>
  <si>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</si>
  <si>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</si>
  <si>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</si>
  <si>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</si>
  <si>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</si>
  <si>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</si>
  <si>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</si>
  <si>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</si>
  <si>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</si>
  <si>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</si>
  <si>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</si>
  <si>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</si>
  <si>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</si>
  <si>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</si>
  <si>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</si>
  <si>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</si>
  <si>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</si>
  <si>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</si>
  <si>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</si>
  <si>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</si>
  <si>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</si>
  <si>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</si>
  <si>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</si>
  <si>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</si>
  <si>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</si>
  <si>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</si>
  <si>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</si>
  <si>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</si>
  <si>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</si>
  <si>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</si>
  <si>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</si>
  <si>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</si>
  <si>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</si>
  <si>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</si>
  <si>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</si>
  <si>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</si>
  <si>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</si>
  <si>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</si>
  <si>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</si>
  <si>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</si>
  <si>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</si>
  <si>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</si>
  <si>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</si>
  <si>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</si>
  <si>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</si>
  <si>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</si>
  <si>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</si>
  <si>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</si>
  <si>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</si>
  <si>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</si>
  <si>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</si>
  <si>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</si>
  <si>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</si>
  <si>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</si>
  <si>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</si>
  <si>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</si>
  <si>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</si>
  <si>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</si>
  <si>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</si>
  <si>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</si>
  <si>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</si>
  <si>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</si>
  <si>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</si>
  <si>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</si>
  <si>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</si>
  <si>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</si>
  <si>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</si>
  <si>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</si>
  <si>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</si>
  <si>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</si>
  <si>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</si>
  <si>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</si>
  <si>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</si>
  <si>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</si>
  <si>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</si>
  <si>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</si>
  <si>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</si>
  <si>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</si>
  <si>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</si>
  <si>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</si>
  <si>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</si>
  <si>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</si>
  <si>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</si>
  <si>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</si>
  <si>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</si>
  <si>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</si>
  <si>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</si>
  <si>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</si>
  <si>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</si>
  <si>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</si>
  <si>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</si>
  <si>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</si>
  <si>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</si>
  <si>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</si>
  <si>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</si>
  <si>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</si>
  <si>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</si>
  <si>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</si>
  <si>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</si>
  <si>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</si>
  <si>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</si>
  <si>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</si>
  <si>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</si>
  <si>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</si>
  <si>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</si>
  <si>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</si>
  <si>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</si>
  <si>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</si>
  <si>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</si>
  <si>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</si>
  <si>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</si>
  <si>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</si>
  <si>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</si>
  <si>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</si>
  <si>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</si>
  <si>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</si>
  <si>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</si>
  <si>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</si>
  <si>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</si>
  <si>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</si>
  <si>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</si>
  <si>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</si>
  <si>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</si>
  <si>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</si>
  <si>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</si>
  <si>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</si>
  <si>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</si>
  <si>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</si>
  <si>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</si>
  <si>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</si>
  <si>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</si>
  <si>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</si>
  <si>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</si>
  <si>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</si>
  <si>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</si>
  <si>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</si>
  <si>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</si>
  <si>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</si>
  <si>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</si>
  <si>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</si>
  <si>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</si>
  <si>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</si>
  <si>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</si>
  <si>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</si>
  <si>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</si>
  <si>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</si>
  <si>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</si>
  <si>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</si>
  <si>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</si>
  <si>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</si>
  <si>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</si>
  <si>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</si>
  <si>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</si>
  <si>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</si>
  <si>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</si>
  <si>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</si>
  <si>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</si>
  <si>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</si>
  <si>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</si>
  <si>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</si>
  <si>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</si>
  <si>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</si>
  <si>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</si>
  <si>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</si>
  <si>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</si>
  <si>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</si>
  <si>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</si>
  <si>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</si>
  <si>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</si>
  <si>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</si>
  <si>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</si>
  <si>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</si>
  <si>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</si>
  <si>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</si>
  <si>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</si>
  <si>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</si>
  <si>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</si>
  <si>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</si>
  <si>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</si>
  <si>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</si>
  <si>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</si>
  <si>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</si>
  <si>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</si>
  <si>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</si>
  <si>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</si>
  <si>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</si>
  <si>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</si>
  <si>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</si>
  <si>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</si>
  <si>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</si>
  <si>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</si>
  <si>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</si>
  <si>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</si>
  <si>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</si>
  <si>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</si>
  <si>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</si>
  <si>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</si>
  <si>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</si>
  <si>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</si>
  <si>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</si>
  <si>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</si>
  <si>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</si>
  <si>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</si>
  <si>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</si>
  <si>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</si>
  <si>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</si>
  <si>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</si>
  <si>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</si>
  <si>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</si>
  <si>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</si>
  <si>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</si>
  <si>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</si>
  <si>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</si>
  <si>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</si>
  <si>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</si>
  <si>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</si>
  <si>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</si>
  <si>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</si>
  <si>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</si>
  <si>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</si>
  <si>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</si>
  <si>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</si>
  <si>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</si>
  <si>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</si>
  <si>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</si>
  <si>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</si>
  <si>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</si>
  <si>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</si>
  <si>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</si>
  <si>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</si>
  <si>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</si>
  <si>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</si>
  <si>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</si>
  <si>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</si>
  <si>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</si>
  <si>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</si>
  <si>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</si>
  <si>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</si>
  <si>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</si>
  <si>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</si>
  <si>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</si>
  <si>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</si>
  <si>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</si>
  <si>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</si>
  <si>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</si>
  <si>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</si>
  <si>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</si>
  <si>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</si>
  <si>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</si>
  <si>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</si>
  <si>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</si>
  <si>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</si>
  <si>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</si>
  <si>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</si>
  <si>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</si>
  <si>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</si>
  <si>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</si>
  <si>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</si>
  <si>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</si>
  <si>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</si>
  <si>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</si>
  <si>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</si>
  <si>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</si>
  <si>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</si>
  <si>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</si>
  <si>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</si>
  <si>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</si>
  <si>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</si>
  <si>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</si>
  <si>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</si>
  <si>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</si>
  <si>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</si>
  <si>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</si>
  <si>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</si>
  <si>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</si>
  <si>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</si>
  <si>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</si>
  <si>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</si>
  <si>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</si>
  <si>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</si>
  <si>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</si>
  <si>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</si>
  <si>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</si>
  <si>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</si>
  <si>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</si>
  <si>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</si>
  <si>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</si>
  <si>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</si>
  <si>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</si>
  <si>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</si>
  <si>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</si>
  <si>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</si>
  <si>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</si>
  <si>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</si>
  <si>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</si>
  <si>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</si>
  <si>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</si>
  <si>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</si>
  <si>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</si>
  <si>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</si>
  <si>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</si>
  <si>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</si>
  <si>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</si>
  <si>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</si>
  <si>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</si>
  <si>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</si>
  <si>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</si>
  <si>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</si>
  <si>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</si>
  <si>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</si>
  <si>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</si>
  <si>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</si>
  <si>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</si>
  <si>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</si>
  <si>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</si>
  <si>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</si>
  <si>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</si>
  <si>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</si>
  <si>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</si>
  <si>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</si>
  <si>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</si>
  <si>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</si>
  <si>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</si>
  <si>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</si>
  <si>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</si>
  <si>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</si>
  <si>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</si>
  <si>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</si>
  <si>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</si>
  <si>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</si>
  <si>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</si>
  <si>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</si>
  <si>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</si>
  <si>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</si>
  <si>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</si>
  <si>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</si>
  <si>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</si>
  <si>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</si>
  <si>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</si>
  <si>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</si>
  <si>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</si>
  <si>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</si>
  <si>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</si>
  <si>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</si>
  <si>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</si>
  <si>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</si>
  <si>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</si>
  <si>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</si>
  <si>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</si>
  <si>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</si>
  <si>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</si>
  <si>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</si>
  <si>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</si>
  <si>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</si>
  <si>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</si>
  <si>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</si>
  <si>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</si>
  <si>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</si>
  <si>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</si>
  <si>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</si>
  <si>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</si>
  <si>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</si>
  <si>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</si>
  <si>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</si>
  <si>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</si>
  <si>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</si>
  <si>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</si>
  <si>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</si>
  <si>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</si>
  <si>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</si>
  <si>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</si>
  <si>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</si>
  <si>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</si>
  <si>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</si>
  <si>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</si>
  <si>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</si>
  <si>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</si>
  <si>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</si>
  <si>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</si>
  <si>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</si>
  <si>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</si>
  <si>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</si>
  <si>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</si>
  <si>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</si>
  <si>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</si>
  <si>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</si>
  <si>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</si>
  <si>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</si>
  <si>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</si>
  <si>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</si>
  <si>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</si>
  <si>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</si>
  <si>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</si>
  <si>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</si>
  <si>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</si>
  <si>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</si>
  <si>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</si>
  <si>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</si>
  <si>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</si>
  <si>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</si>
  <si>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</si>
  <si>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</si>
  <si>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</si>
  <si>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</si>
  <si>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</si>
  <si>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</si>
  <si>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</si>
  <si>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</si>
  <si>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</si>
  <si>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</si>
  <si>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</si>
  <si>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</si>
  <si>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</si>
  <si>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</si>
  <si>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</si>
  <si>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</si>
  <si>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</si>
  <si>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</si>
  <si>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</si>
  <si>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</si>
  <si>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</si>
  <si>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</si>
  <si>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</si>
  <si>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</si>
  <si>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</si>
  <si>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</si>
  <si>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</si>
  <si>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</si>
  <si>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</si>
  <si>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</si>
  <si>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</si>
  <si>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</si>
  <si>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</si>
  <si>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</si>
  <si>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</si>
  <si>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</si>
  <si>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</si>
  <si>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</si>
  <si>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</si>
  <si>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</si>
  <si>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</si>
  <si>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</si>
  <si>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</si>
  <si>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</si>
  <si>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</si>
  <si>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</si>
  <si>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</si>
  <si>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</si>
  <si>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</si>
  <si>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</si>
  <si>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</si>
  <si>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</si>
  <si>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</si>
  <si>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</si>
  <si>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</si>
  <si>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</si>
  <si>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</si>
  <si>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</si>
  <si>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</si>
  <si>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</si>
  <si>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</si>
  <si>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</si>
  <si>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</si>
  <si>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</si>
  <si>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</si>
  <si>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</si>
  <si>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</si>
  <si>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</si>
  <si>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</si>
  <si>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</si>
  <si>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</si>
  <si>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</si>
  <si>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</si>
  <si>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</si>
  <si>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</si>
  <si>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</si>
  <si>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</si>
  <si>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</si>
  <si>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</si>
  <si>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</si>
  <si>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</si>
  <si>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</si>
  <si>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</si>
  <si>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</si>
  <si>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</si>
  <si>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</si>
  <si>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</si>
  <si>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</si>
  <si>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</si>
  <si>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</si>
  <si>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</si>
  <si>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</si>
  <si>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</si>
  <si>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</si>
  <si>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</si>
  <si>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</si>
  <si>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</si>
  <si>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</si>
  <si>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</si>
  <si>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</si>
  <si>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</si>
  <si>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</si>
  <si>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</si>
  <si>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</si>
  <si>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</si>
  <si>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</si>
  <si>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</si>
  <si>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</si>
  <si>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</si>
  <si>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</si>
  <si>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</si>
  <si>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</si>
  <si>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</si>
  <si>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</si>
  <si>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</si>
  <si>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</si>
  <si>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</si>
  <si>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</si>
  <si>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</si>
  <si>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</si>
  <si>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</si>
  <si>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</si>
  <si>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</si>
  <si>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</si>
  <si>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</si>
  <si>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</si>
  <si>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</si>
  <si>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</si>
  <si>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</si>
  <si>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</si>
  <si>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</si>
  <si>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</si>
  <si>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</si>
  <si>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</si>
  <si>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</si>
  <si>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</si>
  <si>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</si>
  <si>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</si>
  <si>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</si>
  <si>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</si>
  <si>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</si>
  <si>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</si>
  <si>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</si>
  <si>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</si>
  <si>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</si>
  <si>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</si>
  <si>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</si>
  <si>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</si>
  <si>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</si>
  <si>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</si>
  <si>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</si>
  <si>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</si>
  <si>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</si>
  <si>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</si>
  <si>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</si>
  <si>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</si>
  <si>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</si>
  <si>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</si>
  <si>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</si>
  <si>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</si>
  <si>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</si>
  <si>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</si>
  <si>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</si>
  <si>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</si>
  <si>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</si>
  <si>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</si>
  <si>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</si>
  <si>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</si>
  <si>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</si>
  <si>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</si>
  <si>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</si>
  <si>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</si>
  <si>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</si>
  <si>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</si>
  <si>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</si>
  <si>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</si>
  <si>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</si>
  <si>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</si>
  <si>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</si>
  <si>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</si>
  <si>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</si>
  <si>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</si>
  <si>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</si>
  <si>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</si>
  <si>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</si>
  <si>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</si>
  <si>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</si>
  <si>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</si>
  <si>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</si>
  <si>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</si>
  <si>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</si>
  <si>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</si>
  <si>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</si>
  <si>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</si>
  <si>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</si>
  <si>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</si>
  <si>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</si>
  <si>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</si>
  <si>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</si>
  <si>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</si>
  <si>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</si>
  <si>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</si>
  <si>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</si>
  <si>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</si>
  <si>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</si>
  <si>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</si>
  <si>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</si>
  <si>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</si>
  <si>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</si>
  <si>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</si>
  <si>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</si>
  <si>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</si>
  <si>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</si>
  <si>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</si>
  <si>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</si>
  <si>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</si>
  <si>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</si>
  <si>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</si>
  <si>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</si>
  <si>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</si>
  <si>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</si>
  <si>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</si>
  <si>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</si>
  <si>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</si>
  <si>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</si>
  <si>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</si>
  <si>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</si>
  <si>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</si>
  <si>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</si>
  <si>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</si>
  <si>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</si>
  <si>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</si>
  <si>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</si>
  <si>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</si>
  <si>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</si>
  <si>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</si>
  <si>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</si>
  <si>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</si>
  <si>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</si>
  <si>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</si>
  <si>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</si>
  <si>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</si>
  <si>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</si>
  <si>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</si>
  <si>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</si>
  <si>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</si>
  <si>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</si>
  <si>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</si>
  <si>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</si>
  <si>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</si>
  <si>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</si>
  <si>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</si>
  <si>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</si>
  <si>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</si>
  <si>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</si>
  <si>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</si>
  <si>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</si>
  <si>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</si>
  <si>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</si>
  <si>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</si>
  <si>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</si>
  <si>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</si>
  <si>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</si>
  <si>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</si>
  <si>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</si>
  <si>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</si>
  <si>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</si>
  <si>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</si>
  <si>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</si>
  <si>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</si>
  <si>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</si>
  <si>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</si>
  <si>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</si>
  <si>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</si>
  <si>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</si>
  <si>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</si>
  <si>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</si>
  <si>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</si>
  <si>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</si>
  <si>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</si>
  <si>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</si>
  <si>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</si>
  <si>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</si>
  <si>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</si>
  <si>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</si>
  <si>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</si>
  <si>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</si>
  <si>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</si>
  <si>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</si>
  <si>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</si>
  <si>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</si>
  <si>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</si>
  <si>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</si>
  <si>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</si>
  <si>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</si>
  <si>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</si>
  <si>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</si>
  <si>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</si>
  <si>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</si>
  <si>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</si>
  <si>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</si>
  <si>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</si>
  <si>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</si>
  <si>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</si>
  <si>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</si>
  <si>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</si>
  <si>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</si>
  <si>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</si>
  <si>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</si>
  <si>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</si>
  <si>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</si>
  <si>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</si>
  <si>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</si>
  <si>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</si>
  <si>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</si>
  <si>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</si>
  <si>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</si>
  <si>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</si>
  <si>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</si>
  <si>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</si>
  <si>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</si>
  <si>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</si>
  <si>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</si>
  <si>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</si>
  <si>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</si>
  <si>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</si>
  <si>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</si>
  <si>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</si>
  <si>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</si>
  <si>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</si>
  <si>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</si>
  <si>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</si>
  <si>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</si>
  <si>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</si>
  <si>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</si>
  <si>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</si>
  <si>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</si>
  <si>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</si>
  <si>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</si>
  <si>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</si>
  <si>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</si>
  <si>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</si>
  <si>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</si>
  <si>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</si>
  <si>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</si>
  <si>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</si>
  <si>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</si>
  <si>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</si>
  <si>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</si>
  <si>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</si>
  <si>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</si>
  <si>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</si>
  <si>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</si>
  <si>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</si>
  <si>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</si>
  <si>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</si>
  <si>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</si>
  <si>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</si>
  <si>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</si>
  <si>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</si>
  <si>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</si>
  <si>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</si>
  <si>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</si>
  <si>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</si>
  <si>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</si>
  <si>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</si>
  <si>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</si>
  <si>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</si>
  <si>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</si>
  <si>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</si>
  <si>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</si>
  <si>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</si>
  <si>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</si>
  <si>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</si>
  <si>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</si>
  <si>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</si>
  <si>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</si>
  <si>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</si>
  <si>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</si>
  <si>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</si>
  <si>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</si>
  <si>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</si>
  <si>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</si>
  <si>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</si>
  <si>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</si>
  <si>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</si>
  <si>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</si>
  <si>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</si>
  <si>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</si>
  <si>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</si>
  <si>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</si>
  <si>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</si>
  <si>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</si>
  <si>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</si>
  <si>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</si>
  <si>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</si>
  <si>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</si>
  <si>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</si>
  <si>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</si>
  <si>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</si>
  <si>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</si>
  <si>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</si>
  <si>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</si>
  <si>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</si>
  <si>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</si>
  <si>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</si>
  <si>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</si>
  <si>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</si>
  <si>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</si>
  <si>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</si>
  <si>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</si>
  <si>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</si>
  <si>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</si>
  <si>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</si>
  <si>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</si>
  <si>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</si>
  <si>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</si>
  <si>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</si>
  <si>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</si>
  <si>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</si>
  <si>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</si>
  <si>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</si>
  <si>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</si>
  <si>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</si>
  <si>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</si>
  <si>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</si>
  <si>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</si>
  <si>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</si>
  <si>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</si>
  <si>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</si>
  <si>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</si>
  <si>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</si>
  <si>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</si>
  <si>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</si>
  <si>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</si>
  <si>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</si>
  <si>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</si>
  <si>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</si>
  <si>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</si>
  <si>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</si>
  <si>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</si>
  <si>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</si>
  <si>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</si>
  <si>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</si>
  <si>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</si>
  <si>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</si>
  <si>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</si>
  <si>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</si>
  <si>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</si>
  <si>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</si>
  <si>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</si>
  <si>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</si>
  <si>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</si>
  <si>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</si>
  <si>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</si>
  <si>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</si>
  <si>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</si>
  <si>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</si>
  <si>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</si>
  <si>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</si>
  <si>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</si>
  <si>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</si>
  <si>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</si>
  <si>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</si>
  <si>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</si>
  <si>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</si>
  <si>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</si>
  <si>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</si>
  <si>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</si>
  <si>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</si>
  <si>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</si>
  <si>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</si>
  <si>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</si>
  <si>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</si>
  <si>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</si>
  <si>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</si>
  <si>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</si>
  <si>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</si>
  <si>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</si>
  <si>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</si>
  <si>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</si>
  <si>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</si>
  <si>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</si>
  <si>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</si>
  <si>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</si>
  <si>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</si>
  <si>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</si>
  <si>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</si>
  <si>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</si>
  <si>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</si>
  <si>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</si>
  <si>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</si>
  <si>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</si>
  <si>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</si>
  <si>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</si>
  <si>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</si>
  <si>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</si>
  <si>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</si>
  <si>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</si>
  <si>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</si>
  <si>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</si>
  <si>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</si>
  <si>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</si>
  <si>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</si>
  <si>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</si>
  <si>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</si>
  <si>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</si>
  <si>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</si>
  <si>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</si>
  <si>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</si>
  <si>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</si>
  <si>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</si>
  <si>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</si>
  <si>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</si>
  <si>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</si>
  <si>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</si>
  <si>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</si>
  <si>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</si>
  <si>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</si>
  <si>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</si>
  <si>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</si>
  <si>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</si>
  <si>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</si>
  <si>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</si>
  <si>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</si>
  <si>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</si>
  <si>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</si>
  <si>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</si>
  <si>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</si>
  <si>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</si>
  <si>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</si>
  <si>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</si>
  <si>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</si>
  <si>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</si>
  <si>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</si>
  <si>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</si>
  <si>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</si>
  <si>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</si>
  <si>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</si>
  <si>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</si>
  <si>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</si>
  <si>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</si>
  <si>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</si>
  <si>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</si>
  <si>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</si>
  <si>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</si>
  <si>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</si>
  <si>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</si>
  <si>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</si>
  <si>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</si>
  <si>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</si>
  <si>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</si>
  <si>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</si>
  <si>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</si>
  <si>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</si>
  <si>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</si>
  <si>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</si>
  <si>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</si>
  <si>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</si>
  <si>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</si>
  <si>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</si>
  <si>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</si>
  <si>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</si>
  <si>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</si>
  <si>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</si>
  <si>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</si>
  <si>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</si>
  <si>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</si>
  <si>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</si>
  <si>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</si>
  <si>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</si>
  <si>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</si>
  <si>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</si>
  <si>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</si>
  <si>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</si>
  <si>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</si>
  <si>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</si>
  <si>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</si>
  <si>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</si>
  <si>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</si>
  <si>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</si>
  <si>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</si>
  <si>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</si>
  <si>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</si>
  <si>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</si>
  <si>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</si>
  <si>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</si>
  <si>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</si>
  <si>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</si>
  <si>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</si>
  <si>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</si>
  <si>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</si>
  <si>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</si>
  <si>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</si>
  <si>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</si>
  <si>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</si>
  <si>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</si>
  <si>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</si>
  <si>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</si>
  <si>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</si>
  <si>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</si>
  <si>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</si>
  <si>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</si>
  <si>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</si>
  <si>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</si>
  <si>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</si>
  <si>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</si>
  <si>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</si>
  <si>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</si>
  <si>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</si>
  <si>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</si>
  <si>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</si>
  <si>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</si>
  <si>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</si>
  <si>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</si>
  <si>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</si>
  <si>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</si>
  <si>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</si>
  <si>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</si>
  <si>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</si>
  <si>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</si>
  <si>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</si>
  <si>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</si>
  <si>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</si>
  <si>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</si>
  <si>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</si>
  <si>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</si>
  <si>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</si>
  <si>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</si>
  <si>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</si>
  <si>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</si>
  <si>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</si>
  <si>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</si>
  <si>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</si>
  <si>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</si>
  <si>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</si>
  <si>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</si>
  <si>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</si>
  <si>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</si>
  <si>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</si>
  <si>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</si>
  <si>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</si>
  <si>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</si>
  <si>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</si>
  <si>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</si>
  <si>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</si>
  <si>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</si>
  <si>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</si>
  <si>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</si>
  <si>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</si>
  <si>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</si>
  <si>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</si>
  <si>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</si>
  <si>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</si>
  <si>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</si>
  <si>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</si>
  <si>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</si>
  <si>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</si>
  <si>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</si>
  <si>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</si>
  <si>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</si>
  <si>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</si>
  <si>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</si>
  <si>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</si>
  <si>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</si>
  <si>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</si>
  <si>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</si>
  <si>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</si>
  <si>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</si>
  <si>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</si>
  <si>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</si>
  <si>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</si>
  <si>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</si>
  <si>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</si>
  <si>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</si>
  <si>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</si>
  <si>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</si>
  <si>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</si>
  <si>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</si>
  <si>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</si>
  <si>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</si>
  <si>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</si>
  <si>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</si>
  <si>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</si>
  <si>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</si>
  <si>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</si>
  <si>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</si>
  <si>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</si>
  <si>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</si>
  <si>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</si>
  <si>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</si>
  <si>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</si>
  <si>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</si>
  <si>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</si>
  <si>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</si>
  <si>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</si>
  <si>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</si>
  <si>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</si>
  <si>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</si>
  <si>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</si>
  <si>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</si>
  <si>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</si>
  <si>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</si>
  <si>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</si>
  <si>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</si>
  <si>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</si>
  <si>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</si>
  <si>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</si>
  <si>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</si>
  <si>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</si>
  <si>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</si>
  <si>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</si>
  <si>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</si>
  <si>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</si>
  <si>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</si>
  <si>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</si>
  <si>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</si>
  <si>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</si>
  <si>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</si>
  <si>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</si>
  <si>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</si>
  <si>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</si>
  <si>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</si>
  <si>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</si>
  <si>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</si>
  <si>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</si>
  <si>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</si>
  <si>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</si>
  <si>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</si>
  <si>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</si>
  <si>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</si>
  <si>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</si>
  <si>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</si>
  <si>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</si>
  <si>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</si>
  <si>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</si>
  <si>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</si>
  <si>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</si>
  <si>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</si>
  <si>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</si>
  <si>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</si>
  <si>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</si>
  <si>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</si>
  <si>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</si>
  <si>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</si>
  <si>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</si>
  <si>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</si>
  <si>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</si>
  <si>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</si>
  <si>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</si>
  <si>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</si>
  <si>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</si>
  <si>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</si>
  <si>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</si>
  <si>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</si>
  <si>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</si>
  <si>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</si>
  <si>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</si>
  <si>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</si>
  <si>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</si>
  <si>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</si>
  <si>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</si>
  <si>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</si>
  <si>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</si>
  <si>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</si>
  <si>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</si>
  <si>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</si>
  <si>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</si>
  <si>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</si>
  <si>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</si>
  <si>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</si>
  <si>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</si>
  <si>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</si>
  <si>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</si>
  <si>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</si>
  <si>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</si>
  <si>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</si>
  <si>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</si>
  <si>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</si>
  <si>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</si>
  <si>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</si>
  <si>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</si>
  <si>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</si>
  <si>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</si>
  <si>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</si>
  <si>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</si>
  <si>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</si>
  <si>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</si>
  <si>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</si>
  <si>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</si>
  <si>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</si>
  <si>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</si>
  <si>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</si>
  <si>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</si>
  <si>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</si>
  <si>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</si>
  <si>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</si>
  <si>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</si>
  <si>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</si>
  <si>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</si>
  <si>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</si>
  <si>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</si>
  <si>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</si>
  <si>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</si>
  <si>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</si>
  <si>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</si>
  <si>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</si>
  <si>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</si>
  <si>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</si>
  <si>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</si>
  <si>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</si>
  <si>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</si>
  <si>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</si>
  <si>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</si>
  <si>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</si>
  <si>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</si>
  <si>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</si>
  <si>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</si>
  <si>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</si>
  <si>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</si>
  <si>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</si>
  <si>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</si>
  <si>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</si>
  <si>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</si>
  <si>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</si>
  <si>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</si>
  <si>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</si>
  <si>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</si>
  <si>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</si>
  <si>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</si>
  <si>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</si>
  <si>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</si>
  <si>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</si>
  <si>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</si>
  <si>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</si>
  <si>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</si>
  <si>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</si>
  <si>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</si>
  <si>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</si>
  <si>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</si>
  <si>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</si>
  <si>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</si>
  <si>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</si>
  <si>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</si>
  <si>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</si>
  <si>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</si>
  <si>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</si>
  <si>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</si>
  <si>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</si>
  <si>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</si>
  <si>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</si>
  <si>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</si>
  <si>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</si>
  <si>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</si>
  <si>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</si>
  <si>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</si>
  <si>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</si>
  <si>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</si>
  <si>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</si>
  <si>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</si>
  <si>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</si>
  <si>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</si>
  <si>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</si>
  <si>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</si>
  <si>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</si>
  <si>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</si>
  <si>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</si>
  <si>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</si>
  <si>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</si>
  <si>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</si>
  <si>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</si>
  <si>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</si>
  <si>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</si>
  <si>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</si>
  <si>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</si>
  <si>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</si>
  <si>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</si>
  <si>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</si>
  <si>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</si>
  <si>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</si>
  <si>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</si>
  <si>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</si>
  <si>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</si>
  <si>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</si>
  <si>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</si>
  <si>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</si>
  <si>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</si>
  <si>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</si>
  <si>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</si>
  <si>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</si>
  <si>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</si>
  <si>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</si>
  <si>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</si>
  <si>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</si>
  <si>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</si>
  <si>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</si>
  <si>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</si>
  <si>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</si>
  <si>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</si>
  <si>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</si>
  <si>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</si>
  <si>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</si>
  <si>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</si>
  <si>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</si>
  <si>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</si>
  <si>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</si>
  <si>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</si>
  <si>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</si>
  <si>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</si>
  <si>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</si>
  <si>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</si>
  <si>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</si>
  <si>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</si>
  <si>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</si>
  <si>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</si>
  <si>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</si>
  <si>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</si>
  <si>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</si>
  <si>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</si>
  <si>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</si>
  <si>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</si>
  <si>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</si>
  <si>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</si>
  <si>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</si>
  <si>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</si>
  <si>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</si>
  <si>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</si>
  <si>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</si>
  <si>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</si>
  <si>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</si>
  <si>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</si>
  <si>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</si>
  <si>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</si>
  <si>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</si>
  <si>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</si>
  <si>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</si>
  <si>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</si>
  <si>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</si>
  <si>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</si>
  <si>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</si>
  <si>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</si>
  <si>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</si>
  <si>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</si>
  <si>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</si>
  <si>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</si>
  <si>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</si>
  <si>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</si>
  <si>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</si>
  <si>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</si>
  <si>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</si>
  <si>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</si>
  <si>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</si>
  <si>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</si>
  <si>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</si>
  <si>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</si>
  <si>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</si>
  <si>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</si>
  <si>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</si>
  <si>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</si>
  <si>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</si>
  <si>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</si>
  <si>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</si>
  <si>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</si>
  <si>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</si>
  <si>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</si>
  <si>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</si>
  <si>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</si>
  <si>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</si>
  <si>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</si>
  <si>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</si>
  <si>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</si>
  <si>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</si>
  <si>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</si>
  <si>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</si>
  <si>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</si>
  <si>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</si>
  <si>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</si>
  <si>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</si>
  <si>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</si>
  <si>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</si>
  <si>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</si>
  <si>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</si>
  <si>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</si>
  <si>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</si>
  <si>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</si>
  <si>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</si>
  <si>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</si>
  <si>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</si>
  <si>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</si>
  <si>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</si>
  <si>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</si>
  <si>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</si>
  <si>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</si>
  <si>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</si>
  <si>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</si>
  <si>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</si>
  <si>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</si>
  <si>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</si>
  <si>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</si>
  <si>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</si>
  <si>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</si>
  <si>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</si>
  <si>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</si>
  <si>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</si>
  <si>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</si>
  <si>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</si>
  <si>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</si>
  <si>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</si>
  <si>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</si>
  <si>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</si>
  <si>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</si>
  <si>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</si>
  <si>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</si>
  <si>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</si>
  <si>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</si>
  <si>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</si>
  <si>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</si>
  <si>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</si>
  <si>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</si>
  <si>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</si>
  <si>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</si>
  <si>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</si>
  <si>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</si>
  <si>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</si>
  <si>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</si>
  <si>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</si>
  <si>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</si>
  <si>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</si>
  <si>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</si>
  <si>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</si>
  <si>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</si>
  <si>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</si>
  <si>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</si>
  <si>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</si>
  <si>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</si>
  <si>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</si>
  <si>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</si>
  <si>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</si>
  <si>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</si>
  <si>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</si>
  <si>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</si>
  <si>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</si>
  <si>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</si>
  <si>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</si>
  <si>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</si>
  <si>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</si>
  <si>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</si>
  <si>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</si>
  <si>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</si>
  <si>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</si>
  <si>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</si>
  <si>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</si>
  <si>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</si>
  <si>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</si>
  <si>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</si>
  <si>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</si>
  <si>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</si>
  <si>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</si>
  <si>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</si>
  <si>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</si>
  <si>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</si>
  <si>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</si>
  <si>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</si>
  <si>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</si>
  <si>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</si>
  <si>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</si>
  <si>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</si>
  <si>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</si>
  <si>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</si>
  <si>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</si>
  <si>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</si>
  <si>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</si>
  <si>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</si>
  <si>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</si>
  <si>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</si>
  <si>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</si>
  <si>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</si>
  <si>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</si>
  <si>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</si>
  <si>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</si>
  <si>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</si>
  <si>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</si>
  <si>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</si>
  <si>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</si>
  <si>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</si>
  <si>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</si>
  <si>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</si>
  <si>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</si>
  <si>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</si>
  <si>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</si>
  <si>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</si>
  <si>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</si>
  <si>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</si>
  <si>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</si>
  <si>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</si>
  <si>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</si>
  <si>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</si>
  <si>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</si>
  <si>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</si>
  <si>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</si>
  <si>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</si>
  <si>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</si>
  <si>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</si>
  <si>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</si>
  <si>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</si>
  <si>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</si>
  <si>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</si>
  <si>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</si>
  <si>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</si>
  <si>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</si>
  <si>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</si>
  <si>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</si>
  <si>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</si>
  <si>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</si>
  <si>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</si>
  <si>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</si>
  <si>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</si>
  <si>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</si>
  <si>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</si>
  <si>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</si>
  <si>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</si>
  <si>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</si>
  <si>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</si>
  <si>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</si>
  <si>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</si>
  <si>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</si>
  <si>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</si>
  <si>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</si>
  <si>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</si>
  <si>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</si>
  <si>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</si>
  <si>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</si>
  <si>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</si>
  <si>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</si>
  <si>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</si>
  <si>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</si>
  <si>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</si>
  <si>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</si>
  <si>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</si>
  <si>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</si>
  <si>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</si>
  <si>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</si>
  <si>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</si>
  <si>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</si>
  <si>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</si>
  <si>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</si>
  <si>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</si>
  <si>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</si>
  <si>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</si>
  <si>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</si>
  <si>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</si>
  <si>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</si>
  <si>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</si>
  <si>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</si>
  <si>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</si>
  <si>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</si>
  <si>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</si>
  <si>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</si>
  <si>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</si>
  <si>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</si>
  <si>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</si>
  <si>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</si>
  <si>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</si>
  <si>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</si>
  <si>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</si>
  <si>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</si>
  <si>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</si>
  <si>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</si>
  <si>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</si>
  <si>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</si>
  <si>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</si>
  <si>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</si>
  <si>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</si>
  <si>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</si>
  <si>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</si>
  <si>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</si>
  <si>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</si>
  <si>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</si>
  <si>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</si>
  <si>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</si>
  <si>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</si>
  <si>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</si>
  <si>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</si>
  <si>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</si>
  <si>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</si>
  <si>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</si>
  <si>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</si>
  <si>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</si>
  <si>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</si>
  <si>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</si>
  <si>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</si>
  <si>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</si>
  <si>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</si>
  <si>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</si>
  <si>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</si>
  <si>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</si>
  <si>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</si>
  <si>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</si>
  <si>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</si>
  <si>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</si>
  <si>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</si>
  <si>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</si>
  <si>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</si>
  <si>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</si>
  <si>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</si>
  <si>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</si>
  <si>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</si>
  <si>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</si>
  <si>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</si>
  <si>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</si>
  <si>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</si>
  <si>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</si>
  <si>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</si>
  <si>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</si>
  <si>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</si>
  <si>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</si>
  <si>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</si>
  <si>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</si>
  <si>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</si>
  <si>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</si>
  <si>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</si>
  <si>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</si>
  <si>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</si>
  <si>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</si>
  <si>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</si>
  <si>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</si>
  <si>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</si>
  <si>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</si>
  <si>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</si>
  <si>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</si>
  <si>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</si>
  <si>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</si>
  <si>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</si>
  <si>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</si>
  <si>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</si>
  <si>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</si>
  <si>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</si>
  <si>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</si>
  <si>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</si>
  <si>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</si>
  <si>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</si>
  <si>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</si>
  <si>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</si>
  <si>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</si>
  <si>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</si>
  <si>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</si>
  <si>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</si>
  <si>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</si>
  <si>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</si>
  <si>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</si>
  <si>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</si>
  <si>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</si>
  <si>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</si>
  <si>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</si>
  <si>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</si>
  <si>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</si>
  <si>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</si>
  <si>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</si>
  <si>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</si>
  <si>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</si>
  <si>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</si>
  <si>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</si>
  <si>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</si>
  <si>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</si>
  <si>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</si>
  <si>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</si>
  <si>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</si>
  <si>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</si>
  <si>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</si>
  <si>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</si>
  <si>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</si>
  <si>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</si>
  <si>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</si>
  <si>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</si>
  <si>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</si>
  <si>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</si>
  <si>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</si>
  <si>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</si>
  <si>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</si>
  <si>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</si>
  <si>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</si>
  <si>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</si>
  <si>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</si>
  <si>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</si>
  <si>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</si>
  <si>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</si>
  <si>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</si>
  <si>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</si>
  <si>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</si>
  <si>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</si>
  <si>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</si>
  <si>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</si>
  <si>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</si>
  <si>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</si>
  <si>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</si>
  <si>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</si>
  <si>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</si>
  <si>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</si>
  <si>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</si>
  <si>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</si>
  <si>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</si>
  <si>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</si>
  <si>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</si>
  <si>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</si>
  <si>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</si>
  <si>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</si>
  <si>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</si>
  <si>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</si>
  <si>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</si>
  <si>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</si>
  <si>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</si>
  <si>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</si>
  <si>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</si>
  <si>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</si>
  <si>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</si>
  <si>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</si>
  <si>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</si>
  <si>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</si>
  <si>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</si>
  <si>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</si>
  <si>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</si>
  <si>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</si>
  <si>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</si>
  <si>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</si>
  <si>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</si>
  <si>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</si>
  <si>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</si>
  <si>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</si>
  <si>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</si>
  <si>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</si>
  <si>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</si>
  <si>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</si>
  <si>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</si>
  <si>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</si>
  <si>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</si>
  <si>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</si>
  <si>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</si>
  <si>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</si>
  <si>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</si>
  <si>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</si>
  <si>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</si>
  <si>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</si>
  <si>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</si>
  <si>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</si>
  <si>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</si>
  <si>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</si>
  <si>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</si>
  <si>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</si>
  <si>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</si>
  <si>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</si>
  <si>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</si>
  <si>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</si>
  <si>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</si>
  <si>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</si>
  <si>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</si>
  <si>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</si>
  <si>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</si>
  <si>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</si>
  <si>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</si>
  <si>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</si>
  <si>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</si>
  <si>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</si>
  <si>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</si>
  <si>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</si>
  <si>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</si>
  <si>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</si>
  <si>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</si>
  <si>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</si>
  <si>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</si>
  <si>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</si>
  <si>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</si>
  <si>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</si>
  <si>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</si>
  <si>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</si>
  <si>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</si>
  <si>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</si>
  <si>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</si>
  <si>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</si>
  <si>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</si>
  <si>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</si>
  <si>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</si>
  <si>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</si>
  <si>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</si>
  <si>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</si>
  <si>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</si>
  <si>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</si>
  <si>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</si>
  <si>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</si>
  <si>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</si>
  <si>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</si>
  <si>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</si>
  <si>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</si>
  <si>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</si>
  <si>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</si>
  <si>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</si>
  <si>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</si>
  <si>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</si>
  <si>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</si>
  <si>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</si>
  <si>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</si>
  <si>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</si>
  <si>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</si>
  <si>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</si>
  <si>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</si>
  <si>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</si>
  <si>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</si>
  <si>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</si>
  <si>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</si>
  <si>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</si>
  <si>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</si>
  <si>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</si>
  <si>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</si>
  <si>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</si>
  <si>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</si>
  <si>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</si>
  <si>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</si>
  <si>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</si>
  <si>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</si>
  <si>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</si>
  <si>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</si>
  <si>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</si>
  <si>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</si>
  <si>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</si>
  <si>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</si>
  <si>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</si>
  <si>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</si>
  <si>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</si>
  <si>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</si>
  <si>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</si>
  <si>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</si>
  <si>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</si>
  <si>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</si>
  <si>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</si>
  <si>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</si>
  <si>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</si>
  <si>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</si>
  <si>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</si>
  <si>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</si>
  <si>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</si>
  <si>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</si>
  <si>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</si>
  <si>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</si>
  <si>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</si>
  <si>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</si>
  <si>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</si>
  <si>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</si>
  <si>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</si>
  <si>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</si>
  <si>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</si>
  <si>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</si>
  <si>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</si>
  <si>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</si>
  <si>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</si>
  <si>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</si>
  <si>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</si>
  <si>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</si>
  <si>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</si>
  <si>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</si>
  <si>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</si>
  <si>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</si>
  <si>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</si>
  <si>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</si>
  <si>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</si>
  <si>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</si>
  <si>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</si>
  <si>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</si>
  <si>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</si>
  <si>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</si>
  <si>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</si>
  <si>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</si>
  <si>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</si>
  <si>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</si>
  <si>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</si>
  <si>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</si>
  <si>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</si>
  <si>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</si>
  <si>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</si>
  <si>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</si>
  <si>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</si>
  <si>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</si>
  <si>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</si>
  <si>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</si>
  <si>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</si>
  <si>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</si>
  <si>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</si>
  <si>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</si>
  <si>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</si>
  <si>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</si>
  <si>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</si>
  <si>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</si>
  <si>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</si>
  <si>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</si>
  <si>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</si>
  <si>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</si>
  <si>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</si>
  <si>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</si>
  <si>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</si>
  <si>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</si>
  <si>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</si>
  <si>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</si>
  <si>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</si>
  <si>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</si>
  <si>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</si>
  <si>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</si>
  <si>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</si>
  <si>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</si>
  <si>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</si>
  <si>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</si>
  <si>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</si>
  <si>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</si>
  <si>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</si>
  <si>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</si>
  <si>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</si>
  <si>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</si>
  <si>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</si>
  <si>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</si>
  <si>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</si>
  <si>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</si>
  <si>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</si>
  <si>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</si>
  <si>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</si>
  <si>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</si>
  <si>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</si>
  <si>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</si>
  <si>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</si>
  <si>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</si>
  <si>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</si>
  <si>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</si>
  <si>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</si>
  <si>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</si>
  <si>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</si>
  <si>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</si>
  <si>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</si>
  <si>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</si>
  <si>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</si>
  <si>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</si>
  <si>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</si>
  <si>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</si>
  <si>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</si>
  <si>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</si>
  <si>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</si>
  <si>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</si>
  <si>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</si>
  <si>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</si>
  <si>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</si>
  <si>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</si>
  <si>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</si>
  <si>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</si>
  <si>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</si>
  <si>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</si>
  <si>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</si>
  <si>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</si>
  <si>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</si>
  <si>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</si>
  <si>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</si>
  <si>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</si>
  <si>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</si>
  <si>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</si>
  <si>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</si>
  <si>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</si>
  <si>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</si>
  <si>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</si>
  <si>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</si>
  <si>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</si>
  <si>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</si>
  <si>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</si>
  <si>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</si>
  <si>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</si>
  <si>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</si>
  <si>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</si>
  <si>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</si>
  <si>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</si>
  <si>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</si>
  <si>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</si>
  <si>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</si>
  <si>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</si>
  <si>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</si>
  <si>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</si>
  <si>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</si>
  <si>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</si>
  <si>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</si>
  <si>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</si>
  <si>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</si>
  <si>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</si>
  <si>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</si>
  <si>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</si>
  <si>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</si>
  <si>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</si>
  <si>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</si>
  <si>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</si>
  <si>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</si>
  <si>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</si>
  <si>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</si>
  <si>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</si>
  <si>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</si>
  <si>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</si>
  <si>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</si>
  <si>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</si>
  <si>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</si>
  <si>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</si>
  <si>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</si>
  <si>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</si>
  <si>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</si>
  <si>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</si>
  <si>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</si>
  <si>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</si>
  <si>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</si>
  <si>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</si>
  <si>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</si>
  <si>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</si>
  <si>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</si>
  <si>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</si>
  <si>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</si>
  <si>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</si>
  <si>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</si>
  <si>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</si>
  <si>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</si>
  <si>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</si>
  <si>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</si>
  <si>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</si>
  <si>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</si>
  <si>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</si>
  <si>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</si>
  <si>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</si>
  <si>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</si>
  <si>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</si>
  <si>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</si>
  <si>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</si>
  <si>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</si>
  <si>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</si>
  <si>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</si>
  <si>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</si>
  <si>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</si>
  <si>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</si>
  <si>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</si>
  <si>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</si>
  <si>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</si>
  <si>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</si>
  <si>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</si>
  <si>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</si>
  <si>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</si>
  <si>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</si>
  <si>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</si>
  <si>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</si>
  <si>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</si>
  <si>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</si>
  <si>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</si>
  <si>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</si>
  <si>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</si>
  <si>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</si>
  <si>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</si>
  <si>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</si>
  <si>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</si>
  <si>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</si>
  <si>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</si>
  <si>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</si>
  <si>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</si>
  <si>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</si>
  <si>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</si>
  <si>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</si>
  <si>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</si>
  <si>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</si>
  <si>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</si>
  <si>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</si>
  <si>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</si>
  <si>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</si>
  <si>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</si>
  <si>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</si>
  <si>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</si>
  <si>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</si>
  <si>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</si>
  <si>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</si>
  <si>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</si>
  <si>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</si>
  <si>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</si>
  <si>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</si>
  <si>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</si>
  <si>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</si>
  <si>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</si>
  <si>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</si>
  <si>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</si>
  <si>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</si>
  <si>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</si>
  <si>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</si>
  <si>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</si>
  <si>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</si>
  <si>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</si>
  <si>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</si>
  <si>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</si>
  <si>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</si>
  <si>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</si>
  <si>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</si>
  <si>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</si>
  <si>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</si>
  <si>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</si>
  <si>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</si>
  <si>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</si>
  <si>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</si>
  <si>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</si>
  <si>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</si>
  <si>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</si>
  <si>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</si>
  <si>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</si>
  <si>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</si>
  <si>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</si>
  <si>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</si>
  <si>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</si>
  <si>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</si>
  <si>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</si>
  <si>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</si>
  <si>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</si>
  <si>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</si>
  <si>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</si>
  <si>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</si>
  <si>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</si>
  <si>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</si>
  <si>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</si>
  <si>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</si>
  <si>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</si>
  <si>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</si>
  <si>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</si>
  <si>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</si>
  <si>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</si>
  <si>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</si>
  <si>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</si>
  <si>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</si>
  <si>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</si>
  <si>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</si>
  <si>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</si>
  <si>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</si>
  <si>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</si>
  <si>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</si>
  <si>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</si>
  <si>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</si>
  <si>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</si>
  <si>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</si>
  <si>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</si>
  <si>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</si>
  <si>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</si>
  <si>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</si>
  <si>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</si>
  <si>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</si>
  <si>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</si>
  <si>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</si>
  <si>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</si>
  <si>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</si>
  <si>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</si>
  <si>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</si>
  <si>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</si>
  <si>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</si>
  <si>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</si>
  <si>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</si>
  <si>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</si>
  <si>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</si>
  <si>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</si>
  <si>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</si>
  <si>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</si>
  <si>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</si>
  <si>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</si>
  <si>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</si>
  <si>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</si>
  <si>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</si>
  <si>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</si>
  <si>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</si>
  <si>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</si>
  <si>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</si>
  <si>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</si>
  <si>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</si>
  <si>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</si>
  <si>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</si>
  <si>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</si>
  <si>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</si>
  <si>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</si>
  <si>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</si>
  <si>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</si>
  <si>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</si>
  <si>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</si>
  <si>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</si>
  <si>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</si>
  <si>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</si>
  <si>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</si>
  <si>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</si>
  <si>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</si>
  <si>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</si>
  <si>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</si>
  <si>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</si>
  <si>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</si>
  <si>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</si>
  <si>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</si>
  <si>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</si>
  <si>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</si>
  <si>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</si>
  <si>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</si>
  <si>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</si>
  <si>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</si>
  <si>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</si>
  <si>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</si>
  <si>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</si>
  <si>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</si>
  <si>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</si>
  <si>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</si>
  <si>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</si>
  <si>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</si>
  <si>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</si>
  <si>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</si>
  <si>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</si>
  <si>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</si>
  <si>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</si>
  <si>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</si>
  <si>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</si>
  <si>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</si>
  <si>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</si>
  <si>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</si>
  <si>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</si>
  <si>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</si>
  <si>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</si>
  <si>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</si>
  <si>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</si>
  <si>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</si>
  <si>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</si>
  <si>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</si>
  <si>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</si>
  <si>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</si>
  <si>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</si>
  <si>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</si>
  <si>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</si>
  <si>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</si>
  <si>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</si>
  <si>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</si>
  <si>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</si>
  <si>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</si>
  <si>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</si>
  <si>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</si>
  <si>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</si>
  <si>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</si>
  <si>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</si>
  <si>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</si>
  <si>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</si>
  <si>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</si>
  <si>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</si>
  <si>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</si>
  <si>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</si>
  <si>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</si>
  <si>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</si>
  <si>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</si>
  <si>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</si>
  <si>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</si>
  <si>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</si>
  <si>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</si>
  <si>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</si>
  <si>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</si>
  <si>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</si>
  <si>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</si>
  <si>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</si>
  <si>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</si>
  <si>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</si>
  <si>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</si>
  <si>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</si>
  <si>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</si>
  <si>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</si>
  <si>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</si>
  <si>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</si>
  <si>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</si>
  <si>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</si>
  <si>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</si>
  <si>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</si>
  <si>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</si>
  <si>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</si>
  <si>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</si>
  <si>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</si>
  <si>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</si>
  <si>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</si>
  <si>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</si>
  <si>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</si>
  <si>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</si>
  <si>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</si>
  <si>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</si>
  <si>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</si>
  <si>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</si>
  <si>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</si>
  <si>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</si>
  <si>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</si>
  <si>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</si>
  <si>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</si>
  <si>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</si>
  <si>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</si>
  <si>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</si>
  <si>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</si>
  <si>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</si>
  <si>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</si>
  <si>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</si>
  <si>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</si>
  <si>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</si>
  <si>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</si>
  <si>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</si>
  <si>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</si>
  <si>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</si>
  <si>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</si>
  <si>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</si>
  <si>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</si>
  <si>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</si>
  <si>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</si>
  <si>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</si>
  <si>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</si>
  <si>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</si>
  <si>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</si>
  <si>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</si>
  <si>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</si>
  <si>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</si>
  <si>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</si>
  <si>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</si>
  <si>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</si>
  <si>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</si>
  <si>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</si>
  <si>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</si>
  <si>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</si>
  <si>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</si>
  <si>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</si>
  <si>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</si>
  <si>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</si>
  <si>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</si>
  <si>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</si>
  <si>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</si>
  <si>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</si>
  <si>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</si>
  <si>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</si>
  <si>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</si>
  <si>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</si>
  <si>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</si>
  <si>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</si>
  <si>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</si>
  <si>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</si>
  <si>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</si>
  <si>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</si>
  <si>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</si>
  <si>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</si>
  <si>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</si>
  <si>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</si>
  <si>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</si>
  <si>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</si>
  <si>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</si>
  <si>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</si>
  <si>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</si>
  <si>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</si>
  <si>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</si>
  <si>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</si>
  <si>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</si>
  <si>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</si>
  <si>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</si>
  <si>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</si>
  <si>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</si>
  <si>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</si>
  <si>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</si>
  <si>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</si>
  <si>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</si>
  <si>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</si>
  <si>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</si>
  <si>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</si>
  <si>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</si>
  <si>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</si>
  <si>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</si>
  <si>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</si>
  <si>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</si>
  <si>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</si>
  <si>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</si>
  <si>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</si>
  <si>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</si>
  <si>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</si>
  <si>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</si>
  <si>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</si>
  <si>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</si>
  <si>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</si>
  <si>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</si>
  <si>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</si>
  <si>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</si>
  <si>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</si>
  <si>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</si>
  <si>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</si>
  <si>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</si>
  <si>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</si>
  <si>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</si>
  <si>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</si>
  <si>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</si>
  <si>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</si>
  <si>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</si>
  <si>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</si>
  <si>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</si>
  <si>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</si>
  <si>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</si>
  <si>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</si>
  <si>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</si>
  <si>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</si>
  <si>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</si>
  <si>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</si>
  <si>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</si>
  <si>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</si>
  <si>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</si>
  <si>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</si>
  <si>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</si>
  <si>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</si>
  <si>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</si>
  <si>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</si>
  <si>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</si>
  <si>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</si>
  <si>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</si>
  <si>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</si>
  <si>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</si>
  <si>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</si>
  <si>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</si>
  <si>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</si>
  <si>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</si>
  <si>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</si>
  <si>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</si>
  <si>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</si>
  <si>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</si>
  <si>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</si>
  <si>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</si>
  <si>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</si>
  <si>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</si>
  <si>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</si>
  <si>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</si>
  <si>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</si>
  <si>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</si>
  <si>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</si>
  <si>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</si>
  <si>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</si>
  <si>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</si>
  <si>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</si>
  <si>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</si>
  <si>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</si>
  <si>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</si>
  <si>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</si>
  <si>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</si>
  <si>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</si>
  <si>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</si>
  <si>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</si>
  <si>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</si>
  <si>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</si>
  <si>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</si>
  <si>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</si>
  <si>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</si>
  <si>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</si>
  <si>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</si>
  <si>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</si>
  <si>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</si>
  <si>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</si>
  <si>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</si>
  <si>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</si>
  <si>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</si>
  <si>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</si>
  <si>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</si>
  <si>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</si>
  <si>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</si>
  <si>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</si>
  <si>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</si>
  <si>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</si>
  <si>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</si>
  <si>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</si>
  <si>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</si>
  <si>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</si>
  <si>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</si>
  <si>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</si>
  <si>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</si>
  <si>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</si>
  <si>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</si>
  <si>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</si>
  <si>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</si>
  <si>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</si>
  <si>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</si>
  <si>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</si>
  <si>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</si>
  <si>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</si>
  <si>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</si>
  <si>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</si>
  <si>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</si>
  <si>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</si>
  <si>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</si>
  <si>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</si>
  <si>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</si>
  <si>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</si>
  <si>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</si>
  <si>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</si>
  <si>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</si>
  <si>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</si>
  <si>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</si>
  <si>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</si>
  <si>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</si>
  <si>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</si>
  <si>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</si>
  <si>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</si>
  <si>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</si>
  <si>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</si>
  <si>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</si>
  <si>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</si>
  <si>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</si>
  <si>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</si>
  <si>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</si>
  <si>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</si>
  <si>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</si>
  <si>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</si>
  <si>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</si>
  <si>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</si>
  <si>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</si>
  <si>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</si>
  <si>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</si>
  <si>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</si>
  <si>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</si>
  <si>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</si>
  <si>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</si>
  <si>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</si>
  <si>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</si>
  <si>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</si>
  <si>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</si>
  <si>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</si>
  <si>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</si>
  <si>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</si>
  <si>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</si>
  <si>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</si>
  <si>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</si>
  <si>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</si>
  <si>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</si>
  <si>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</si>
  <si>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</si>
  <si>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</si>
  <si>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</si>
  <si>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</si>
  <si>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</si>
  <si>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</si>
  <si>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</si>
  <si>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</si>
  <si>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</si>
  <si>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</si>
  <si>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</si>
  <si>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</si>
  <si>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</si>
  <si>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</si>
  <si>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</si>
  <si>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</si>
  <si>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</si>
  <si>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</si>
  <si>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</si>
  <si>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</si>
  <si>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</si>
  <si>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</si>
  <si>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</si>
  <si>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</si>
  <si>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</si>
  <si>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</si>
  <si>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</si>
  <si>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</si>
  <si>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</si>
  <si>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</si>
  <si>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</si>
  <si>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</si>
  <si>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</si>
  <si>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</si>
  <si>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</si>
  <si>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</si>
  <si>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</si>
  <si>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</si>
  <si>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</si>
  <si>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</si>
  <si>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</si>
  <si>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</si>
  <si>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</si>
  <si>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</si>
  <si>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</si>
  <si>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</si>
  <si>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</si>
  <si>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</si>
  <si>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</si>
  <si>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</si>
  <si>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</si>
  <si>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</si>
  <si>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</si>
  <si>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</si>
  <si>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</si>
  <si>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</si>
  <si>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</si>
  <si>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</si>
  <si>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</si>
  <si>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</si>
  <si>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</si>
  <si>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</si>
  <si>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</si>
  <si>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</si>
  <si>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</si>
  <si>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</si>
  <si>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</si>
  <si>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</si>
  <si>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</si>
  <si>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</si>
  <si>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</si>
  <si>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</si>
  <si>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</si>
  <si>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</si>
  <si>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</si>
  <si>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</si>
  <si>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</si>
  <si>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</si>
  <si>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</si>
  <si>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</si>
  <si>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</si>
  <si>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</si>
  <si>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</si>
  <si>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</si>
  <si>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</si>
  <si>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</si>
  <si>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</si>
  <si>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</si>
  <si>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</si>
  <si>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</si>
  <si>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</si>
  <si>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</si>
  <si>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</si>
  <si>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</si>
  <si>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</si>
  <si>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</si>
  <si>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</si>
  <si>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</si>
  <si>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</si>
  <si>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</si>
  <si>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</si>
  <si>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</si>
  <si>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</si>
  <si>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</si>
  <si>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</si>
  <si>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</si>
  <si>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</si>
  <si>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</si>
  <si>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</si>
  <si>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</si>
  <si>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</si>
  <si>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</si>
  <si>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</si>
  <si>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</si>
  <si>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</si>
  <si>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</si>
  <si>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</si>
  <si>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</si>
  <si>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</si>
  <si>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</si>
  <si>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</si>
  <si>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</si>
  <si>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</si>
  <si>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</si>
  <si>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</si>
  <si>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</si>
  <si>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</si>
  <si>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</si>
  <si>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</si>
  <si>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</si>
  <si>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</si>
  <si>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</si>
  <si>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</si>
  <si>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</si>
  <si>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</si>
  <si>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</si>
  <si>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</si>
  <si>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</si>
  <si>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</si>
  <si>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</si>
  <si>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</si>
  <si>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</si>
  <si>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</si>
  <si>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</si>
  <si>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</si>
  <si>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</si>
  <si>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</si>
  <si>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</si>
  <si>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</si>
  <si>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</si>
  <si>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</si>
  <si>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</si>
  <si>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</si>
  <si>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</si>
  <si>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</si>
  <si>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</si>
  <si>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</si>
  <si>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</si>
  <si>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</si>
  <si>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</si>
  <si>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</si>
  <si>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</si>
  <si>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</si>
  <si>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</si>
  <si>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</si>
  <si>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</si>
  <si>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</si>
  <si>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</si>
  <si>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</si>
  <si>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</si>
  <si>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</si>
  <si>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</si>
  <si>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</si>
  <si>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</si>
  <si>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</si>
  <si>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</si>
  <si>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</si>
  <si>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</si>
  <si>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</si>
  <si>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</si>
  <si>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</si>
  <si>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</si>
  <si>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</si>
  <si>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</si>
  <si>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</si>
  <si>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</si>
  <si>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</si>
  <si>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</si>
  <si>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</si>
  <si>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</si>
  <si>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</si>
  <si>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</si>
  <si>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</si>
  <si>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</si>
  <si>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</si>
  <si>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</si>
  <si>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</si>
  <si>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</si>
  <si>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</si>
  <si>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</si>
  <si>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</si>
  <si>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</si>
  <si>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</si>
  <si>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</si>
  <si>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</si>
  <si>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</si>
  <si>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</si>
  <si>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</si>
  <si>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</si>
  <si>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</si>
  <si>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</si>
  <si>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</si>
  <si>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</si>
  <si>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</si>
  <si>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</si>
  <si>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</si>
  <si>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</si>
  <si>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</si>
  <si>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</si>
  <si>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</si>
  <si>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</si>
  <si>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</si>
  <si>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</si>
  <si>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</si>
  <si>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</si>
  <si>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</si>
  <si>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</si>
  <si>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</si>
  <si>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</si>
  <si>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</si>
  <si>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</si>
  <si>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</si>
  <si>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</si>
  <si>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</si>
  <si>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</si>
  <si>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</si>
  <si>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</si>
  <si>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</si>
  <si>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</si>
  <si>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</si>
  <si>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</si>
  <si>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</si>
  <si>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</si>
  <si>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</si>
  <si>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</si>
  <si>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</si>
  <si>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</si>
  <si>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</si>
  <si>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</si>
  <si>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</si>
  <si>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</si>
  <si>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</si>
  <si>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</si>
  <si>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</si>
  <si>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</si>
  <si>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</si>
  <si>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</si>
  <si>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</si>
  <si>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</si>
  <si>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</si>
  <si>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</si>
  <si>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</si>
  <si>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</si>
  <si>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</si>
  <si>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</si>
  <si>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</si>
  <si>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</si>
  <si>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</si>
  <si>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</si>
  <si>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</si>
  <si>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</si>
  <si>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</si>
  <si>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</si>
  <si>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</si>
  <si>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</si>
  <si>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</si>
  <si>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</si>
  <si>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</si>
  <si>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</si>
  <si>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</si>
  <si>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</si>
  <si>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</si>
  <si>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</si>
  <si>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</si>
  <si>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</si>
  <si>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</si>
  <si>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</si>
  <si>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</si>
  <si>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</si>
  <si>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</si>
  <si>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</si>
  <si>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r>
      <rPr>
        <sz val="10"/>
        <color rgb="FFFF0000"/>
        <rFont val="楷体_GB2312"/>
        <family val="3"/>
        <charset val="134"/>
      </rPr>
      <t>变化：</t>
    </r>
    <r>
      <rPr>
        <sz val="10"/>
        <color rgb="FFFF0000"/>
        <rFont val="Arial"/>
        <family val="2"/>
      </rPr>
      <t>2%-3%</t>
    </r>
    <phoneticPr fontId="4" type="noConversion"/>
  </si>
  <si>
    <t>地势</t>
    <phoneticPr fontId="29" type="noConversion"/>
  </si>
  <si>
    <t>张山营镇东门营村</t>
    <phoneticPr fontId="4" type="noConversion"/>
  </si>
  <si>
    <t>张山营镇下营村</t>
    <phoneticPr fontId="4" type="noConversion"/>
  </si>
  <si>
    <t>正常</t>
  </si>
  <si>
    <t>较差</t>
  </si>
  <si>
    <t>一般</t>
  </si>
  <si>
    <t>规则</t>
    <phoneticPr fontId="29" type="noConversion"/>
  </si>
  <si>
    <t>较规则</t>
  </si>
  <si>
    <t>较规则</t>
    <phoneticPr fontId="29" type="noConversion"/>
  </si>
  <si>
    <t>不规则</t>
    <phoneticPr fontId="29" type="noConversion"/>
  </si>
  <si>
    <t>地势较平坦</t>
    <phoneticPr fontId="29" type="noConversion"/>
  </si>
  <si>
    <t>地势有一定坡度</t>
  </si>
  <si>
    <t>地势有一定坡度</t>
    <phoneticPr fontId="29" type="noConversion"/>
  </si>
  <si>
    <t>临城市主干道</t>
    <phoneticPr fontId="27" type="noConversion"/>
  </si>
  <si>
    <t>临城市次干道</t>
    <phoneticPr fontId="27" type="noConversion"/>
  </si>
  <si>
    <t>临城市支路</t>
    <phoneticPr fontId="27" type="noConversion"/>
  </si>
  <si>
    <t>临村道</t>
    <phoneticPr fontId="27" type="noConversion"/>
  </si>
  <si>
    <t>军队租用集体土地</t>
    <phoneticPr fontId="29" type="noConversion"/>
  </si>
  <si>
    <t>征地</t>
    <phoneticPr fontId="29" type="noConversion"/>
  </si>
  <si>
    <t>土地取得方式</t>
    <phoneticPr fontId="29" type="noConversion"/>
  </si>
  <si>
    <r>
      <rPr>
        <b/>
        <sz val="10"/>
        <color rgb="FFFF0000"/>
        <rFont val="宋体"/>
        <family val="3"/>
        <charset val="134"/>
      </rPr>
      <t>当前日期所在季度地价指数为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季度至今平均增长率计算得出。即，</t>
    </r>
    <r>
      <rPr>
        <b/>
        <sz val="10"/>
        <color rgb="FFFF0000"/>
        <rFont val="Arial"/>
        <family val="2"/>
      </rPr>
      <t>2017</t>
    </r>
    <r>
      <rPr>
        <b/>
        <sz val="10"/>
        <color rgb="FFFF0000"/>
        <rFont val="宋体"/>
        <family val="3"/>
        <charset val="134"/>
      </rPr>
      <t>年</t>
    </r>
    <r>
      <rPr>
        <b/>
        <sz val="10"/>
        <color rgb="FFFF0000"/>
        <rFont val="Arial"/>
        <family val="2"/>
      </rPr>
      <t>1</t>
    </r>
    <r>
      <rPr>
        <b/>
        <sz val="10"/>
        <color rgb="FFFF0000"/>
        <rFont val="宋体"/>
        <family val="3"/>
        <charset val="134"/>
      </rPr>
      <t>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季度至今平均增长率乘</t>
    </r>
    <r>
      <rPr>
        <b/>
        <sz val="10"/>
        <color rgb="FFFF0000"/>
        <rFont val="Arial"/>
        <family val="2"/>
      </rPr>
      <t>2016</t>
    </r>
    <r>
      <rPr>
        <b/>
        <sz val="10"/>
        <color rgb="FFFF0000"/>
        <rFont val="宋体"/>
        <family val="3"/>
        <charset val="134"/>
      </rPr>
      <t>年</t>
    </r>
    <r>
      <rPr>
        <b/>
        <sz val="10"/>
        <color rgb="FFFF0000"/>
        <rFont val="Arial"/>
        <family val="2"/>
      </rPr>
      <t>4</t>
    </r>
    <r>
      <rPr>
        <b/>
        <sz val="10"/>
        <color rgb="FFFF0000"/>
        <rFont val="宋体"/>
        <family val="3"/>
        <charset val="134"/>
      </rPr>
      <t>季度地价指数计算得出。</t>
    </r>
    <phoneticPr fontId="225" type="noConversion"/>
  </si>
  <si>
    <t>办公/综合</t>
    <phoneticPr fontId="4" type="noConversion"/>
  </si>
  <si>
    <t>住宅/居住</t>
    <phoneticPr fontId="4" type="noConversion"/>
  </si>
  <si>
    <t>年度</t>
    <phoneticPr fontId="225" type="noConversion"/>
  </si>
  <si>
    <t>季度</t>
    <phoneticPr fontId="225" type="noConversion"/>
  </si>
  <si>
    <t>商业/办公</t>
    <phoneticPr fontId="4" type="noConversion"/>
  </si>
  <si>
    <t>2022-1</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</si>
  <si>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</si>
  <si>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r>
      <rPr>
        <sz val="10"/>
        <color rgb="FF707070"/>
        <rFont val="宋体"/>
        <family val="3"/>
        <charset val="134"/>
      </rPr>
      <t>工业</t>
    </r>
  </si>
  <si>
    <t>地价验算</t>
    <phoneticPr fontId="29" type="noConversion"/>
  </si>
  <si>
    <t>2013-4</t>
  </si>
  <si>
    <t>2013-3</t>
  </si>
  <si>
    <t>2013-2</t>
  </si>
  <si>
    <t>2013-1</t>
  </si>
  <si>
    <t>2012-4</t>
  </si>
  <si>
    <t>2012-3</t>
  </si>
  <si>
    <t>较好</t>
  </si>
  <si>
    <t>周边无污染型企业，5公里范围内有八达岭长城自然风景区等自然和人文景观，环境状况较好</t>
    <phoneticPr fontId="4" type="noConversion"/>
  </si>
  <si>
    <r>
      <rPr>
        <sz val="11"/>
        <rFont val="宋体"/>
        <family val="3"/>
        <charset val="134"/>
      </rPr>
      <t>周边无污染型企业，</t>
    </r>
    <r>
      <rPr>
        <sz val="11"/>
        <rFont val="Arial"/>
        <family val="2"/>
      </rPr>
      <t>5</t>
    </r>
    <r>
      <rPr>
        <sz val="11"/>
        <rFont val="宋体"/>
        <family val="3"/>
        <charset val="134"/>
      </rPr>
      <t>公里范围内有古崖居风景区及官厅水库等自然和人文景观，环境状况好</t>
    </r>
    <phoneticPr fontId="29" type="noConversion"/>
  </si>
  <si>
    <t>好</t>
  </si>
  <si>
    <t>=F12</t>
    <phoneticPr fontId="29" type="noConversion"/>
  </si>
  <si>
    <t>年期修正</t>
    <phoneticPr fontId="29" type="noConversion"/>
  </si>
  <si>
    <t>比较法-工业</t>
  </si>
  <si>
    <t>基准地价</t>
  </si>
  <si>
    <t>地上</t>
  </si>
  <si>
    <t>用途类型</t>
  </si>
  <si>
    <t>工业</t>
    <phoneticPr fontId="8" type="noConversion"/>
  </si>
  <si>
    <t>一致</t>
  </si>
  <si>
    <t>是</t>
  </si>
  <si>
    <r>
      <rPr>
        <sz val="10"/>
        <color indexed="8"/>
        <rFont val="仿宋_GB2312"/>
        <family val="3"/>
        <charset val="134"/>
      </rPr>
      <t>元</t>
    </r>
    <r>
      <rPr>
        <sz val="10"/>
        <color indexed="8"/>
        <rFont val="Arial"/>
        <family val="2"/>
      </rPr>
      <t>/</t>
    </r>
    <r>
      <rPr>
        <sz val="10"/>
        <color indexed="8"/>
        <rFont val="仿宋_GB2312"/>
        <family val="3"/>
        <charset val="134"/>
      </rPr>
      <t>亩</t>
    </r>
    <phoneticPr fontId="10" type="noConversion"/>
  </si>
  <si>
    <t>序号</t>
    <phoneticPr fontId="225" type="noConversion"/>
  </si>
  <si>
    <t>公共时间</t>
    <phoneticPr fontId="225" type="noConversion"/>
  </si>
  <si>
    <t>位置</t>
    <phoneticPr fontId="225" type="noConversion"/>
  </si>
  <si>
    <t>面积（亩）</t>
    <phoneticPr fontId="225" type="noConversion"/>
  </si>
  <si>
    <t>征地补偿费（万元/亩）</t>
    <phoneticPr fontId="225" type="noConversion"/>
  </si>
  <si>
    <t>备注</t>
    <phoneticPr fontId="225" type="noConversion"/>
  </si>
  <si>
    <t>延庆县康庄镇文化体育活动中心项目工程</t>
    <phoneticPr fontId="225" type="noConversion"/>
  </si>
  <si>
    <t>土地补偿费和安置补助费</t>
    <phoneticPr fontId="225" type="noConversion"/>
  </si>
  <si>
    <t>时点前且位于估价对象周边</t>
    <phoneticPr fontId="225" type="noConversion"/>
  </si>
  <si>
    <t>延庆区康庄镇一街村、二街村、三街村棚户区改造和环境整治项目</t>
    <phoneticPr fontId="225" type="noConversion"/>
  </si>
  <si>
    <t>综合区片地价，不涉及安置人口</t>
    <phoneticPr fontId="225" type="noConversion"/>
  </si>
  <si>
    <t>土地补偿费7432.87752万元</t>
    <phoneticPr fontId="225" type="noConversion"/>
  </si>
  <si>
    <t>北京八达岭经济开发区光谷一街南侧工业用地生地一级开发项目</t>
    <phoneticPr fontId="225" type="noConversion"/>
  </si>
  <si>
    <t>综合区片地价</t>
    <phoneticPr fontId="225" type="noConversion"/>
  </si>
  <si>
    <t>延崇高速公路(北京段)工程项目</t>
  </si>
  <si>
    <t>综合区片地价，含土地补偿费和安置补助费</t>
    <phoneticPr fontId="225" type="noConversion"/>
  </si>
  <si>
    <t>西白庙220千伏输变电工程项目</t>
    <phoneticPr fontId="225" type="noConversion"/>
  </si>
  <si>
    <t>土地补偿费</t>
    <phoneticPr fontId="225" type="noConversion"/>
  </si>
  <si>
    <t>小大路改建工程项目</t>
    <phoneticPr fontId="225" type="noConversion"/>
  </si>
  <si>
    <t>延庆区康庄消防站建设工程项目</t>
    <phoneticPr fontId="225" type="noConversion"/>
  </si>
  <si>
    <t>北京八达岭经济开发区光谷三街南侧工业用地土地一级开发项目</t>
    <phoneticPr fontId="225" type="noConversion"/>
  </si>
  <si>
    <t>北京八达岭经济开发区天佑路东侧工业用地土地一级开发项目</t>
    <phoneticPr fontId="225" type="noConversion"/>
  </si>
  <si>
    <t>张山营镇东门营村</t>
    <phoneticPr fontId="225" type="noConversion"/>
  </si>
  <si>
    <t>时点可用案例</t>
    <phoneticPr fontId="225" type="noConversion"/>
  </si>
  <si>
    <t>张山营镇下营村</t>
    <phoneticPr fontId="225" type="noConversion"/>
  </si>
  <si>
    <t>张山营镇玉皇庙村</t>
    <phoneticPr fontId="225" type="noConversion"/>
  </si>
  <si>
    <t>地块临近村道，周边3公里范围内有高速公路——京藏高速、城市次干道——康张路，有880路等3条以下公交线路通过并设立站点，综合评价交通便捷度一般</t>
    <phoneticPr fontId="4" type="noConversion"/>
  </si>
  <si>
    <r>
      <rPr>
        <sz val="11"/>
        <rFont val="宋体"/>
        <family val="3"/>
        <charset val="134"/>
      </rPr>
      <t>地块临近村道，周边</t>
    </r>
    <r>
      <rPr>
        <sz val="11"/>
        <rFont val="Arial"/>
        <family val="2"/>
      </rPr>
      <t>3</t>
    </r>
    <r>
      <rPr>
        <sz val="11"/>
        <rFont val="宋体"/>
        <family val="3"/>
        <charset val="134"/>
      </rPr>
      <t>公里范围内有国道——京青线，有</t>
    </r>
    <r>
      <rPr>
        <sz val="11"/>
        <rFont val="Arial"/>
        <family val="2"/>
      </rPr>
      <t>920</t>
    </r>
    <r>
      <rPr>
        <sz val="11"/>
        <rFont val="宋体"/>
        <family val="3"/>
        <charset val="134"/>
      </rPr>
      <t>路等</t>
    </r>
    <r>
      <rPr>
        <sz val="11"/>
        <rFont val="Arial"/>
        <family val="2"/>
      </rPr>
      <t>3</t>
    </r>
    <r>
      <rPr>
        <sz val="11"/>
        <rFont val="宋体"/>
        <family val="3"/>
        <charset val="134"/>
      </rPr>
      <t>条以下公交线路通过并设立站点，综合评价交通便捷度较差</t>
    </r>
    <phoneticPr fontId="29" type="noConversion"/>
  </si>
  <si>
    <t>市场价格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</si>
</sst>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name val="Arial"/>
      <family val="3"/>
      <charset val="134"/>
    </font>
    <font>
      <sz val="10"/>
      <color theme="0"/>
      <name val="Arial"/>
      <family val="2"/>
    </font>
    <font>
      <sz val="10"/>
      <color indexed="8"/>
      <name val="Arial"/>
      <family val="3"/>
      <charset val="134"/>
    </font>
    <font>
      <sz val="11"/>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right/>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bottom style="thin">
        <color rgb="FFFF0000"/>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 fillId="0" borderId="0"/>
  </cellStyleXfs>
  <cellXfs count="3860">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227" fillId="0" borderId="0" xfId="13" applyFont="1" applyAlignment="1">
      <alignment horizontal="left" vertical="center"/>
    </xf>
    <xf numFmtId="0" fontId="141" fillId="0" borderId="5" xfId="0" applyFont="1" applyBorder="1" applyAlignment="1" applyProtection="1">
      <alignment horizontal="center" vertical="center"/>
      <protection locked="0"/>
    </xf>
    <xf numFmtId="49" fontId="302" fillId="0" borderId="18" xfId="0" applyNumberFormat="1" applyFont="1" applyBorder="1" applyAlignment="1" applyProtection="1">
      <alignment horizontal="center" vertical="center" wrapText="1"/>
      <protection locked="0"/>
    </xf>
    <xf numFmtId="0" fontId="256" fillId="0" borderId="12" xfId="0" applyFont="1" applyBorder="1" applyAlignment="1" applyProtection="1">
      <alignment horizontal="left" vertical="center" wrapText="1"/>
      <protection locked="0"/>
    </xf>
    <xf numFmtId="0" fontId="141" fillId="0" borderId="74" xfId="0" applyFont="1" applyBorder="1" applyAlignment="1" applyProtection="1">
      <alignment horizontal="center" vertical="center" wrapText="1"/>
      <protection locked="0"/>
    </xf>
    <xf numFmtId="0" fontId="141" fillId="0" borderId="11" xfId="0" applyFont="1" applyBorder="1" applyAlignment="1" applyProtection="1">
      <alignment horizontal="center" vertical="center" wrapText="1"/>
      <protection locked="0"/>
    </xf>
    <xf numFmtId="0" fontId="55" fillId="5" borderId="74" xfId="0" applyFont="1" applyFill="1" applyBorder="1" applyAlignment="1">
      <alignment horizontal="center" vertical="center" wrapText="1"/>
    </xf>
    <xf numFmtId="0" fontId="130" fillId="8" borderId="63" xfId="0" applyFont="1" applyFill="1" applyBorder="1" applyAlignment="1" applyProtection="1">
      <alignment horizontal="left" vertical="center" wrapText="1"/>
      <protection locked="0"/>
    </xf>
    <xf numFmtId="0" fontId="78" fillId="0" borderId="50" xfId="0" applyFont="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74" fillId="0" borderId="0" xfId="13" applyFont="1" applyAlignment="1">
      <alignment horizontal="left" vertical="center"/>
    </xf>
    <xf numFmtId="0" fontId="231" fillId="0" borderId="0" xfId="13" applyFont="1" applyAlignment="1">
      <alignment horizontal="left" vertical="center"/>
    </xf>
    <xf numFmtId="0" fontId="146" fillId="5" borderId="0" xfId="1" applyFont="1" applyFill="1" applyAlignment="1">
      <alignment horizontal="left" vertical="center"/>
    </xf>
    <xf numFmtId="0" fontId="18" fillId="5" borderId="0" xfId="1" applyFont="1" applyFill="1" applyAlignment="1">
      <alignment horizontal="left" vertical="center"/>
    </xf>
    <xf numFmtId="0" fontId="156" fillId="5" borderId="0" xfId="1" applyFont="1" applyFill="1" applyAlignment="1">
      <alignment horizontal="left" vertical="center"/>
    </xf>
    <xf numFmtId="0" fontId="154" fillId="15" borderId="0" xfId="13" applyFont="1" applyFill="1" applyAlignment="1">
      <alignment horizontal="left" vertical="center"/>
    </xf>
    <xf numFmtId="0" fontId="156" fillId="15" borderId="0" xfId="1" applyFont="1" applyFill="1" applyAlignment="1">
      <alignment horizontal="left" vertical="center"/>
    </xf>
    <xf numFmtId="0" fontId="156" fillId="0" borderId="0" xfId="1" applyFont="1" applyAlignment="1" applyProtection="1">
      <alignment horizontal="left" vertical="center"/>
      <protection locked="0"/>
    </xf>
    <xf numFmtId="0" fontId="18" fillId="0" borderId="0" xfId="1" applyFont="1" applyAlignment="1" applyProtection="1">
      <alignment horizontal="left" vertical="center"/>
      <protection locked="0"/>
    </xf>
    <xf numFmtId="0" fontId="156" fillId="0" borderId="0" xfId="1" applyFont="1" applyAlignment="1">
      <alignment horizontal="left" vertical="center"/>
    </xf>
    <xf numFmtId="49" fontId="303" fillId="24" borderId="2" xfId="13" applyNumberFormat="1" applyFont="1" applyFill="1" applyBorder="1" applyAlignment="1">
      <alignment horizontal="left" vertical="center" wrapText="1"/>
    </xf>
    <xf numFmtId="185" fontId="303" fillId="24" borderId="0" xfId="13" applyNumberFormat="1" applyFont="1" applyFill="1" applyAlignment="1">
      <alignment horizontal="left" vertical="center"/>
    </xf>
    <xf numFmtId="0" fontId="303" fillId="24" borderId="123" xfId="13" applyFont="1" applyFill="1" applyBorder="1" applyAlignment="1">
      <alignment horizontal="left" vertical="center" wrapText="1"/>
    </xf>
    <xf numFmtId="0" fontId="303" fillId="24" borderId="124" xfId="13" applyFont="1" applyFill="1" applyBorder="1" applyAlignment="1">
      <alignment horizontal="left" vertical="center" wrapText="1"/>
    </xf>
    <xf numFmtId="0" fontId="303" fillId="24" borderId="124" xfId="13" applyFont="1" applyFill="1" applyBorder="1" applyAlignment="1" applyProtection="1">
      <alignment horizontal="left" vertical="center" wrapText="1"/>
      <protection locked="0"/>
    </xf>
    <xf numFmtId="0" fontId="303" fillId="24" borderId="128" xfId="13" applyFont="1" applyFill="1" applyBorder="1" applyAlignment="1" applyProtection="1">
      <alignment horizontal="left" vertical="center" wrapText="1"/>
      <protection locked="0"/>
    </xf>
    <xf numFmtId="0" fontId="235" fillId="24" borderId="0" xfId="13" applyFont="1" applyFill="1" applyAlignment="1">
      <alignment horizontal="left" vertical="center"/>
    </xf>
    <xf numFmtId="10" fontId="303" fillId="24" borderId="122" xfId="13" applyNumberFormat="1" applyFont="1" applyFill="1" applyBorder="1" applyAlignment="1">
      <alignment horizontal="left" vertical="center"/>
    </xf>
    <xf numFmtId="10" fontId="303" fillId="24" borderId="0" xfId="13" applyNumberFormat="1" applyFont="1" applyFill="1" applyAlignment="1">
      <alignment horizontal="left" vertical="center"/>
    </xf>
    <xf numFmtId="10" fontId="235" fillId="24" borderId="122" xfId="13" applyNumberFormat="1" applyFont="1" applyFill="1" applyBorder="1" applyAlignment="1">
      <alignment horizontal="left" vertical="center"/>
    </xf>
    <xf numFmtId="10" fontId="235" fillId="24" borderId="0" xfId="13" applyNumberFormat="1" applyFont="1" applyFill="1" applyAlignment="1">
      <alignment horizontal="left" vertical="center"/>
    </xf>
    <xf numFmtId="0" fontId="155" fillId="6" borderId="0" xfId="13" applyFont="1" applyFill="1" applyAlignment="1">
      <alignment horizontal="left" vertical="center"/>
    </xf>
    <xf numFmtId="0" fontId="235" fillId="6" borderId="0" xfId="13" applyFont="1" applyFill="1" applyAlignment="1">
      <alignment horizontal="left" vertical="center"/>
    </xf>
    <xf numFmtId="0" fontId="233" fillId="11" borderId="123" xfId="13" applyFont="1" applyFill="1" applyBorder="1" applyAlignment="1">
      <alignment horizontal="left" vertical="center" wrapText="1"/>
    </xf>
    <xf numFmtId="178" fontId="149" fillId="0" borderId="0" xfId="13" applyNumberFormat="1" applyFont="1" applyAlignment="1">
      <alignment horizontal="left" vertical="center"/>
    </xf>
    <xf numFmtId="10" fontId="149" fillId="0" borderId="126" xfId="13" applyNumberFormat="1" applyFont="1" applyBorder="1" applyAlignment="1">
      <alignment horizontal="left" vertical="center"/>
    </xf>
    <xf numFmtId="10" fontId="149" fillId="0" borderId="19" xfId="13" applyNumberFormat="1" applyFont="1" applyBorder="1" applyAlignment="1">
      <alignment horizontal="left" vertical="center"/>
    </xf>
    <xf numFmtId="182" fontId="149" fillId="0" borderId="0" xfId="13" applyNumberFormat="1" applyFont="1" applyAlignment="1">
      <alignment horizontal="left" vertical="center"/>
    </xf>
    <xf numFmtId="185" fontId="149" fillId="0" borderId="0" xfId="13" applyNumberFormat="1" applyFont="1" applyAlignment="1">
      <alignment horizontal="left" vertical="center"/>
    </xf>
    <xf numFmtId="0" fontId="233" fillId="11" borderId="121" xfId="13" applyFont="1" applyFill="1" applyBorder="1" applyAlignment="1">
      <alignment horizontal="left" vertical="center" wrapText="1"/>
    </xf>
    <xf numFmtId="0" fontId="233" fillId="11" borderId="120" xfId="13" applyFont="1" applyFill="1" applyBorder="1" applyAlignment="1">
      <alignment horizontal="left" vertical="center" wrapText="1"/>
    </xf>
    <xf numFmtId="182" fontId="149" fillId="0" borderId="122" xfId="13" applyNumberFormat="1" applyFont="1" applyBorder="1" applyAlignment="1">
      <alignment horizontal="left" vertical="center"/>
    </xf>
    <xf numFmtId="0" fontId="233" fillId="11" borderId="124" xfId="13" applyFont="1" applyFill="1" applyBorder="1" applyAlignment="1">
      <alignment horizontal="left" vertical="center" wrapText="1"/>
    </xf>
    <xf numFmtId="0" fontId="233" fillId="11" borderId="128" xfId="13" applyFont="1" applyFill="1" applyBorder="1" applyAlignment="1">
      <alignment horizontal="left" vertical="center" wrapText="1"/>
    </xf>
    <xf numFmtId="0" fontId="233" fillId="11" borderId="130" xfId="13" applyFont="1" applyFill="1" applyBorder="1" applyAlignment="1">
      <alignment horizontal="left" vertical="center" wrapText="1"/>
    </xf>
    <xf numFmtId="0" fontId="233" fillId="11" borderId="131" xfId="13" applyFont="1" applyFill="1" applyBorder="1" applyAlignment="1">
      <alignment horizontal="left" vertical="center" wrapText="1"/>
    </xf>
    <xf numFmtId="10" fontId="149" fillId="0" borderId="132" xfId="13" applyNumberFormat="1" applyFont="1" applyBorder="1" applyAlignment="1">
      <alignment horizontal="left" vertical="center"/>
    </xf>
    <xf numFmtId="10" fontId="149" fillId="0" borderId="14" xfId="13" applyNumberFormat="1" applyFont="1" applyBorder="1" applyAlignment="1">
      <alignment horizontal="left" vertical="center"/>
    </xf>
    <xf numFmtId="0" fontId="149" fillId="0" borderId="122" xfId="13" applyFont="1" applyBorder="1" applyAlignment="1">
      <alignment horizontal="left" vertical="center"/>
    </xf>
    <xf numFmtId="0" fontId="233" fillId="12" borderId="120" xfId="13" applyFont="1" applyFill="1" applyBorder="1" applyAlignment="1">
      <alignment horizontal="left" vertical="center" wrapText="1"/>
    </xf>
    <xf numFmtId="0" fontId="233" fillId="12" borderId="121" xfId="13" applyFont="1" applyFill="1" applyBorder="1" applyAlignment="1">
      <alignment horizontal="left" vertical="center" wrapText="1"/>
    </xf>
    <xf numFmtId="185" fontId="154" fillId="11" borderId="124" xfId="13" applyNumberFormat="1" applyFont="1" applyFill="1" applyBorder="1" applyAlignment="1">
      <alignment horizontal="left" vertical="center" wrapText="1"/>
    </xf>
    <xf numFmtId="185" fontId="154" fillId="11" borderId="133" xfId="13" applyNumberFormat="1" applyFont="1" applyFill="1" applyBorder="1" applyAlignment="1">
      <alignment horizontal="left" vertical="center" wrapText="1"/>
    </xf>
    <xf numFmtId="0" fontId="149" fillId="12" borderId="120" xfId="13" applyFont="1" applyFill="1" applyBorder="1" applyAlignment="1">
      <alignment horizontal="left" vertical="center" wrapText="1"/>
    </xf>
    <xf numFmtId="0" fontId="149" fillId="12" borderId="121" xfId="13" applyFont="1" applyFill="1" applyBorder="1" applyAlignment="1">
      <alignment horizontal="left" vertical="center" wrapText="1"/>
    </xf>
    <xf numFmtId="49" fontId="83" fillId="6" borderId="2" xfId="13" applyNumberFormat="1" applyFont="1" applyFill="1" applyBorder="1" applyAlignment="1">
      <alignment horizontal="left" vertical="center" wrapText="1"/>
    </xf>
    <xf numFmtId="185" fontId="149" fillId="6" borderId="0" xfId="13" applyNumberFormat="1" applyFont="1" applyFill="1" applyAlignment="1">
      <alignment horizontal="left" vertical="center"/>
    </xf>
    <xf numFmtId="0" fontId="149" fillId="6" borderId="124" xfId="13" applyFont="1" applyFill="1" applyBorder="1" applyAlignment="1">
      <alignment horizontal="left" vertical="center" wrapText="1"/>
    </xf>
    <xf numFmtId="0" fontId="149" fillId="6" borderId="128" xfId="13" applyFont="1" applyFill="1" applyBorder="1" applyAlignment="1">
      <alignment horizontal="left" vertical="center" wrapText="1"/>
    </xf>
    <xf numFmtId="0" fontId="149" fillId="6" borderId="0" xfId="13" applyFont="1" applyFill="1" applyAlignment="1">
      <alignment horizontal="left" vertical="center"/>
    </xf>
    <xf numFmtId="10" fontId="149" fillId="6" borderId="122" xfId="13" applyNumberFormat="1" applyFont="1" applyFill="1" applyBorder="1" applyAlignment="1">
      <alignment horizontal="left" vertical="center"/>
    </xf>
    <xf numFmtId="10" fontId="149" fillId="6" borderId="0" xfId="13" applyNumberFormat="1" applyFont="1" applyFill="1" applyAlignment="1">
      <alignment horizontal="left" vertical="center"/>
    </xf>
    <xf numFmtId="178" fontId="149" fillId="6" borderId="0" xfId="13" applyNumberFormat="1" applyFont="1" applyFill="1" applyAlignment="1">
      <alignment horizontal="left" vertical="center"/>
    </xf>
    <xf numFmtId="10" fontId="149" fillId="6" borderId="126" xfId="13" applyNumberFormat="1" applyFont="1" applyFill="1" applyBorder="1" applyAlignment="1">
      <alignment horizontal="left" vertical="center"/>
    </xf>
    <xf numFmtId="10" fontId="149" fillId="6" borderId="19" xfId="13" applyNumberFormat="1" applyFont="1" applyFill="1" applyBorder="1" applyAlignment="1">
      <alignment horizontal="left" vertical="center"/>
    </xf>
    <xf numFmtId="0" fontId="149" fillId="11" borderId="130" xfId="13" applyFont="1" applyFill="1" applyBorder="1" applyAlignment="1">
      <alignment horizontal="left" vertical="center" wrapText="1"/>
    </xf>
    <xf numFmtId="0" fontId="149" fillId="11" borderId="131" xfId="13" applyFont="1" applyFill="1" applyBorder="1" applyAlignment="1">
      <alignment horizontal="left" vertical="center" wrapText="1"/>
    </xf>
    <xf numFmtId="185" fontId="154" fillId="11" borderId="130" xfId="13" applyNumberFormat="1" applyFont="1" applyFill="1" applyBorder="1" applyAlignment="1">
      <alignment horizontal="left" vertical="center" wrapText="1"/>
    </xf>
    <xf numFmtId="185" fontId="154" fillId="11" borderId="134" xfId="13" applyNumberFormat="1" applyFont="1" applyFill="1" applyBorder="1" applyAlignment="1">
      <alignment horizontal="left" vertical="center" wrapText="1"/>
    </xf>
    <xf numFmtId="185" fontId="149" fillId="13" borderId="0" xfId="13" applyNumberFormat="1" applyFont="1" applyFill="1" applyAlignment="1">
      <alignment horizontal="left" vertical="center"/>
    </xf>
    <xf numFmtId="185" fontId="149" fillId="0" borderId="61" xfId="13" applyNumberFormat="1" applyFont="1" applyBorder="1" applyAlignment="1">
      <alignment horizontal="left" vertical="center"/>
    </xf>
    <xf numFmtId="0" fontId="233" fillId="12" borderId="135" xfId="13" applyFont="1" applyFill="1" applyBorder="1" applyAlignment="1">
      <alignment horizontal="left" vertical="center" wrapText="1"/>
    </xf>
    <xf numFmtId="0" fontId="233" fillId="12" borderId="136" xfId="13" applyFont="1" applyFill="1" applyBorder="1" applyAlignment="1">
      <alignment horizontal="left" vertical="center" wrapText="1"/>
    </xf>
    <xf numFmtId="0" fontId="149" fillId="0" borderId="61" xfId="13" applyFont="1" applyBorder="1" applyAlignment="1">
      <alignment horizontal="left" vertical="center"/>
    </xf>
    <xf numFmtId="10" fontId="149" fillId="0" borderId="137" xfId="13" applyNumberFormat="1" applyFont="1" applyBorder="1" applyAlignment="1">
      <alignment horizontal="left" vertical="center"/>
    </xf>
    <xf numFmtId="10" fontId="149" fillId="0" borderId="61" xfId="13" applyNumberFormat="1" applyFont="1" applyBorder="1" applyAlignment="1">
      <alignment horizontal="left" vertical="center"/>
    </xf>
    <xf numFmtId="178" fontId="149" fillId="0" borderId="61" xfId="13" applyNumberFormat="1" applyFont="1" applyBorder="1" applyAlignment="1">
      <alignment horizontal="left" vertical="center"/>
    </xf>
    <xf numFmtId="0" fontId="233" fillId="11" borderId="138" xfId="13" applyFont="1" applyFill="1" applyBorder="1" applyAlignment="1">
      <alignment horizontal="left" vertical="center" wrapText="1"/>
    </xf>
    <xf numFmtId="0" fontId="233" fillId="11" borderId="139" xfId="13" applyFont="1" applyFill="1" applyBorder="1" applyAlignment="1">
      <alignment horizontal="left" vertical="center" wrapText="1"/>
    </xf>
    <xf numFmtId="10" fontId="149" fillId="14" borderId="122" xfId="13" applyNumberFormat="1" applyFont="1" applyFill="1" applyBorder="1" applyAlignment="1">
      <alignment horizontal="left" vertical="center"/>
    </xf>
    <xf numFmtId="10" fontId="149" fillId="14" borderId="0" xfId="13" applyNumberFormat="1" applyFont="1" applyFill="1" applyAlignment="1">
      <alignment horizontal="left" vertical="center"/>
    </xf>
    <xf numFmtId="179" fontId="149" fillId="0" borderId="0" xfId="13" applyNumberFormat="1" applyFont="1" applyAlignment="1">
      <alignment horizontal="left" vertical="center"/>
    </xf>
    <xf numFmtId="10" fontId="149" fillId="14" borderId="126" xfId="13" applyNumberFormat="1" applyFont="1" applyFill="1" applyBorder="1" applyAlignment="1">
      <alignment horizontal="left" vertical="center"/>
    </xf>
    <xf numFmtId="10" fontId="149" fillId="14" borderId="19" xfId="13" applyNumberFormat="1" applyFont="1" applyFill="1" applyBorder="1" applyAlignment="1">
      <alignment horizontal="left" vertical="center"/>
    </xf>
    <xf numFmtId="10" fontId="149" fillId="14" borderId="137" xfId="13" applyNumberFormat="1" applyFont="1" applyFill="1" applyBorder="1" applyAlignment="1">
      <alignment horizontal="left" vertical="center"/>
    </xf>
    <xf numFmtId="10" fontId="149" fillId="14" borderId="61" xfId="13" applyNumberFormat="1" applyFont="1" applyFill="1" applyBorder="1" applyAlignment="1">
      <alignment horizontal="left" vertical="center"/>
    </xf>
    <xf numFmtId="179" fontId="149" fillId="0" borderId="61" xfId="13" applyNumberFormat="1" applyFont="1" applyBorder="1" applyAlignment="1">
      <alignment horizontal="left" vertical="center"/>
    </xf>
    <xf numFmtId="0" fontId="154" fillId="12" borderId="140" xfId="13" applyFont="1" applyFill="1" applyBorder="1" applyAlignment="1">
      <alignment horizontal="left" vertical="center" wrapText="1"/>
    </xf>
    <xf numFmtId="0" fontId="154" fillId="12" borderId="141" xfId="13" applyFont="1" applyFill="1" applyBorder="1" applyAlignment="1">
      <alignment horizontal="left" vertical="center" wrapText="1"/>
    </xf>
    <xf numFmtId="181" fontId="149" fillId="0" borderId="0" xfId="13" applyNumberFormat="1" applyFont="1" applyAlignment="1">
      <alignment horizontal="left" vertical="center"/>
    </xf>
    <xf numFmtId="181" fontId="149" fillId="0" borderId="122" xfId="13" applyNumberFormat="1" applyFont="1" applyBorder="1" applyAlignment="1">
      <alignment horizontal="left" vertical="center"/>
    </xf>
    <xf numFmtId="178" fontId="149" fillId="14" borderId="0" xfId="13" applyNumberFormat="1" applyFont="1" applyFill="1" applyAlignment="1">
      <alignment horizontal="left" vertical="center"/>
    </xf>
    <xf numFmtId="0" fontId="233" fillId="12" borderId="130" xfId="13" applyFont="1" applyFill="1" applyBorder="1" applyAlignment="1">
      <alignment horizontal="left" vertical="center" wrapText="1"/>
    </xf>
    <xf numFmtId="0" fontId="154" fillId="11" borderId="130" xfId="13" applyFont="1" applyFill="1" applyBorder="1" applyAlignment="1">
      <alignment horizontal="left" vertical="center" wrapText="1"/>
    </xf>
    <xf numFmtId="0" fontId="154" fillId="11" borderId="134" xfId="13" applyFont="1" applyFill="1" applyBorder="1" applyAlignment="1">
      <alignment horizontal="left" vertical="center" wrapText="1"/>
    </xf>
    <xf numFmtId="0" fontId="233" fillId="6" borderId="124" xfId="13" applyFont="1" applyFill="1" applyBorder="1" applyAlignment="1">
      <alignment horizontal="left" vertical="center" wrapText="1"/>
    </xf>
    <xf numFmtId="181" fontId="149" fillId="6" borderId="0" xfId="13" applyNumberFormat="1" applyFont="1" applyFill="1" applyAlignment="1">
      <alignment horizontal="left" vertical="center"/>
    </xf>
    <xf numFmtId="0" fontId="149" fillId="6" borderId="122" xfId="13" applyFont="1" applyFill="1" applyBorder="1" applyAlignment="1">
      <alignment horizontal="left" vertical="center"/>
    </xf>
    <xf numFmtId="179" fontId="149" fillId="6" borderId="0" xfId="13" applyNumberFormat="1" applyFont="1" applyFill="1" applyAlignment="1">
      <alignment horizontal="left" vertical="center"/>
    </xf>
    <xf numFmtId="0" fontId="154" fillId="11" borderId="142" xfId="13" applyFont="1" applyFill="1" applyBorder="1" applyAlignment="1">
      <alignment horizontal="left" vertical="center" wrapText="1"/>
    </xf>
    <xf numFmtId="0" fontId="154" fillId="11" borderId="143" xfId="13" applyFont="1" applyFill="1" applyBorder="1" applyAlignment="1">
      <alignment horizontal="left" vertical="center" wrapText="1"/>
    </xf>
    <xf numFmtId="0" fontId="154" fillId="11" borderId="144" xfId="13" applyFont="1" applyFill="1" applyBorder="1" applyAlignment="1">
      <alignment horizontal="left" vertical="center" wrapText="1"/>
    </xf>
    <xf numFmtId="0" fontId="207" fillId="0" borderId="0" xfId="13" applyFont="1" applyAlignment="1">
      <alignment horizontal="left" vertical="center"/>
    </xf>
    <xf numFmtId="0" fontId="155" fillId="0" borderId="0" xfId="13" applyFont="1" applyAlignment="1">
      <alignment horizontal="left" vertical="center"/>
    </xf>
    <xf numFmtId="0" fontId="155" fillId="0" borderId="122" xfId="13" applyFont="1" applyBorder="1" applyAlignment="1">
      <alignment horizontal="left" vertical="center"/>
    </xf>
    <xf numFmtId="181" fontId="155" fillId="0" borderId="0" xfId="13" applyNumberFormat="1" applyFont="1" applyAlignment="1">
      <alignment horizontal="left" vertical="center"/>
    </xf>
    <xf numFmtId="181" fontId="155" fillId="0" borderId="122" xfId="13" applyNumberFormat="1" applyFont="1" applyBorder="1" applyAlignment="1">
      <alignment horizontal="left" vertical="center"/>
    </xf>
    <xf numFmtId="0" fontId="233" fillId="12" borderId="145" xfId="13" applyFont="1" applyFill="1" applyBorder="1" applyAlignment="1">
      <alignment horizontal="left" vertical="center" wrapText="1"/>
    </xf>
    <xf numFmtId="0" fontId="233" fillId="11" borderId="174" xfId="13" applyFont="1" applyFill="1" applyBorder="1" applyAlignment="1">
      <alignment horizontal="left" vertical="center" wrapText="1"/>
    </xf>
    <xf numFmtId="0" fontId="233" fillId="11" borderId="146" xfId="13" applyFont="1" applyFill="1" applyBorder="1" applyAlignment="1">
      <alignment horizontal="left" vertical="center" wrapText="1"/>
    </xf>
    <xf numFmtId="0" fontId="233" fillId="12" borderId="175" xfId="13" applyFont="1" applyFill="1" applyBorder="1" applyAlignment="1">
      <alignment horizontal="left" vertical="center" wrapText="1"/>
    </xf>
    <xf numFmtId="0" fontId="233" fillId="12" borderId="146" xfId="13" applyFont="1" applyFill="1" applyBorder="1" applyAlignment="1">
      <alignment horizontal="left" vertical="center" wrapText="1"/>
    </xf>
    <xf numFmtId="0" fontId="233" fillId="11" borderId="175" xfId="13" applyFont="1" applyFill="1" applyBorder="1" applyAlignment="1">
      <alignment horizontal="left" vertical="center" wrapText="1"/>
    </xf>
    <xf numFmtId="0" fontId="233" fillId="12" borderId="176" xfId="13" applyFont="1" applyFill="1" applyBorder="1" applyAlignment="1">
      <alignment horizontal="left" vertical="center" wrapText="1"/>
    </xf>
    <xf numFmtId="0" fontId="233" fillId="12" borderId="131" xfId="13" applyFont="1" applyFill="1" applyBorder="1" applyAlignment="1">
      <alignment horizontal="left" vertical="center" wrapText="1"/>
    </xf>
    <xf numFmtId="0" fontId="233" fillId="11" borderId="147" xfId="13" applyFont="1" applyFill="1" applyBorder="1" applyAlignment="1">
      <alignment horizontal="left" vertical="center" wrapText="1"/>
    </xf>
    <xf numFmtId="0" fontId="141" fillId="0" borderId="0" xfId="0" applyFont="1" applyAlignment="1" applyProtection="1">
      <alignment horizontal="center" vertical="center"/>
      <protection locked="0"/>
    </xf>
    <xf numFmtId="0" fontId="256" fillId="0" borderId="46" xfId="0" applyFont="1" applyBorder="1" applyAlignment="1" applyProtection="1">
      <alignment horizontal="left" vertical="center" wrapText="1"/>
      <protection locked="0"/>
    </xf>
    <xf numFmtId="0" fontId="141" fillId="12" borderId="0" xfId="0" applyFont="1" applyFill="1" applyAlignment="1" applyProtection="1">
      <alignment horizontal="center" vertical="center"/>
      <protection locked="0"/>
    </xf>
    <xf numFmtId="10" fontId="81" fillId="12" borderId="0" xfId="0" applyNumberFormat="1" applyFont="1" applyFill="1" applyAlignment="1" applyProtection="1">
      <alignment horizontal="center" vertical="center"/>
      <protection locked="0"/>
    </xf>
    <xf numFmtId="0" fontId="304" fillId="5" borderId="16" xfId="0" applyFont="1" applyFill="1" applyBorder="1">
      <alignment vertical="center"/>
    </xf>
    <xf numFmtId="0" fontId="1" fillId="0" borderId="0" xfId="18"/>
    <xf numFmtId="0" fontId="1" fillId="0" borderId="0" xfId="18" applyAlignment="1">
      <alignment wrapText="1"/>
    </xf>
    <xf numFmtId="0" fontId="1" fillId="0" borderId="177" xfId="18" applyBorder="1"/>
    <xf numFmtId="14" fontId="1" fillId="0" borderId="0" xfId="18" applyNumberFormat="1"/>
    <xf numFmtId="0" fontId="1" fillId="0" borderId="178" xfId="18" applyBorder="1"/>
    <xf numFmtId="0" fontId="1" fillId="0" borderId="179" xfId="18" applyBorder="1"/>
    <xf numFmtId="0" fontId="305" fillId="0" borderId="0" xfId="18" applyFont="1"/>
    <xf numFmtId="14" fontId="305" fillId="0" borderId="0" xfId="18" applyNumberFormat="1" applyFont="1"/>
    <xf numFmtId="0" fontId="305" fillId="0" borderId="0" xfId="18" applyFont="1" applyAlignment="1">
      <alignment wrapText="1"/>
    </xf>
    <xf numFmtId="0" fontId="144" fillId="0" borderId="178" xfId="18" applyFont="1" applyBorder="1"/>
    <xf numFmtId="0" fontId="144" fillId="0" borderId="180" xfId="18" applyFont="1" applyBorder="1"/>
    <xf numFmtId="0" fontId="144" fillId="0" borderId="181" xfId="18" applyFont="1" applyBorder="1"/>
    <xf numFmtId="0" fontId="144" fillId="0" borderId="182" xfId="18" applyFont="1" applyBorder="1"/>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144" fillId="0" borderId="0" xfId="18" applyFont="1" applyAlignment="1">
      <alignment horizontal="center" vertical="center" wrapText="1"/>
    </xf>
    <xf numFmtId="0" fontId="233" fillId="11" borderId="129" xfId="13" applyFont="1" applyFill="1" applyBorder="1" applyAlignment="1">
      <alignment horizontal="left" vertical="center" wrapText="1"/>
    </xf>
    <xf numFmtId="0" fontId="233" fillId="11" borderId="123" xfId="13" applyFont="1" applyFill="1" applyBorder="1" applyAlignment="1">
      <alignment horizontal="left" vertical="center" wrapText="1"/>
    </xf>
    <xf numFmtId="0" fontId="233" fillId="11" borderId="125" xfId="13" applyFont="1" applyFill="1" applyBorder="1" applyAlignment="1">
      <alignment horizontal="left" vertical="center" wrapText="1"/>
    </xf>
    <xf numFmtId="0" fontId="154" fillId="0" borderId="173" xfId="13" applyFont="1" applyBorder="1" applyAlignment="1">
      <alignment horizontal="left" vertical="center"/>
    </xf>
    <xf numFmtId="0" fontId="154" fillId="0" borderId="0" xfId="13" applyFont="1" applyAlignment="1">
      <alignment horizontal="left" vertical="center"/>
    </xf>
    <xf numFmtId="0" fontId="233" fillId="11" borderId="152" xfId="13" applyFont="1" applyFill="1" applyBorder="1" applyAlignment="1">
      <alignment horizontal="left" vertical="center" wrapText="1"/>
    </xf>
    <xf numFmtId="0" fontId="233" fillId="11" borderId="119" xfId="13" applyFont="1" applyFill="1" applyBorder="1" applyAlignment="1">
      <alignment horizontal="left" vertical="center" wrapText="1"/>
    </xf>
    <xf numFmtId="0" fontId="149" fillId="11" borderId="129" xfId="13" applyFont="1" applyFill="1" applyBorder="1" applyAlignment="1">
      <alignment horizontal="left" vertical="center" wrapText="1"/>
    </xf>
    <xf numFmtId="0" fontId="149" fillId="11" borderId="123" xfId="13" applyFont="1" applyFill="1" applyBorder="1" applyAlignment="1">
      <alignment horizontal="left" vertical="center" wrapText="1"/>
    </xf>
    <xf numFmtId="0" fontId="149" fillId="11" borderId="125" xfId="13" applyFont="1" applyFill="1" applyBorder="1" applyAlignment="1">
      <alignment horizontal="lef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27" fillId="0" borderId="0" xfId="13" applyFont="1" applyAlignment="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7" fillId="0" borderId="9"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BCE8662A-A5C0-4112-BDDB-68990B3481E1}"/>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19</xdr:row>
      <xdr:rowOff>147841</xdr:rowOff>
    </xdr:from>
    <xdr:to>
      <xdr:col>4</xdr:col>
      <xdr:colOff>435662</xdr:colOff>
      <xdr:row>39</xdr:row>
      <xdr:rowOff>27393</xdr:rowOff>
    </xdr:to>
    <xdr:pic>
      <xdr:nvPicPr>
        <xdr:cNvPr id="2" name="图片 1">
          <a:extLst>
            <a:ext uri="{FF2B5EF4-FFF2-40B4-BE49-F238E27FC236}">
              <a16:creationId xmlns:a16="http://schemas.microsoft.com/office/drawing/2014/main" id="{48688B15-9DFE-22DE-CBB5-04E1CAFC15FE}"/>
            </a:ext>
          </a:extLst>
        </xdr:cNvPr>
        <xdr:cNvPicPr>
          <a:picLocks noChangeAspect="1"/>
        </xdr:cNvPicPr>
      </xdr:nvPicPr>
      <xdr:blipFill>
        <a:blip xmlns:r="http://schemas.openxmlformats.org/officeDocument/2006/relationships" r:embed="rId1"/>
        <a:stretch>
          <a:fillRect/>
        </a:stretch>
      </xdr:blipFill>
      <xdr:spPr>
        <a:xfrm>
          <a:off x="276225" y="3748291"/>
          <a:ext cx="6960287" cy="3308552"/>
        </a:xfrm>
        <a:prstGeom prst="rect">
          <a:avLst/>
        </a:prstGeom>
      </xdr:spPr>
    </xdr:pic>
    <xdr:clientData/>
  </xdr:twoCellAnchor>
  <xdr:twoCellAnchor editAs="oneCell">
    <xdr:from>
      <xdr:col>4</xdr:col>
      <xdr:colOff>523875</xdr:colOff>
      <xdr:row>21</xdr:row>
      <xdr:rowOff>82599</xdr:rowOff>
    </xdr:from>
    <xdr:to>
      <xdr:col>15</xdr:col>
      <xdr:colOff>36362</xdr:colOff>
      <xdr:row>50</xdr:row>
      <xdr:rowOff>132112</xdr:rowOff>
    </xdr:to>
    <xdr:pic>
      <xdr:nvPicPr>
        <xdr:cNvPr id="3" name="图片 2">
          <a:extLst>
            <a:ext uri="{FF2B5EF4-FFF2-40B4-BE49-F238E27FC236}">
              <a16:creationId xmlns:a16="http://schemas.microsoft.com/office/drawing/2014/main" id="{0988B539-50ED-7839-C270-4F5C4BC4D068}"/>
            </a:ext>
          </a:extLst>
        </xdr:cNvPr>
        <xdr:cNvPicPr>
          <a:picLocks noChangeAspect="1"/>
        </xdr:cNvPicPr>
      </xdr:nvPicPr>
      <xdr:blipFill>
        <a:blip xmlns:r="http://schemas.openxmlformats.org/officeDocument/2006/relationships" r:embed="rId2"/>
        <a:stretch>
          <a:fillRect/>
        </a:stretch>
      </xdr:blipFill>
      <xdr:spPr>
        <a:xfrm>
          <a:off x="7324725" y="4025949"/>
          <a:ext cx="7056287" cy="5021563"/>
        </a:xfrm>
        <a:prstGeom prst="rect">
          <a:avLst/>
        </a:prstGeom>
      </xdr:spPr>
    </xdr:pic>
    <xdr:clientData/>
  </xdr:twoCellAnchor>
  <xdr:twoCellAnchor editAs="oneCell">
    <xdr:from>
      <xdr:col>4</xdr:col>
      <xdr:colOff>581025</xdr:colOff>
      <xdr:row>15</xdr:row>
      <xdr:rowOff>111174</xdr:rowOff>
    </xdr:from>
    <xdr:to>
      <xdr:col>12</xdr:col>
      <xdr:colOff>542925</xdr:colOff>
      <xdr:row>19</xdr:row>
      <xdr:rowOff>142289</xdr:rowOff>
    </xdr:to>
    <xdr:pic>
      <xdr:nvPicPr>
        <xdr:cNvPr id="4" name="图片 3">
          <a:extLst>
            <a:ext uri="{FF2B5EF4-FFF2-40B4-BE49-F238E27FC236}">
              <a16:creationId xmlns:a16="http://schemas.microsoft.com/office/drawing/2014/main" id="{807108B2-32B8-4050-BE92-01F697DD3E50}"/>
            </a:ext>
          </a:extLst>
        </xdr:cNvPr>
        <xdr:cNvPicPr>
          <a:picLocks noChangeAspect="1"/>
        </xdr:cNvPicPr>
      </xdr:nvPicPr>
      <xdr:blipFill>
        <a:blip xmlns:r="http://schemas.openxmlformats.org/officeDocument/2006/relationships" r:embed="rId3"/>
        <a:stretch>
          <a:fillRect/>
        </a:stretch>
      </xdr:blipFill>
      <xdr:spPr>
        <a:xfrm>
          <a:off x="7381875" y="3025824"/>
          <a:ext cx="5448300" cy="716915"/>
        </a:xfrm>
        <a:prstGeom prst="rect">
          <a:avLst/>
        </a:prstGeom>
      </xdr:spPr>
    </xdr:pic>
    <xdr:clientData/>
  </xdr:twoCellAnchor>
  <xdr:twoCellAnchor editAs="oneCell">
    <xdr:from>
      <xdr:col>13</xdr:col>
      <xdr:colOff>323850</xdr:colOff>
      <xdr:row>10</xdr:row>
      <xdr:rowOff>57150</xdr:rowOff>
    </xdr:from>
    <xdr:to>
      <xdr:col>19</xdr:col>
      <xdr:colOff>352425</xdr:colOff>
      <xdr:row>20</xdr:row>
      <xdr:rowOff>116664</xdr:rowOff>
    </xdr:to>
    <xdr:pic>
      <xdr:nvPicPr>
        <xdr:cNvPr id="5" name="图片 4">
          <a:extLst>
            <a:ext uri="{FF2B5EF4-FFF2-40B4-BE49-F238E27FC236}">
              <a16:creationId xmlns:a16="http://schemas.microsoft.com/office/drawing/2014/main" id="{95A99BAC-0B9F-43B0-8B27-78396636A2E7}"/>
            </a:ext>
          </a:extLst>
        </xdr:cNvPr>
        <xdr:cNvPicPr>
          <a:picLocks noChangeAspect="1"/>
        </xdr:cNvPicPr>
      </xdr:nvPicPr>
      <xdr:blipFill>
        <a:blip xmlns:r="http://schemas.openxmlformats.org/officeDocument/2006/relationships" r:embed="rId4"/>
        <a:stretch>
          <a:fillRect/>
        </a:stretch>
      </xdr:blipFill>
      <xdr:spPr>
        <a:xfrm>
          <a:off x="13296900" y="2114550"/>
          <a:ext cx="4143375" cy="1774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39640;&#40527;\&#39033;&#30446;\&#20891;&#38431;-&#24310;&#24198;&#39033;&#30446;\&#27979;&#31639;\&#25968;&#25454;&#25972;&#29702;.xlsx" TargetMode="External"/><Relationship Id="rId1" Type="http://schemas.openxmlformats.org/officeDocument/2006/relationships/externalLinkPath" Target="&#25968;&#25454;&#25972;&#29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汇总表"/>
      <sheetName val="2014基准地价"/>
      <sheetName val="2014基准地价最低级"/>
      <sheetName val="参照14年基准地价"/>
      <sheetName val="村租约"/>
      <sheetName val="征地公告"/>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sheetData sheetId="7">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8"/>
      <sheetData sheetId="9"/>
      <sheetData sheetId="10"/>
      <sheetData sheetId="11"/>
      <sheetData sheetId="12"/>
      <sheetData sheetId="13"/>
      <sheetData sheetId="1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t="str">
            <v>工业</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1936</v>
      </c>
      <c r="B1" s="2193" t="s">
        <v>2033</v>
      </c>
    </row>
    <row r="2" spans="1:55" s="2197" customFormat="1" ht="15" thickTop="1">
      <c r="A2" s="2195" t="s">
        <v>1940</v>
      </c>
      <c r="B2" s="2196" t="str">
        <f>'预评函-封皮'!B37</f>
        <v>出让国有建设用地使用权市场价格预评估</v>
      </c>
      <c r="AX2" s="2198"/>
      <c r="AZ2" s="2198"/>
      <c r="BA2" s="2199"/>
      <c r="BC2" s="2199"/>
    </row>
    <row r="3" spans="1:55">
      <c r="A3" s="2183" t="s">
        <v>1941</v>
      </c>
      <c r="B3" s="2184">
        <f>'预评函-封皮'!B40</f>
        <v>0</v>
      </c>
    </row>
    <row r="4" spans="1:55" s="2185" customFormat="1">
      <c r="A4" s="2183" t="s">
        <v>1942</v>
      </c>
      <c r="B4" s="2184" t="str">
        <f>'预评函-封皮'!B46</f>
        <v>土地估价师、土地估价师</v>
      </c>
      <c r="N4" s="2185" t="str">
        <f>'预评函-1'!A28</f>
        <v>——</v>
      </c>
    </row>
    <row r="5" spans="1:55" s="2194" customFormat="1" ht="15" thickBot="1">
      <c r="A5" s="2200" t="s">
        <v>1943</v>
      </c>
      <c r="B5" s="2201" t="str">
        <f>'预评函-封皮'!B49</f>
        <v>康正预评字号</v>
      </c>
    </row>
    <row r="6" spans="1:55" s="2202" customFormat="1" ht="15" thickTop="1">
      <c r="A6" s="2195" t="s">
        <v>1985</v>
      </c>
      <c r="B6" s="2196" t="str">
        <f>'预评函-1'!A4</f>
        <v>受贵公司委托，我公司对出让国有建设用地使用权市场价格进行了预评估。</v>
      </c>
      <c r="AM6" s="2203"/>
    </row>
    <row r="7" spans="1:55">
      <c r="A7" s="2183" t="s">
        <v>1937</v>
      </c>
      <c r="B7" s="2184" t="str">
        <f>'预评函-1'!A6</f>
        <v>估价对象为使用的、位于出让国有建设用地使用权。根据《国有土地使用证》[]，估价对象（分摊）出让国有建设用地使用权面积为153333.33平方米。根据《建设工程规划许可证》[]、《出让合同》[]，估价对象规划建筑面积为153333.33平方米。</v>
      </c>
    </row>
    <row r="8" spans="1:55">
      <c r="A8" s="2183" t="s">
        <v>1938</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1988</v>
      </c>
      <c r="B9" s="2184" t="str">
        <f>'预评函-1'!A9</f>
        <v>本次评估为委托估价方了解标的物之市场价格提供参考依据而评估出让国有建设用地使用权市场价格。</v>
      </c>
    </row>
    <row r="10" spans="1:55">
      <c r="A10" s="2183" t="s">
        <v>1939</v>
      </c>
      <c r="B10" s="2184" t="str">
        <f>'预评函-1'!A11</f>
        <v>2014年8月12日</v>
      </c>
    </row>
    <row r="11" spans="1:55">
      <c r="A11" s="2183" t="s">
        <v>1945</v>
      </c>
      <c r="B11" s="2184" t="str">
        <f>'预评函-1'!A14</f>
        <v>根据《国有土地使用证》[]，本次评估估价对象证载（地类）用途为。</v>
      </c>
    </row>
    <row r="12" spans="1:55">
      <c r="A12" s="2183" t="s">
        <v>1946</v>
      </c>
      <c r="B12" s="2184" t="str">
        <f>'预评函-1'!A15</f>
        <v>本次评估设定用途即为证载用途。</v>
      </c>
    </row>
    <row r="13" spans="1:55">
      <c r="A13" s="2183" t="s">
        <v>1947</v>
      </c>
      <c r="B13" s="2184" t="str">
        <f>'预评函-1'!A17</f>
        <v>根据委托估价方介绍及评估专业人员现场勘查，本次评估估价对象实际土地开发程度为红线外市政基础设施达“七通”（即、、、、、、）、宗地红线内场地平整。</v>
      </c>
    </row>
    <row r="14" spans="1:55">
      <c r="A14" s="2183" t="s">
        <v>1948</v>
      </c>
      <c r="B14" s="2184" t="str">
        <f>'预评函-1'!A18</f>
        <v>。本次评估设定土地开发程度为红线外市政基础设施达“七通”、宗地红线内场地平整。</v>
      </c>
    </row>
    <row r="15" spans="1:55">
      <c r="A15" s="2183" t="s">
        <v>1944</v>
      </c>
      <c r="B15" s="2184" t="str">
        <f>'预评函-1'!A20</f>
        <v>根据《国有土地使用证》[]，估价对象（分摊）出让国有建设用地使用权面积为153333.33平方米。根据《建设工程规划许可证》[]、《出让合同》[]，估价对象规划建筑面积为153333.33平方米。</v>
      </c>
    </row>
    <row r="16" spans="1:55">
      <c r="A16" s="2183" t="s">
        <v>1949</v>
      </c>
      <c r="B16" s="2184" t="str">
        <f>'预评函-1'!A22</f>
        <v>本次估价对象为出让国有建设用地使用权，《国有土地使用证》[]证载土地终止日期为。截至估价期日，出让国有建设用地使用权剩余土地使用年限为。</v>
      </c>
    </row>
    <row r="17" spans="1:48">
      <c r="A17" s="2183" t="s">
        <v>1950</v>
      </c>
      <c r="B17" s="2184" t="str">
        <f>'预评函-1'!A23</f>
        <v>本次评估设定估价对象剩余土地使用年限为。</v>
      </c>
    </row>
    <row r="18" spans="1:48">
      <c r="A18" s="2183" t="s">
        <v>1951</v>
      </c>
      <c r="B18" s="2184" t="str">
        <f>'预评函-1'!A25</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19" spans="1:48">
      <c r="A19" s="2183" t="s">
        <v>1952</v>
      </c>
      <c r="B19" s="2184" t="str">
        <f>'预评函-1'!A26</f>
        <v>——</v>
      </c>
    </row>
    <row r="20" spans="1:48">
      <c r="A20" s="2183" t="s">
        <v>1953</v>
      </c>
      <c r="B20" s="2184" t="str">
        <f>'预评函-1'!A27</f>
        <v>——</v>
      </c>
    </row>
    <row r="21" spans="1:48" s="2194" customFormat="1" ht="15" thickBot="1">
      <c r="A21" s="2200" t="s">
        <v>1954</v>
      </c>
      <c r="B21" s="2201" t="str">
        <f>'预评函-1'!A28</f>
        <v>——</v>
      </c>
    </row>
    <row r="22" spans="1:48" ht="15" thickTop="1">
      <c r="A22" s="2190" t="s">
        <v>1955</v>
      </c>
      <c r="B22" s="2191"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1956</v>
      </c>
      <c r="B23" s="2184" t="str">
        <f>'预评函-2'!K2</f>
        <v>估价期日：2014年8月12日</v>
      </c>
    </row>
    <row r="24" spans="1:48">
      <c r="A24" s="2183" t="s">
        <v>1957</v>
      </c>
      <c r="B24" s="2184" t="str">
        <f>'预评函-2'!R2</f>
        <v>估价期日的国有建设用地使用权性质：出让</v>
      </c>
    </row>
    <row r="25" spans="1:48">
      <c r="A25" s="2183" t="s">
        <v>2013</v>
      </c>
      <c r="B25" s="2184" t="str">
        <f>'预评函-2'!A3</f>
        <v>估价期日土地使用者</v>
      </c>
    </row>
    <row r="26" spans="1:48">
      <c r="A26" s="2183" t="s">
        <v>1989</v>
      </c>
      <c r="B26" s="2184" t="str">
        <f>'预评函-2'!A5</f>
        <v>中信开发</v>
      </c>
    </row>
    <row r="27" spans="1:48">
      <c r="A27" s="2183" t="s">
        <v>2014</v>
      </c>
      <c r="B27" s="2184" t="str">
        <f>'预评函-2'!B3</f>
        <v>宗地编号/不动产单元号</v>
      </c>
    </row>
    <row r="28" spans="1:48">
      <c r="A28" s="2183" t="s">
        <v>1990</v>
      </c>
      <c r="B28" s="2184" t="str">
        <f>'预评函-2'!B5</f>
        <v>11111111111</v>
      </c>
    </row>
    <row r="29" spans="1:48">
      <c r="A29" s="2183" t="s">
        <v>2016</v>
      </c>
      <c r="B29" s="2184">
        <f>'预评函-2'!C5</f>
        <v>22</v>
      </c>
    </row>
    <row r="30" spans="1:48">
      <c r="A30" s="2183" t="s">
        <v>2017</v>
      </c>
      <c r="B30" s="2184" t="str">
        <f>'预评函-2'!D3</f>
        <v>土地使用证编号/不动产权证书编号</v>
      </c>
    </row>
    <row r="31" spans="1:48">
      <c r="A31" s="2183" t="s">
        <v>1991</v>
      </c>
      <c r="B31" s="2184" t="str">
        <f>'预评函-2'!D5</f>
        <v>京国土字第111号</v>
      </c>
    </row>
    <row r="32" spans="1:48">
      <c r="A32" s="2183" t="s">
        <v>1992</v>
      </c>
      <c r="B32" s="2184">
        <f>'预评函-2'!E5</f>
        <v>0</v>
      </c>
      <c r="AV32" s="2186"/>
    </row>
    <row r="33" spans="1:2">
      <c r="A33" s="2183" t="s">
        <v>1993</v>
      </c>
      <c r="B33" s="2184">
        <f>'预评函-2'!F5</f>
        <v>258</v>
      </c>
    </row>
    <row r="34" spans="1:2">
      <c r="A34" s="2183" t="s">
        <v>1994</v>
      </c>
      <c r="B34" s="2184">
        <f>'预评函-2'!G5</f>
        <v>0</v>
      </c>
    </row>
    <row r="35" spans="1:2">
      <c r="A35" s="2183" t="s">
        <v>1995</v>
      </c>
      <c r="B35" s="2184">
        <f>'预评函-2'!H5</f>
        <v>1.5</v>
      </c>
    </row>
    <row r="36" spans="1:2">
      <c r="A36" s="2183" t="s">
        <v>1996</v>
      </c>
      <c r="B36" s="2184">
        <f>'预评函-2'!I5</f>
        <v>1.5</v>
      </c>
    </row>
    <row r="37" spans="1:2">
      <c r="A37" s="2183" t="s">
        <v>1997</v>
      </c>
      <c r="B37" s="2184">
        <f>'预评函-2'!J5</f>
        <v>1.5</v>
      </c>
    </row>
    <row r="38" spans="1:2">
      <c r="A38" s="2183" t="s">
        <v>1998</v>
      </c>
      <c r="B38" s="2184" t="str">
        <f>'预评函-2'!K5</f>
        <v>红线外七通、宗地红线内</v>
      </c>
    </row>
    <row r="39" spans="1:2">
      <c r="A39" s="2183" t="s">
        <v>1999</v>
      </c>
      <c r="B39" s="2184" t="str">
        <f>'预评函-2'!L5</f>
        <v>红线外七通、宗地红线内场地</v>
      </c>
    </row>
    <row r="40" spans="1:2">
      <c r="A40" s="2183" t="s">
        <v>2018</v>
      </c>
      <c r="B40" s="2184" t="str">
        <f>'预评函-2'!M3</f>
        <v>（剩余）土地使用年限/年</v>
      </c>
    </row>
    <row r="41" spans="1:2">
      <c r="A41" s="2183" t="s">
        <v>2000</v>
      </c>
      <c r="B41" s="2184">
        <f>'预评函-2'!M5</f>
        <v>0</v>
      </c>
    </row>
    <row r="42" spans="1:2">
      <c r="A42" s="2183" t="s">
        <v>2019</v>
      </c>
      <c r="B42" s="2184" t="str">
        <f>'预评函-2'!N3</f>
        <v>（分摊）出让国有建设用地使用权面积/㎡</v>
      </c>
    </row>
    <row r="43" spans="1:2">
      <c r="A43" s="2183" t="s">
        <v>2001</v>
      </c>
      <c r="B43" s="2184">
        <f>'预评函-2'!N5</f>
        <v>153333.32999999999</v>
      </c>
    </row>
    <row r="44" spans="1:2">
      <c r="A44" s="2183" t="s">
        <v>2020</v>
      </c>
      <c r="B44" s="2184" t="str">
        <f>'预评函-2'!O3</f>
        <v>规划建筑面积/㎡</v>
      </c>
    </row>
    <row r="45" spans="1:2">
      <c r="A45" s="2183" t="s">
        <v>2002</v>
      </c>
      <c r="B45" s="2184">
        <f>'预评函-2'!O5</f>
        <v>153333.32999999999</v>
      </c>
    </row>
    <row r="46" spans="1:2">
      <c r="A46" s="2183" t="s">
        <v>2003</v>
      </c>
      <c r="B46" s="2184">
        <f>'预评函-2'!P5</f>
        <v>52</v>
      </c>
    </row>
    <row r="47" spans="1:2">
      <c r="A47" s="2183" t="s">
        <v>2004</v>
      </c>
      <c r="B47" s="2184">
        <f>'预评函-2'!Q5</f>
        <v>52</v>
      </c>
    </row>
    <row r="48" spans="1:2">
      <c r="A48" s="2183" t="s">
        <v>2005</v>
      </c>
      <c r="B48" s="2184">
        <f>'预评函-2'!R5</f>
        <v>802</v>
      </c>
    </row>
    <row r="49" spans="1:2">
      <c r="A49" s="2183" t="s">
        <v>2021</v>
      </c>
      <c r="B49" s="2184" t="str">
        <f>'预评函-2'!A6</f>
        <v>——</v>
      </c>
    </row>
    <row r="50" spans="1:2">
      <c r="A50" s="2183" t="s">
        <v>2006</v>
      </c>
      <c r="B50" s="2184" t="str">
        <f>'预评函-2'!R6</f>
        <v>——</v>
      </c>
    </row>
    <row r="51" spans="1:2">
      <c r="A51" s="2183" t="s">
        <v>2022</v>
      </c>
      <c r="B51" s="2184" t="str">
        <f>'预评函-2'!A7</f>
        <v>——</v>
      </c>
    </row>
    <row r="52" spans="1:2">
      <c r="A52" s="2183" t="s">
        <v>2007</v>
      </c>
      <c r="B52" s="2184" t="str">
        <f>'预评函-2'!R7</f>
        <v>——</v>
      </c>
    </row>
    <row r="53" spans="1:2">
      <c r="A53" s="2183" t="s">
        <v>2023</v>
      </c>
      <c r="B53" s="2184" t="str">
        <f>'预评函-2'!A8</f>
        <v>——</v>
      </c>
    </row>
    <row r="54" spans="1:2" s="2194" customFormat="1" ht="15" thickBot="1">
      <c r="A54" s="2200" t="s">
        <v>2008</v>
      </c>
      <c r="B54" s="2201" t="str">
        <f>'预评函-2'!R8</f>
        <v>——</v>
      </c>
    </row>
    <row r="55" spans="1:2" ht="15" thickTop="1">
      <c r="A55" s="2190" t="s">
        <v>1958</v>
      </c>
      <c r="B55" s="2191" t="str">
        <f>'预评函-3'!A2</f>
        <v>1.权利限制：根据估价对象《不动产权证书》原件、《国有土地使用权》复印件，截至估价期日，估价对象已设定抵押。未设定租赁等其他他项权利。</v>
      </c>
    </row>
    <row r="56" spans="1:2">
      <c r="A56" s="2183" t="s">
        <v>1959</v>
      </c>
      <c r="B56" s="2184" t="str">
        <f>'预评函-3'!A3</f>
        <v>2.基础设施条件：估价对象实际开发程度为红线外七通、宗地红线内；本次评估设定开发程度为红线外七通、宗地红线内场地。</v>
      </c>
    </row>
    <row r="57" spans="1:2">
      <c r="A57" s="2183" t="s">
        <v>1960</v>
      </c>
      <c r="B57" s="2184" t="str">
        <f>'预评函-3'!A4</f>
        <v>3.估价规划限制条件：详见《建设工程规划许可证》[]、《出让合同》[]。</v>
      </c>
    </row>
    <row r="58" spans="1:2" s="2194" customFormat="1" ht="15" thickBot="1">
      <c r="A58" s="2200" t="s">
        <v>2009</v>
      </c>
      <c r="B58" s="2201" t="str">
        <f>'预评函-3'!A5</f>
        <v>4.影响价格的其他限定条件：无。</v>
      </c>
    </row>
    <row r="59" spans="1:2" ht="15" thickTop="1">
      <c r="A59" s="2190" t="s">
        <v>1961</v>
      </c>
      <c r="B59" s="2191" t="str">
        <f>'预评函-3'!A8</f>
        <v>2.本次评估设定估价对象宗地权属无争议，未被查封或者以其他形式限制其房地产权利，未设定抵押权等他项权利，不涉及第三方权利义务。</v>
      </c>
    </row>
    <row r="60" spans="1:2">
      <c r="A60" s="2183" t="s">
        <v>1962</v>
      </c>
      <c r="B60" s="2184" t="str">
        <f>'预评函-3'!A9</f>
        <v>——</v>
      </c>
    </row>
    <row r="61" spans="1:2">
      <c r="A61" s="2183" t="s">
        <v>1964</v>
      </c>
      <c r="B61" s="2184" t="str">
        <f>'预评函-3'!A10</f>
        <v>——</v>
      </c>
    </row>
    <row r="62" spans="1:2">
      <c r="A62" s="2183" t="s">
        <v>1963</v>
      </c>
      <c r="B62" s="2184" t="str">
        <f>'预评函-3'!A11</f>
        <v>——</v>
      </c>
    </row>
    <row r="63" spans="1:2">
      <c r="A63" s="2183" t="s">
        <v>1965</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1966</v>
      </c>
      <c r="B64" s="2187" t="str">
        <f>'预评函-3'!A13</f>
        <v>（3）。</v>
      </c>
    </row>
    <row r="65" spans="1:2">
      <c r="A65" s="2183" t="s">
        <v>1967</v>
      </c>
      <c r="B65" s="2184" t="str">
        <f>'预评函-3'!A14</f>
        <v>——</v>
      </c>
    </row>
    <row r="66" spans="1:2">
      <c r="A66" s="2183" t="s">
        <v>1968</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1969</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1972</v>
      </c>
      <c r="B68" s="2204">
        <f>'预评函-3'!D30</f>
        <v>42558</v>
      </c>
    </row>
    <row r="69" spans="1:2" ht="15" thickTop="1">
      <c r="A69" s="2190" t="s">
        <v>1970</v>
      </c>
      <c r="B69" s="2191" t="str">
        <f>'预评函-3'!A20</f>
        <v>土地估价师</v>
      </c>
    </row>
    <row r="70" spans="1:2">
      <c r="A70" s="2183" t="s">
        <v>1970</v>
      </c>
      <c r="B70" s="2184">
        <f>'预评函-3'!B20</f>
        <v>0</v>
      </c>
    </row>
    <row r="71" spans="1:2">
      <c r="A71" s="2183" t="s">
        <v>1971</v>
      </c>
      <c r="B71" s="2184" t="str">
        <f>'预评函-3'!A21</f>
        <v>土地估价师</v>
      </c>
    </row>
    <row r="72" spans="1:2" s="2194" customFormat="1" ht="15" thickBot="1">
      <c r="A72" s="2200" t="s">
        <v>1971</v>
      </c>
      <c r="B72" s="2201">
        <f>'预评函-3'!B21</f>
        <v>0</v>
      </c>
    </row>
    <row r="73" spans="1:2" ht="15" thickTop="1">
      <c r="A73" s="2190" t="s">
        <v>2030</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2031</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2032</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2062</v>
      </c>
      <c r="B76" s="2189"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2670</v>
      </c>
      <c r="B1" s="3033"/>
      <c r="C1" s="3033"/>
      <c r="D1" s="3033"/>
      <c r="E1" s="3033"/>
      <c r="F1" s="3034"/>
      <c r="I1" s="3051" t="s">
        <v>3285</v>
      </c>
      <c r="J1" s="3064"/>
      <c r="K1" s="3064"/>
      <c r="L1" s="3064"/>
      <c r="M1" s="3064"/>
      <c r="N1" s="3197"/>
      <c r="O1" s="3197"/>
      <c r="P1" s="3197"/>
      <c r="Q1" s="3197"/>
      <c r="R1" s="3197"/>
    </row>
    <row r="2" spans="1:18">
      <c r="A2" s="3035"/>
      <c r="B2" s="3036"/>
      <c r="C2" s="3036"/>
      <c r="D2" s="3036"/>
      <c r="E2" s="3036"/>
      <c r="F2" s="3037"/>
      <c r="I2" s="3565" t="s">
        <v>3286</v>
      </c>
      <c r="J2" s="3565"/>
      <c r="K2" s="3565"/>
      <c r="L2" s="3565"/>
      <c r="M2" s="3565"/>
      <c r="N2" s="3565"/>
      <c r="O2" s="3565"/>
      <c r="P2" s="3565"/>
      <c r="Q2" s="3565"/>
      <c r="R2" s="3565"/>
    </row>
    <row r="3" spans="1:18">
      <c r="A3" s="2989" t="s">
        <v>2671</v>
      </c>
      <c r="B3" s="3038">
        <f>项目基本情况!D3</f>
        <v>41863</v>
      </c>
      <c r="C3" s="3039"/>
      <c r="D3" s="3039"/>
      <c r="E3" s="3039"/>
      <c r="F3" s="3037"/>
      <c r="I3" s="3055"/>
      <c r="J3" s="3055" t="s">
        <v>3287</v>
      </c>
      <c r="K3" s="3055" t="s">
        <v>3288</v>
      </c>
      <c r="L3" s="3055" t="s">
        <v>3289</v>
      </c>
      <c r="M3" s="3055" t="s">
        <v>3290</v>
      </c>
      <c r="N3" s="3394" t="s">
        <v>3291</v>
      </c>
      <c r="O3" s="3394" t="s">
        <v>3292</v>
      </c>
      <c r="P3" s="3394" t="s">
        <v>3293</v>
      </c>
      <c r="Q3" s="3394" t="s">
        <v>3294</v>
      </c>
      <c r="R3" s="3394" t="s">
        <v>3283</v>
      </c>
    </row>
    <row r="4" spans="1:18">
      <c r="A4" s="2989" t="s">
        <v>2672</v>
      </c>
      <c r="B4" s="3040" t="s">
        <v>2673</v>
      </c>
      <c r="C4" s="3040" t="s">
        <v>2674</v>
      </c>
      <c r="D4" s="3040" t="s">
        <v>2675</v>
      </c>
      <c r="E4" s="3040" t="s">
        <v>2676</v>
      </c>
      <c r="F4" s="3037"/>
      <c r="I4" s="3055" t="s">
        <v>3295</v>
      </c>
      <c r="J4" s="3055">
        <v>80</v>
      </c>
      <c r="K4" s="3055">
        <v>70</v>
      </c>
      <c r="L4" s="3055">
        <v>20</v>
      </c>
      <c r="M4" s="3055">
        <v>30</v>
      </c>
      <c r="N4" s="3040">
        <v>45</v>
      </c>
      <c r="O4" s="3040">
        <v>60</v>
      </c>
      <c r="P4" s="3040">
        <v>50</v>
      </c>
      <c r="Q4" s="3040">
        <v>20</v>
      </c>
      <c r="R4" s="3040">
        <v>375</v>
      </c>
    </row>
    <row r="5" spans="1:18">
      <c r="A5" s="3041"/>
      <c r="B5" s="3038"/>
      <c r="C5" s="3040">
        <f>ROUNDDOWN(MIN((B5-B3)/365,A5),2)</f>
        <v>-114.69</v>
      </c>
      <c r="D5" s="3042">
        <f>IF(ISERROR(ROUND(POWER(1+E5,A5-C5)*(POWER(1+E5,C5)-1)/(POWER(1+E5,A5)-1),3)),0,ROUND(POWER(1+E5,A5-C5)*(POWER(1+E5,C5)-1)/(POWER(1+E5,A5)-1),4))</f>
        <v>0</v>
      </c>
      <c r="E5" s="3043"/>
      <c r="F5" s="3037"/>
      <c r="I5" s="3055" t="s">
        <v>3296</v>
      </c>
      <c r="J5" s="3055">
        <v>70</v>
      </c>
      <c r="K5" s="3055">
        <v>60</v>
      </c>
      <c r="L5" s="3055">
        <v>15</v>
      </c>
      <c r="M5" s="3055">
        <v>25</v>
      </c>
      <c r="N5" s="3040">
        <v>40</v>
      </c>
      <c r="O5" s="3040">
        <v>50</v>
      </c>
      <c r="P5" s="3040">
        <v>40</v>
      </c>
      <c r="Q5" s="3040">
        <v>15</v>
      </c>
      <c r="R5" s="3040">
        <v>315</v>
      </c>
    </row>
    <row r="6" spans="1:18">
      <c r="A6" s="3041"/>
      <c r="B6" s="3038"/>
      <c r="C6" s="3040">
        <f>ROUNDDOWN(MIN((B6-B3)/365,A6),2)</f>
        <v>-114.69</v>
      </c>
      <c r="D6" s="3042">
        <f>IF(ISERROR(ROUND(POWER(1+E6,A6-C6)*(POWER(1+E6,C6)-1)/(POWER(1+E6,A6)-1),3)),0,ROUND(POWER(1+E6,A6-C6)*(POWER(1+E6,C6)-1)/(POWER(1+E6,A6)-1),4))</f>
        <v>0</v>
      </c>
      <c r="E6" s="3043"/>
      <c r="F6" s="3037"/>
      <c r="I6" s="3055" t="s">
        <v>3297</v>
      </c>
      <c r="J6" s="3055">
        <v>60</v>
      </c>
      <c r="K6" s="3055">
        <v>50</v>
      </c>
      <c r="L6" s="3055">
        <v>10</v>
      </c>
      <c r="M6" s="3055">
        <v>20</v>
      </c>
      <c r="N6" s="3040">
        <v>35</v>
      </c>
      <c r="O6" s="3040">
        <v>40</v>
      </c>
      <c r="P6" s="3040">
        <v>30</v>
      </c>
      <c r="Q6" s="3040">
        <v>10</v>
      </c>
      <c r="R6" s="3040">
        <v>255</v>
      </c>
    </row>
    <row r="7" spans="1:18">
      <c r="A7" s="3041"/>
      <c r="B7" s="3038"/>
      <c r="C7" s="3040">
        <f>ROUNDDOWN(MIN((B7-B3)/365,A7),2)</f>
        <v>-114.69</v>
      </c>
      <c r="D7" s="3042">
        <f>IF(ISERROR(ROUND(POWER(1+E7,A7-C7)*(POWER(1+E7,C7)-1)/(POWER(1+E7,A7)-1),3)),0,ROUND(POWER(1+E7,A7-C7)*(POWER(1+E7,C7)-1)/(POWER(1+E7,A7)-1),4))</f>
        <v>0</v>
      </c>
      <c r="E7" s="3043"/>
      <c r="F7" s="3037"/>
    </row>
    <row r="8" spans="1:18">
      <c r="A8" s="3035"/>
      <c r="B8" s="3036"/>
      <c r="C8" s="3036"/>
      <c r="D8" s="3036"/>
      <c r="E8" s="3036"/>
      <c r="F8" s="3037"/>
    </row>
    <row r="9" spans="1:18">
      <c r="A9" s="2989" t="s">
        <v>2677</v>
      </c>
      <c r="B9" s="3040"/>
      <c r="C9" s="3040"/>
      <c r="D9" s="3040"/>
      <c r="E9" s="3040"/>
      <c r="F9" s="3044"/>
    </row>
    <row r="10" spans="1:18">
      <c r="A10" s="2989" t="s">
        <v>2678</v>
      </c>
      <c r="B10" s="3040"/>
      <c r="C10" s="3040"/>
      <c r="D10" s="3040" t="s">
        <v>2676</v>
      </c>
      <c r="E10" s="3040"/>
      <c r="F10" s="3044" t="s">
        <v>2675</v>
      </c>
    </row>
    <row r="11" spans="1:18">
      <c r="A11" s="2989" t="s">
        <v>2679</v>
      </c>
      <c r="B11" s="3045"/>
      <c r="C11" s="3040" t="s">
        <v>2680</v>
      </c>
      <c r="D11" s="3045"/>
      <c r="E11" s="3040" t="s">
        <v>2681</v>
      </c>
      <c r="F11" s="3046">
        <f>ROUND(1-(1/(POWER(1+D11,B11))),4)</f>
        <v>0</v>
      </c>
    </row>
    <row r="12" spans="1:18">
      <c r="A12" s="2989" t="s">
        <v>2682</v>
      </c>
      <c r="B12" s="3045"/>
      <c r="C12" s="3040" t="s">
        <v>2683</v>
      </c>
      <c r="D12" s="3045"/>
      <c r="E12" s="3040" t="s">
        <v>2684</v>
      </c>
      <c r="F12" s="3046">
        <f>ROUND(1-(1/(POWER(1+D12,B12))),4)</f>
        <v>0</v>
      </c>
    </row>
    <row r="13" spans="1:18">
      <c r="A13" s="2989" t="s">
        <v>2685</v>
      </c>
      <c r="B13" s="3040"/>
      <c r="C13" s="3039"/>
      <c r="D13" s="3036"/>
      <c r="E13" s="3036"/>
      <c r="F13" s="3037"/>
    </row>
    <row r="14" spans="1:18">
      <c r="A14" s="2989" t="s">
        <v>2686</v>
      </c>
      <c r="B14" s="3045"/>
      <c r="C14" s="3039"/>
      <c r="D14" s="3036"/>
      <c r="E14" s="3036"/>
      <c r="F14" s="3037"/>
    </row>
    <row r="15" spans="1:18">
      <c r="A15" s="2989" t="s">
        <v>2687</v>
      </c>
      <c r="B15" s="3040" t="e">
        <f>ROUND(B14*F12/F11,2)</f>
        <v>#DIV/0!</v>
      </c>
      <c r="C15" s="3040" t="e">
        <f>ROUND(F12/F11,4)</f>
        <v>#DIV/0!</v>
      </c>
      <c r="D15" s="3036"/>
      <c r="E15" s="3036"/>
      <c r="F15" s="3037"/>
    </row>
    <row r="16" spans="1:18">
      <c r="A16" s="2989" t="s">
        <v>2688</v>
      </c>
      <c r="B16" s="3040"/>
      <c r="C16" s="3039"/>
      <c r="D16" s="3036"/>
      <c r="E16" s="3036"/>
      <c r="F16" s="3037"/>
    </row>
    <row r="17" spans="1:14">
      <c r="A17" s="2989" t="s">
        <v>2687</v>
      </c>
      <c r="B17" s="3045"/>
      <c r="C17" s="3039"/>
      <c r="D17" s="3036"/>
      <c r="E17" s="3036"/>
      <c r="F17" s="3037"/>
    </row>
    <row r="18" spans="1:14" ht="14.25" thickBot="1">
      <c r="A18" s="3047" t="s">
        <v>2686</v>
      </c>
      <c r="B18" s="3048" t="e">
        <f>ROUND(B17*F11/F12,2)</f>
        <v>#DIV/0!</v>
      </c>
      <c r="C18" s="3048" t="e">
        <f>ROUND(F11/F12,4)</f>
        <v>#DIV/0!</v>
      </c>
      <c r="D18" s="3049"/>
      <c r="E18" s="3049"/>
      <c r="F18" s="3050"/>
    </row>
    <row r="19" spans="1:14" ht="14.25" thickBot="1"/>
    <row r="20" spans="1:14" ht="14.25" thickTop="1">
      <c r="A20" s="3051" t="s">
        <v>2689</v>
      </c>
      <c r="B20" s="3052"/>
      <c r="C20" s="3052"/>
      <c r="D20" s="3052"/>
      <c r="E20" s="3052"/>
      <c r="F20" s="3052"/>
      <c r="G20" s="3053"/>
      <c r="I20" s="3397" t="s">
        <v>3298</v>
      </c>
      <c r="J20" s="3397" t="s">
        <v>3299</v>
      </c>
      <c r="K20" s="3397"/>
      <c r="L20" s="3397"/>
      <c r="M20" s="3397"/>
      <c r="N20" s="3398"/>
    </row>
    <row r="21" spans="1:14">
      <c r="A21" s="3054"/>
      <c r="B21" s="3055" t="s">
        <v>2690</v>
      </c>
      <c r="C21" s="3055" t="s">
        <v>2691</v>
      </c>
      <c r="D21" s="3055" t="s">
        <v>2692</v>
      </c>
      <c r="E21" s="3055" t="s">
        <v>2693</v>
      </c>
      <c r="F21" s="3055" t="s">
        <v>2694</v>
      </c>
      <c r="G21" s="3056" t="s">
        <v>2695</v>
      </c>
      <c r="I21" s="3399">
        <v>5</v>
      </c>
      <c r="J21" s="3399">
        <v>54.2</v>
      </c>
      <c r="K21" s="3399"/>
      <c r="L21" s="3399"/>
      <c r="M21" s="3399"/>
    </row>
    <row r="22" spans="1:14">
      <c r="A22" s="3054" t="s">
        <v>2696</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2697</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3300</v>
      </c>
      <c r="M23" s="3399"/>
      <c r="N23" s="3400" t="s">
        <v>3301</v>
      </c>
    </row>
    <row r="24" spans="1:14">
      <c r="A24" s="3059" t="s">
        <v>2698</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3302</v>
      </c>
      <c r="M24" s="3399"/>
      <c r="N24" s="3400">
        <v>10</v>
      </c>
    </row>
    <row r="25" spans="1:14">
      <c r="A25" s="3059" t="s">
        <v>2699</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3303</v>
      </c>
      <c r="M25" s="3399"/>
      <c r="N25" s="3400">
        <v>8</v>
      </c>
    </row>
    <row r="26" spans="1:14">
      <c r="A26" s="3060"/>
      <c r="B26" s="3061"/>
      <c r="C26" s="3061"/>
      <c r="D26" s="3061"/>
      <c r="E26" s="3061"/>
      <c r="F26" s="3061"/>
      <c r="G26" s="3062"/>
      <c r="I26" s="3399">
        <v>30</v>
      </c>
      <c r="J26" s="3399">
        <v>90.5</v>
      </c>
      <c r="K26" s="3399">
        <f t="shared" si="0"/>
        <v>4.2000000000000028</v>
      </c>
      <c r="L26" s="3399" t="s">
        <v>3304</v>
      </c>
      <c r="M26" s="3399"/>
      <c r="N26" s="3400">
        <v>5</v>
      </c>
    </row>
    <row r="27" spans="1:14">
      <c r="A27" s="3063" t="s">
        <v>2700</v>
      </c>
      <c r="B27" s="3064"/>
      <c r="C27" s="3064"/>
      <c r="D27" s="3064"/>
      <c r="E27" s="3064"/>
      <c r="F27" s="3064"/>
      <c r="G27" s="3065"/>
      <c r="I27" s="3399">
        <v>35</v>
      </c>
      <c r="J27" s="3399">
        <v>93.8</v>
      </c>
      <c r="K27" s="3399">
        <f t="shared" si="0"/>
        <v>3.2999999999999972</v>
      </c>
      <c r="L27" s="3399" t="s">
        <v>3305</v>
      </c>
      <c r="M27" s="3399"/>
      <c r="N27" s="3400">
        <v>3</v>
      </c>
    </row>
    <row r="28" spans="1:14">
      <c r="A28" s="3063" t="s">
        <v>2701</v>
      </c>
      <c r="B28" s="3064"/>
      <c r="C28" s="3064"/>
      <c r="D28" s="3064"/>
      <c r="E28" s="3064"/>
      <c r="F28" s="3064"/>
      <c r="G28" s="3065"/>
      <c r="I28" s="3399">
        <v>40</v>
      </c>
      <c r="J28" s="3399">
        <v>96.4</v>
      </c>
      <c r="K28" s="3399">
        <f t="shared" si="0"/>
        <v>2.6000000000000085</v>
      </c>
      <c r="L28" s="3399" t="s">
        <v>3306</v>
      </c>
      <c r="M28" s="3399"/>
      <c r="N28" s="3400">
        <v>2</v>
      </c>
    </row>
    <row r="29" spans="1:14">
      <c r="A29" s="3063" t="s">
        <v>2702</v>
      </c>
      <c r="B29" s="3064"/>
      <c r="C29" s="3064"/>
      <c r="D29" s="3064"/>
      <c r="E29" s="3064"/>
      <c r="F29" s="3064"/>
      <c r="G29" s="3065"/>
      <c r="I29" s="3399">
        <v>45</v>
      </c>
      <c r="J29" s="3399">
        <v>98.4</v>
      </c>
      <c r="K29" s="3399">
        <f t="shared" si="0"/>
        <v>2</v>
      </c>
      <c r="L29" s="3399"/>
      <c r="M29" s="3399"/>
    </row>
    <row r="30" spans="1:14">
      <c r="A30" s="3063" t="s">
        <v>2703</v>
      </c>
      <c r="B30" s="3064"/>
      <c r="C30" s="3064"/>
      <c r="D30" s="3064"/>
      <c r="E30" s="3064"/>
      <c r="F30" s="3064"/>
      <c r="G30" s="3065"/>
      <c r="I30" s="3399">
        <v>50</v>
      </c>
      <c r="J30" s="3399">
        <v>100</v>
      </c>
      <c r="K30" s="3399">
        <f t="shared" si="0"/>
        <v>1.5999999999999943</v>
      </c>
      <c r="L30" s="3399"/>
      <c r="M30" s="3399"/>
    </row>
    <row r="31" spans="1:14">
      <c r="A31" s="3063" t="s">
        <v>2704</v>
      </c>
      <c r="B31" s="3064"/>
      <c r="C31" s="3064"/>
      <c r="D31" s="3064"/>
      <c r="E31" s="3064"/>
      <c r="F31" s="3064"/>
      <c r="G31" s="3065"/>
      <c r="I31" s="3399" t="s">
        <v>3307</v>
      </c>
      <c r="J31" s="3399"/>
      <c r="K31" s="3399"/>
      <c r="L31" s="3399"/>
      <c r="M31" s="3399"/>
    </row>
    <row r="32" spans="1:14">
      <c r="A32" s="3063" t="s">
        <v>2705</v>
      </c>
      <c r="B32" s="3064"/>
      <c r="C32" s="3064"/>
      <c r="D32" s="3064"/>
      <c r="E32" s="3064"/>
      <c r="F32" s="3064"/>
      <c r="G32" s="3065"/>
      <c r="I32" s="3399"/>
      <c r="J32" s="3399"/>
      <c r="K32" s="3399"/>
      <c r="L32" s="3399"/>
      <c r="M32" s="3399"/>
    </row>
    <row r="33" spans="1:14">
      <c r="A33" s="3063" t="s">
        <v>2706</v>
      </c>
      <c r="B33" s="3064"/>
      <c r="C33" s="3064"/>
      <c r="D33" s="3064"/>
      <c r="E33" s="3064"/>
      <c r="F33" s="3064"/>
      <c r="G33" s="3065"/>
      <c r="I33" s="3399" t="s">
        <v>3298</v>
      </c>
      <c r="J33" s="3399" t="s">
        <v>3308</v>
      </c>
      <c r="K33" s="3399"/>
      <c r="L33" s="3399"/>
      <c r="M33" s="3399"/>
    </row>
    <row r="34" spans="1:14">
      <c r="A34" s="3063" t="s">
        <v>2707</v>
      </c>
      <c r="B34" s="3064"/>
      <c r="C34" s="3064"/>
      <c r="D34" s="3064"/>
      <c r="E34" s="3064"/>
      <c r="F34" s="3064"/>
      <c r="G34" s="3065"/>
      <c r="I34" s="3399">
        <v>5</v>
      </c>
      <c r="J34" s="3399">
        <v>55.1</v>
      </c>
      <c r="K34" s="3399"/>
      <c r="L34" s="3399"/>
      <c r="M34" s="3399"/>
    </row>
    <row r="35" spans="1:14">
      <c r="A35" s="3063" t="s">
        <v>2708</v>
      </c>
      <c r="B35" s="3064"/>
      <c r="C35" s="3064"/>
      <c r="D35" s="3064"/>
      <c r="E35" s="3064"/>
      <c r="F35" s="3064"/>
      <c r="G35" s="3065"/>
      <c r="I35" s="3399">
        <v>10</v>
      </c>
      <c r="J35" s="3399">
        <v>67</v>
      </c>
      <c r="K35" s="3399">
        <f>J35-J34</f>
        <v>11.899999999999999</v>
      </c>
      <c r="L35" s="3399"/>
      <c r="M35" s="3399"/>
    </row>
    <row r="36" spans="1:14">
      <c r="A36" s="3063" t="s">
        <v>2709</v>
      </c>
      <c r="B36" s="3064"/>
      <c r="C36" s="3064"/>
      <c r="D36" s="3064"/>
      <c r="E36" s="3064"/>
      <c r="F36" s="3064"/>
      <c r="G36" s="3065"/>
      <c r="I36" s="3399">
        <v>15</v>
      </c>
      <c r="J36" s="3399">
        <v>76.3</v>
      </c>
      <c r="K36" s="3399">
        <f t="shared" ref="K36:K41" si="1">J36-J35</f>
        <v>9.2999999999999972</v>
      </c>
      <c r="L36" s="3399" t="s">
        <v>3300</v>
      </c>
      <c r="M36" s="3399"/>
      <c r="N36" s="3400" t="s">
        <v>3301</v>
      </c>
    </row>
    <row r="37" spans="1:14">
      <c r="A37" s="3063" t="s">
        <v>2710</v>
      </c>
      <c r="B37" s="3064"/>
      <c r="C37" s="3064"/>
      <c r="D37" s="3064"/>
      <c r="E37" s="3064"/>
      <c r="F37" s="3064"/>
      <c r="G37" s="3065"/>
      <c r="I37" s="3399">
        <v>20</v>
      </c>
      <c r="J37" s="3399">
        <v>83.6</v>
      </c>
      <c r="K37" s="3399">
        <f t="shared" si="1"/>
        <v>7.2999999999999972</v>
      </c>
      <c r="L37" s="3399" t="s">
        <v>3302</v>
      </c>
      <c r="M37" s="3399"/>
      <c r="N37" s="3400">
        <v>10</v>
      </c>
    </row>
    <row r="38" spans="1:14">
      <c r="A38" s="3063" t="s">
        <v>2711</v>
      </c>
      <c r="B38" s="3064"/>
      <c r="C38" s="3064"/>
      <c r="D38" s="3064"/>
      <c r="E38" s="3064"/>
      <c r="F38" s="3064"/>
      <c r="G38" s="3065"/>
      <c r="I38" s="3399">
        <v>25</v>
      </c>
      <c r="J38" s="3399">
        <v>89.3</v>
      </c>
      <c r="K38" s="3399">
        <f t="shared" si="1"/>
        <v>5.7000000000000028</v>
      </c>
      <c r="L38" s="3399" t="s">
        <v>3303</v>
      </c>
      <c r="M38" s="3399"/>
      <c r="N38" s="3400">
        <v>8</v>
      </c>
    </row>
    <row r="39" spans="1:14">
      <c r="A39" s="3063"/>
      <c r="B39" s="3064"/>
      <c r="C39" s="3064"/>
      <c r="D39" s="3064"/>
      <c r="E39" s="3064"/>
      <c r="F39" s="3064"/>
      <c r="G39" s="3065"/>
      <c r="I39" s="3399">
        <v>30</v>
      </c>
      <c r="J39" s="3399">
        <v>93.8</v>
      </c>
      <c r="K39" s="3399">
        <f t="shared" si="1"/>
        <v>4.5</v>
      </c>
      <c r="L39" s="3399" t="s">
        <v>3304</v>
      </c>
      <c r="M39" s="3399"/>
      <c r="N39" s="3400">
        <v>6</v>
      </c>
    </row>
    <row r="40" spans="1:14">
      <c r="A40" s="3066" t="s">
        <v>2712</v>
      </c>
      <c r="B40" s="3067"/>
      <c r="C40" s="3067"/>
      <c r="D40" s="3067"/>
      <c r="E40" s="3067"/>
      <c r="F40" s="3067"/>
      <c r="G40" s="3068"/>
      <c r="I40" s="3399">
        <v>35</v>
      </c>
      <c r="J40" s="3399">
        <v>97.2</v>
      </c>
      <c r="K40" s="3399">
        <f t="shared" si="1"/>
        <v>3.4000000000000057</v>
      </c>
      <c r="L40" s="3399" t="s">
        <v>3305</v>
      </c>
      <c r="M40" s="3399"/>
      <c r="N40" s="3400">
        <v>3</v>
      </c>
    </row>
    <row r="41" spans="1:14">
      <c r="A41" s="3069" t="s">
        <v>2713</v>
      </c>
      <c r="B41" s="3070" t="s">
        <v>2714</v>
      </c>
      <c r="C41" s="3071" t="s">
        <v>2715</v>
      </c>
      <c r="D41" s="3071" t="s">
        <v>2716</v>
      </c>
      <c r="E41" s="3072"/>
      <c r="F41" s="3073"/>
      <c r="G41" s="3074"/>
      <c r="I41" s="3399">
        <v>40</v>
      </c>
      <c r="J41" s="3399">
        <v>100</v>
      </c>
      <c r="K41" s="3399">
        <f t="shared" si="1"/>
        <v>2.7999999999999972</v>
      </c>
      <c r="L41" s="3399"/>
      <c r="M41" s="3399"/>
    </row>
    <row r="42" spans="1:14">
      <c r="A42" s="3069" t="s">
        <v>2717</v>
      </c>
      <c r="B42" s="3070" t="s">
        <v>2718</v>
      </c>
      <c r="C42" s="3071" t="s">
        <v>2718</v>
      </c>
      <c r="D42" s="3075" t="s">
        <v>2719</v>
      </c>
      <c r="E42" s="3067" t="s">
        <v>2720</v>
      </c>
      <c r="F42" s="3067"/>
      <c r="G42" s="3068"/>
      <c r="I42" s="3399"/>
      <c r="J42" s="3399"/>
      <c r="K42" s="3399"/>
      <c r="L42" s="3399"/>
      <c r="M42" s="3399"/>
    </row>
    <row r="43" spans="1:14">
      <c r="A43" s="3069" t="s">
        <v>2721</v>
      </c>
      <c r="B43" s="3070" t="s">
        <v>2722</v>
      </c>
      <c r="C43" s="3071" t="s">
        <v>2723</v>
      </c>
      <c r="D43" s="3071" t="s">
        <v>2724</v>
      </c>
      <c r="E43" s="3072" t="s">
        <v>2725</v>
      </c>
      <c r="F43" s="3073"/>
      <c r="G43" s="3074"/>
      <c r="I43" s="3399" t="s">
        <v>3298</v>
      </c>
      <c r="J43" s="3399" t="s">
        <v>3309</v>
      </c>
      <c r="K43" s="3399"/>
      <c r="L43" s="3399"/>
      <c r="M43" s="3399"/>
    </row>
    <row r="44" spans="1:14">
      <c r="A44" s="3069" t="s">
        <v>2726</v>
      </c>
      <c r="B44" s="3070" t="s">
        <v>2727</v>
      </c>
      <c r="C44" s="3071" t="s">
        <v>2728</v>
      </c>
      <c r="D44" s="3075">
        <v>0.5</v>
      </c>
      <c r="E44" s="3072" t="s">
        <v>2729</v>
      </c>
      <c r="F44" s="3073"/>
      <c r="G44" s="3074"/>
      <c r="I44" s="3399">
        <v>30</v>
      </c>
      <c r="J44" s="3399">
        <v>81.7</v>
      </c>
      <c r="K44" s="3399"/>
      <c r="L44" s="3399"/>
      <c r="M44" s="3399"/>
    </row>
    <row r="45" spans="1:14" ht="14.25" thickBot="1">
      <c r="A45" s="3076" t="s">
        <v>2730</v>
      </c>
      <c r="B45" s="3077" t="s">
        <v>2718</v>
      </c>
      <c r="C45" s="3078" t="s">
        <v>2718</v>
      </c>
      <c r="D45" s="3078" t="s">
        <v>2731</v>
      </c>
      <c r="E45" s="3079" t="s">
        <v>2732</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3284</v>
      </c>
    </row>
    <row r="50" spans="1:4">
      <c r="A50" s="3394" t="s">
        <v>3274</v>
      </c>
      <c r="B50" s="3394" t="s">
        <v>3271</v>
      </c>
      <c r="C50" s="3394" t="s">
        <v>3272</v>
      </c>
      <c r="D50" s="3394" t="s">
        <v>3273</v>
      </c>
    </row>
    <row r="51" spans="1:4">
      <c r="A51" s="3394" t="s">
        <v>3275</v>
      </c>
      <c r="B51" s="3040">
        <f>B52+B53</f>
        <v>15000</v>
      </c>
      <c r="C51" s="3395">
        <f>D51/B51</f>
        <v>2666.6666666666665</v>
      </c>
      <c r="D51" s="3040">
        <f>D52+D53</f>
        <v>40000000</v>
      </c>
    </row>
    <row r="52" spans="1:4">
      <c r="A52" s="2751" t="s">
        <v>3276</v>
      </c>
      <c r="B52" s="3391">
        <v>10000</v>
      </c>
      <c r="C52" s="3391">
        <v>1500</v>
      </c>
      <c r="D52" s="2357">
        <f>C52*B52</f>
        <v>15000000</v>
      </c>
    </row>
    <row r="53" spans="1:4">
      <c r="A53" s="2751" t="s">
        <v>3277</v>
      </c>
      <c r="B53" s="3391">
        <v>5000</v>
      </c>
      <c r="C53" s="3391">
        <v>5000</v>
      </c>
      <c r="D53" s="2357">
        <f>C53*B53</f>
        <v>25000000</v>
      </c>
    </row>
    <row r="54" spans="1:4">
      <c r="A54" s="3394" t="s">
        <v>3278</v>
      </c>
      <c r="B54" s="3040">
        <f>B51</f>
        <v>15000</v>
      </c>
      <c r="C54" s="3045">
        <v>700</v>
      </c>
      <c r="D54" s="3040">
        <f t="shared" ref="D54:D55" si="3">C54*B54</f>
        <v>10500000</v>
      </c>
    </row>
    <row r="55" spans="1:4">
      <c r="A55" s="3394" t="s">
        <v>3279</v>
      </c>
      <c r="B55" s="3040">
        <f>B51</f>
        <v>15000</v>
      </c>
      <c r="C55" s="3045">
        <v>1500</v>
      </c>
      <c r="D55" s="3040">
        <f t="shared" si="3"/>
        <v>22500000</v>
      </c>
    </row>
    <row r="56" spans="1:4">
      <c r="A56" s="3394" t="s">
        <v>3280</v>
      </c>
      <c r="B56" s="3040">
        <f>B51</f>
        <v>15000</v>
      </c>
      <c r="C56" s="3396">
        <f>C51+C54+C55</f>
        <v>4866.6666666666661</v>
      </c>
      <c r="D56" s="3040">
        <f>D51+D54+D55</f>
        <v>73000000</v>
      </c>
    </row>
    <row r="58" spans="1:4">
      <c r="A58" s="3394" t="s">
        <v>3281</v>
      </c>
      <c r="B58" s="3392">
        <v>0.05</v>
      </c>
      <c r="C58" s="3040">
        <f>C56*(1+B58)</f>
        <v>5110</v>
      </c>
      <c r="D58" s="3040">
        <f>D56*B58</f>
        <v>3650000</v>
      </c>
    </row>
    <row r="60" spans="1:4">
      <c r="A60" s="3394" t="s">
        <v>3282</v>
      </c>
      <c r="B60" s="3045">
        <v>3500</v>
      </c>
      <c r="C60" s="3045">
        <f>C53</f>
        <v>5000</v>
      </c>
      <c r="D60" s="3040">
        <f>C60*B60</f>
        <v>17500000</v>
      </c>
    </row>
    <row r="62" spans="1:4">
      <c r="A62" s="3394" t="s">
        <v>3283</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D38" sqref="D38"/>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1455</v>
      </c>
      <c r="B1" s="3568" t="str">
        <f>IF(B10="北京市","北京市",C10)&amp;F10&amp;A17&amp;"国有建设用地使用权"&amp;B9&amp;"预评估"</f>
        <v>出让国有建设用地使用权市场价格预评估</v>
      </c>
      <c r="C1" s="3569"/>
      <c r="D1" s="3569"/>
      <c r="E1" s="3569"/>
      <c r="F1" s="3569"/>
      <c r="G1" s="3569"/>
      <c r="H1" s="3569"/>
      <c r="I1" s="3570"/>
      <c r="J1" s="2604"/>
      <c r="K1" s="1972" t="str">
        <f>IF(B10="北京市","北京市",C10)&amp;F10&amp;A17&amp;"国有建设用地使用权"&amp;B9</f>
        <v>出让国有建设用地使用权市场价格</v>
      </c>
      <c r="L1" s="2584"/>
      <c r="M1" s="2584"/>
      <c r="N1" s="2585"/>
      <c r="O1" s="2586"/>
      <c r="P1" s="2585"/>
      <c r="Q1" s="2585"/>
      <c r="R1" s="2585"/>
      <c r="S1" s="2585"/>
      <c r="T1" s="2585"/>
      <c r="U1" s="2585"/>
    </row>
    <row r="2" spans="1:21">
      <c r="A2" s="1378" t="s">
        <v>1456</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1457</v>
      </c>
      <c r="B3" s="1380">
        <v>45511</v>
      </c>
      <c r="C3" s="2533" t="s">
        <v>1511</v>
      </c>
      <c r="D3" s="1380">
        <v>41863</v>
      </c>
      <c r="E3" s="2604"/>
      <c r="F3" s="2604"/>
      <c r="G3" s="2604"/>
      <c r="H3" s="2604"/>
      <c r="I3" s="2605"/>
      <c r="J3" s="2604"/>
      <c r="K3" s="2588"/>
      <c r="L3" s="2584"/>
      <c r="M3" s="2584"/>
      <c r="N3" s="2585"/>
      <c r="O3" s="2586"/>
      <c r="P3" s="2585"/>
      <c r="Q3" s="2585"/>
      <c r="R3" s="2585"/>
      <c r="S3" s="2585"/>
      <c r="T3" s="2585"/>
      <c r="U3" s="2585"/>
    </row>
    <row r="4" spans="1:21" ht="15" thickBot="1">
      <c r="A4" s="1382" t="s">
        <v>1458</v>
      </c>
      <c r="B4" s="1532" t="s">
        <v>2160</v>
      </c>
      <c r="C4" s="1535">
        <f>SUMIF(土地估价师,B4,估价师及机构信息!E3:E17)</f>
        <v>0</v>
      </c>
      <c r="D4" s="1532" t="s">
        <v>2160</v>
      </c>
      <c r="E4" s="1535">
        <f>SUMIF(土地估价师,D4,估价师及机构信息!E3:E17)</f>
        <v>0</v>
      </c>
      <c r="F4" s="1532" t="s">
        <v>875</v>
      </c>
      <c r="G4" s="1535">
        <f>SUMIF(土地估价师,F4,估价师及机构信息!E3:E17)</f>
        <v>0</v>
      </c>
      <c r="H4" s="1532" t="s">
        <v>875</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1459</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1986</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1987</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1460</v>
      </c>
      <c r="B8" s="1388"/>
      <c r="C8" s="1389"/>
      <c r="D8" s="3574" t="s">
        <v>1462</v>
      </c>
      <c r="E8" s="1533"/>
      <c r="F8" s="1390"/>
      <c r="G8" s="2604"/>
      <c r="H8" s="2604"/>
      <c r="I8" s="2605"/>
      <c r="J8" s="2604"/>
      <c r="K8" s="2588"/>
      <c r="L8" s="2584"/>
      <c r="M8" s="2584"/>
      <c r="N8" s="2585"/>
      <c r="O8" s="2586"/>
      <c r="P8" s="2585"/>
      <c r="Q8" s="2585"/>
      <c r="R8" s="2585"/>
      <c r="S8" s="2585"/>
      <c r="T8" s="2585"/>
      <c r="U8" s="2585"/>
    </row>
    <row r="9" spans="1:21" ht="15" thickBot="1">
      <c r="A9" s="2535" t="s">
        <v>1461</v>
      </c>
      <c r="B9" s="1391" t="s">
        <v>3389</v>
      </c>
      <c r="C9" s="1392"/>
      <c r="D9" s="3575"/>
      <c r="E9" s="1391"/>
      <c r="F9" s="1448"/>
      <c r="G9" s="2607"/>
      <c r="H9" s="2607"/>
      <c r="I9" s="2608"/>
      <c r="J9" s="2604"/>
      <c r="K9" s="2588"/>
      <c r="L9" s="2584"/>
      <c r="M9" s="2584"/>
      <c r="N9" s="2585"/>
      <c r="O9" s="2586"/>
      <c r="P9" s="2585"/>
      <c r="Q9" s="2585"/>
      <c r="R9" s="2585"/>
      <c r="S9" s="2585"/>
      <c r="T9" s="2585"/>
      <c r="U9" s="2585"/>
    </row>
    <row r="10" spans="1:21" ht="15" thickTop="1">
      <c r="A10" s="2536" t="s">
        <v>1515</v>
      </c>
      <c r="B10" s="1426"/>
      <c r="C10" s="1393"/>
      <c r="D10" s="1385"/>
      <c r="E10" s="1394" t="s">
        <v>1464</v>
      </c>
      <c r="F10" s="1395"/>
      <c r="G10" s="1446"/>
      <c r="H10" s="1447"/>
      <c r="I10" s="1385"/>
      <c r="J10" s="2604"/>
      <c r="K10" s="2588"/>
      <c r="L10" s="2584"/>
      <c r="M10" s="2584"/>
      <c r="N10" s="2585"/>
      <c r="O10" s="2586"/>
      <c r="P10" s="2585"/>
      <c r="Q10" s="2585"/>
      <c r="R10" s="2585"/>
      <c r="S10" s="2585"/>
      <c r="T10" s="2585"/>
      <c r="U10" s="2585"/>
    </row>
    <row r="11" spans="1:21">
      <c r="A11" s="2537" t="s">
        <v>1516</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1574</v>
      </c>
      <c r="B12" s="3571"/>
      <c r="C12" s="3572"/>
      <c r="D12" s="3573"/>
      <c r="E12" s="1408" t="s">
        <v>1577</v>
      </c>
      <c r="F12" s="3589" t="s">
        <v>2161</v>
      </c>
      <c r="G12" s="3590"/>
      <c r="H12" s="3590"/>
      <c r="I12" s="3591"/>
      <c r="J12" s="2604"/>
      <c r="K12" s="2588"/>
      <c r="L12" s="2584"/>
      <c r="M12" s="2584"/>
      <c r="N12" s="2585"/>
      <c r="O12" s="2586"/>
      <c r="P12" s="2585"/>
      <c r="Q12" s="2585"/>
      <c r="R12" s="2585"/>
      <c r="S12" s="2585"/>
      <c r="T12" s="2585"/>
      <c r="U12" s="2585"/>
    </row>
    <row r="13" spans="1:21">
      <c r="A13" s="1400" t="s">
        <v>1575</v>
      </c>
      <c r="B13" s="3571"/>
      <c r="C13" s="3572"/>
      <c r="D13" s="3573"/>
      <c r="E13" s="1408" t="s">
        <v>1577</v>
      </c>
      <c r="F13" s="3589" t="s">
        <v>2162</v>
      </c>
      <c r="G13" s="3590"/>
      <c r="H13" s="3590"/>
      <c r="I13" s="3591"/>
      <c r="J13" s="2604"/>
      <c r="K13" s="2588"/>
      <c r="L13" s="2584"/>
      <c r="M13" s="2584"/>
      <c r="N13" s="2585"/>
      <c r="O13" s="2586"/>
      <c r="P13" s="2585"/>
      <c r="Q13" s="2585"/>
      <c r="R13" s="2585"/>
      <c r="S13" s="2585"/>
      <c r="T13" s="2585"/>
      <c r="U13" s="2585"/>
    </row>
    <row r="14" spans="1:21">
      <c r="A14" s="1379" t="s">
        <v>1578</v>
      </c>
      <c r="B14" s="1408"/>
      <c r="C14" s="1534" t="s">
        <v>3358</v>
      </c>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1467</v>
      </c>
      <c r="D15" s="1467" t="s">
        <v>1468</v>
      </c>
      <c r="E15" s="1467" t="s">
        <v>1177</v>
      </c>
      <c r="F15" s="1399" t="s">
        <v>1469</v>
      </c>
      <c r="G15" s="1399" t="s">
        <v>1470</v>
      </c>
      <c r="H15" s="1399" t="s">
        <v>774</v>
      </c>
      <c r="I15" s="1399" t="s">
        <v>2734</v>
      </c>
      <c r="J15" s="2604"/>
      <c r="K15" s="2588"/>
      <c r="L15" s="2584"/>
      <c r="M15" s="2584"/>
      <c r="N15" s="2585"/>
      <c r="O15" s="2586"/>
      <c r="P15" s="2585"/>
      <c r="Q15" s="2585"/>
      <c r="R15" s="2585"/>
      <c r="S15" s="2585"/>
      <c r="T15" s="2585"/>
      <c r="U15" s="2585"/>
    </row>
    <row r="16" spans="1:21">
      <c r="A16" s="2538" t="s">
        <v>1465</v>
      </c>
      <c r="B16" s="1408" t="s">
        <v>1466</v>
      </c>
      <c r="C16" s="1467" t="s">
        <v>1467</v>
      </c>
      <c r="D16" s="1429" t="s">
        <v>2735</v>
      </c>
      <c r="E16" s="1429" t="s">
        <v>1210</v>
      </c>
      <c r="F16" s="1429" t="s">
        <v>2736</v>
      </c>
      <c r="G16" s="1429" t="s">
        <v>2737</v>
      </c>
      <c r="H16" s="1399" t="s">
        <v>774</v>
      </c>
      <c r="I16" s="1399" t="s">
        <v>2734</v>
      </c>
      <c r="J16" s="2604"/>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2738</v>
      </c>
      <c r="B17" s="2539" t="s">
        <v>1471</v>
      </c>
      <c r="C17" s="3081"/>
      <c r="D17" s="3081"/>
      <c r="E17" s="3081"/>
      <c r="F17" s="3081"/>
      <c r="G17" s="3081"/>
      <c r="H17" s="3081"/>
      <c r="I17" s="3081"/>
      <c r="J17" s="2604"/>
      <c r="K17" s="2583" t="str">
        <f>CONCATENATE(K16,L16,M16,N16,O16,P16,Q16,R16,S16,T16,,U16)</f>
        <v/>
      </c>
      <c r="L17" s="2584"/>
      <c r="M17" s="2584"/>
      <c r="N17" s="2585"/>
      <c r="O17" s="2586"/>
      <c r="P17" s="2585"/>
      <c r="Q17" s="2585"/>
      <c r="R17" s="2585"/>
      <c r="S17" s="2585"/>
      <c r="T17" s="2585"/>
      <c r="U17" s="2585"/>
    </row>
    <row r="18" spans="1:21">
      <c r="A18" s="1464"/>
      <c r="B18" s="2539" t="s">
        <v>1472</v>
      </c>
      <c r="C18" s="1397"/>
      <c r="D18" s="1397"/>
      <c r="E18" s="1397"/>
      <c r="F18" s="1397"/>
      <c r="G18" s="1397"/>
      <c r="H18" s="1397">
        <v>50</v>
      </c>
      <c r="I18" s="1397"/>
      <c r="J18" s="2604"/>
      <c r="K18" s="2588"/>
      <c r="L18" s="2584"/>
      <c r="M18" s="2584"/>
      <c r="N18" s="2585"/>
      <c r="O18" s="2586"/>
      <c r="P18" s="2585"/>
      <c r="Q18" s="2585"/>
      <c r="R18" s="2585"/>
      <c r="S18" s="2585"/>
      <c r="T18" s="2585"/>
      <c r="U18" s="2585"/>
    </row>
    <row r="19" spans="1:21">
      <c r="A19" s="1464"/>
      <c r="B19" s="1378" t="s">
        <v>1473</v>
      </c>
      <c r="C19" s="1459" t="str">
        <f>IF(A17="出让",IF(C17="","",ROUNDDOWN(MIN((C17-$D$3)/365,C18),2)),C18)</f>
        <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1576</v>
      </c>
      <c r="D20" s="3586"/>
      <c r="E20" s="3587"/>
      <c r="F20" s="3587"/>
      <c r="G20" s="3587"/>
      <c r="H20" s="3587"/>
      <c r="I20" s="3588"/>
      <c r="J20" s="2604"/>
      <c r="K20" s="2588"/>
      <c r="L20" s="2584"/>
      <c r="M20" s="2584"/>
      <c r="N20" s="2585"/>
      <c r="O20" s="2586"/>
      <c r="P20" s="2585"/>
      <c r="Q20" s="2585"/>
      <c r="R20" s="2585"/>
      <c r="S20" s="2585"/>
      <c r="T20" s="2585"/>
      <c r="U20" s="2585"/>
    </row>
    <row r="21" spans="1:21">
      <c r="A21" s="1464" t="s">
        <v>1474</v>
      </c>
      <c r="B21" s="1465" t="s">
        <v>1475</v>
      </c>
      <c r="C21" s="1460">
        <f>'数据-汇总表'!E3</f>
        <v>153333.32999999999</v>
      </c>
      <c r="D21" s="1461" t="s">
        <v>1476</v>
      </c>
      <c r="E21" s="3576" t="s">
        <v>1514</v>
      </c>
      <c r="F21" s="3577"/>
      <c r="G21" s="3577"/>
      <c r="H21" s="3577"/>
      <c r="I21" s="3578"/>
      <c r="J21" s="2604"/>
      <c r="K21" s="2588"/>
      <c r="L21" s="2584"/>
      <c r="M21" s="2584"/>
      <c r="N21" s="2585"/>
      <c r="O21" s="2586"/>
      <c r="P21" s="2585"/>
      <c r="Q21" s="2585"/>
      <c r="R21" s="2585"/>
      <c r="S21" s="2585"/>
      <c r="T21" s="2585"/>
      <c r="U21" s="2585"/>
    </row>
    <row r="22" spans="1:21">
      <c r="A22" s="2367" t="s">
        <v>875</v>
      </c>
      <c r="B22" s="1379" t="s">
        <v>1477</v>
      </c>
      <c r="C22" s="1399">
        <f>'数据-汇总表'!D3</f>
        <v>153333.32999999999</v>
      </c>
      <c r="D22" s="1400" t="s">
        <v>1476</v>
      </c>
      <c r="E22" s="3576" t="s">
        <v>2163</v>
      </c>
      <c r="F22" s="3577"/>
      <c r="G22" s="3577"/>
      <c r="H22" s="3577"/>
      <c r="I22" s="3578"/>
      <c r="J22" s="2604"/>
      <c r="K22" s="2588"/>
      <c r="L22" s="2584"/>
      <c r="M22" s="2584"/>
      <c r="N22" s="2585"/>
      <c r="O22" s="2586"/>
      <c r="P22" s="2585"/>
      <c r="Q22" s="2585"/>
      <c r="R22" s="2585"/>
      <c r="S22" s="2585"/>
      <c r="T22" s="2585"/>
      <c r="U22" s="2585"/>
    </row>
    <row r="23" spans="1:21" ht="29.25" thickBot="1">
      <c r="A23" s="1466" t="s">
        <v>1478</v>
      </c>
      <c r="B23" s="1409" t="s">
        <v>1479</v>
      </c>
      <c r="C23" s="1410" t="s">
        <v>3359</v>
      </c>
      <c r="D23" s="1411" t="s">
        <v>1480</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1481</v>
      </c>
      <c r="B24" s="3579" t="s">
        <v>1482</v>
      </c>
      <c r="C24" s="3580"/>
      <c r="D24" s="3581" t="s">
        <v>1483</v>
      </c>
      <c r="E24" s="3582"/>
      <c r="F24" s="1415" t="s">
        <v>1484</v>
      </c>
      <c r="G24" s="2604"/>
      <c r="H24" s="2604"/>
      <c r="I24" s="2605"/>
      <c r="J24" s="2604"/>
      <c r="K24" s="3567" t="s">
        <v>1485</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430"/>
      <c r="N24" s="2585"/>
      <c r="O24" s="2586"/>
      <c r="P24" s="2585"/>
      <c r="Q24" s="2585"/>
      <c r="R24" s="2585"/>
      <c r="S24" s="2585"/>
      <c r="T24" s="2585"/>
      <c r="U24" s="2585"/>
    </row>
    <row r="25" spans="1:21" ht="28.5">
      <c r="A25" s="1452"/>
      <c r="B25" s="1449" t="s">
        <v>1680</v>
      </c>
      <c r="C25" s="1416" t="s">
        <v>1486</v>
      </c>
      <c r="D25" s="1417"/>
      <c r="E25" s="1418" t="s">
        <v>875</v>
      </c>
      <c r="F25" s="1419"/>
      <c r="G25" s="2604"/>
      <c r="H25" s="2604"/>
      <c r="I25" s="2605"/>
      <c r="J25" s="2604"/>
      <c r="K25" s="3567"/>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1487</v>
      </c>
      <c r="C26" s="1416" t="s">
        <v>1681</v>
      </c>
      <c r="D26" s="2604"/>
      <c r="E26" s="2604"/>
      <c r="F26" s="2609"/>
      <c r="G26" s="2604"/>
      <c r="H26" s="2604"/>
      <c r="I26" s="2605"/>
      <c r="J26" s="2604"/>
      <c r="K26" s="3567"/>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1488</v>
      </c>
      <c r="B27" s="1454" t="s">
        <v>1489</v>
      </c>
      <c r="C27" s="1420"/>
      <c r="D27" s="2091" t="s">
        <v>1489</v>
      </c>
      <c r="E27" s="1421"/>
      <c r="F27" s="2609"/>
      <c r="G27" s="2604"/>
      <c r="H27" s="2604"/>
      <c r="I27" s="2605"/>
      <c r="J27" s="2604"/>
      <c r="K27" s="2588"/>
      <c r="L27" s="2584"/>
      <c r="M27" s="2584"/>
      <c r="N27" s="2585"/>
      <c r="O27" s="2586"/>
      <c r="P27" s="2585"/>
      <c r="Q27" s="2585"/>
      <c r="R27" s="2585"/>
      <c r="S27" s="2585"/>
      <c r="T27" s="2585"/>
      <c r="U27" s="2585"/>
    </row>
    <row r="28" spans="1:21">
      <c r="A28" s="1457"/>
      <c r="B28" s="1454" t="s">
        <v>1490</v>
      </c>
      <c r="C28" s="1422"/>
      <c r="D28" s="2092" t="s">
        <v>1490</v>
      </c>
      <c r="E28" s="1423"/>
      <c r="F28" s="2609"/>
      <c r="G28" s="2604"/>
      <c r="H28" s="2604"/>
      <c r="I28" s="2605"/>
      <c r="J28" s="2604"/>
      <c r="K28" s="2588"/>
      <c r="L28" s="2584"/>
      <c r="M28" s="2584"/>
      <c r="N28" s="2585"/>
      <c r="O28" s="2586"/>
      <c r="P28" s="2585"/>
      <c r="Q28" s="2585"/>
      <c r="R28" s="2585"/>
      <c r="S28" s="2585"/>
      <c r="T28" s="2585"/>
      <c r="U28" s="2585"/>
    </row>
    <row r="29" spans="1:21">
      <c r="A29" s="1457"/>
      <c r="B29" s="1454" t="s">
        <v>1491</v>
      </c>
      <c r="C29" s="1422"/>
      <c r="D29" s="2092" t="s">
        <v>1491</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1492</v>
      </c>
      <c r="C30" s="1424"/>
      <c r="D30" s="2093" t="s">
        <v>1492</v>
      </c>
      <c r="E30" s="1425"/>
      <c r="F30" s="2610"/>
      <c r="G30" s="2607"/>
      <c r="H30" s="2607"/>
      <c r="I30" s="2608"/>
      <c r="J30" s="2604"/>
      <c r="K30" s="2588"/>
      <c r="L30" s="2584"/>
      <c r="M30" s="2584"/>
      <c r="N30" s="2585"/>
      <c r="O30" s="2586"/>
      <c r="P30" s="2585"/>
      <c r="Q30" s="2585"/>
      <c r="R30" s="2585"/>
      <c r="S30" s="2585"/>
      <c r="T30" s="2585"/>
      <c r="U30" s="2585"/>
    </row>
    <row r="31" spans="1:21" ht="15" thickTop="1">
      <c r="A31" s="3594" t="s">
        <v>1517</v>
      </c>
      <c r="B31" s="1465" t="s">
        <v>1518</v>
      </c>
      <c r="C31" s="3592"/>
      <c r="D31" s="3593"/>
      <c r="E31" s="2604"/>
      <c r="F31" s="2604"/>
      <c r="G31" s="2604"/>
      <c r="H31" s="2604"/>
      <c r="I31" s="2605"/>
      <c r="J31" s="2604"/>
      <c r="K31" s="2591"/>
      <c r="L31" s="2585"/>
      <c r="M31" s="2585"/>
      <c r="N31" s="2585"/>
      <c r="O31" s="2585"/>
      <c r="P31" s="2585"/>
      <c r="Q31" s="2585"/>
      <c r="R31" s="2585"/>
      <c r="S31" s="2585"/>
      <c r="T31" s="2585"/>
      <c r="U31" s="2585"/>
    </row>
    <row r="32" spans="1:21">
      <c r="A32" s="3594"/>
      <c r="B32" s="1379" t="s">
        <v>1519</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594"/>
      <c r="B33" s="1379" t="s">
        <v>1520</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595"/>
      <c r="B34" s="1379" t="s">
        <v>1521</v>
      </c>
      <c r="C34" s="3596"/>
      <c r="D34" s="3597"/>
      <c r="E34" s="2604"/>
      <c r="F34" s="2604"/>
      <c r="G34" s="2604"/>
      <c r="H34" s="2604"/>
      <c r="I34" s="2605"/>
      <c r="J34" s="2604"/>
      <c r="K34" s="2591"/>
      <c r="L34" s="2585"/>
      <c r="M34" s="2585"/>
      <c r="N34" s="2585"/>
      <c r="O34" s="2585"/>
      <c r="P34" s="2585"/>
      <c r="Q34" s="2585"/>
      <c r="R34" s="2585"/>
      <c r="S34" s="2585"/>
      <c r="T34" s="2585"/>
      <c r="U34" s="2585"/>
    </row>
    <row r="35" spans="1:28">
      <c r="A35" s="3598" t="s">
        <v>783</v>
      </c>
      <c r="B35" s="1429"/>
      <c r="C35" s="1473" t="str">
        <f>IF(B35="场地平整","——","具体情况：")</f>
        <v>具体情况：</v>
      </c>
      <c r="D35" s="3600"/>
      <c r="E35" s="3601"/>
      <c r="F35" s="3601"/>
      <c r="G35" s="3601"/>
      <c r="H35" s="3601"/>
      <c r="I35" s="3602"/>
      <c r="J35" s="2604"/>
      <c r="K35" s="2592"/>
      <c r="L35" s="2584"/>
      <c r="M35" s="2584"/>
      <c r="N35" s="2585"/>
      <c r="O35" s="2586"/>
      <c r="P35" s="2585"/>
      <c r="Q35" s="2585"/>
      <c r="R35" s="2585"/>
      <c r="S35" s="2585"/>
      <c r="T35" s="2585"/>
      <c r="U35" s="2585"/>
    </row>
    <row r="36" spans="1:28">
      <c r="A36" s="3594"/>
      <c r="B36" s="3603" t="s">
        <v>1570</v>
      </c>
      <c r="C36" s="3604"/>
      <c r="D36" s="1488"/>
      <c r="E36" s="3605"/>
      <c r="F36" s="3605"/>
      <c r="G36" s="1400" t="str">
        <f>IF(B35="场地未平整","估价结果处理","")</f>
        <v/>
      </c>
      <c r="H36" s="3606"/>
      <c r="I36" s="3606"/>
      <c r="J36" s="2604"/>
      <c r="K36" s="2592"/>
      <c r="L36" s="2584"/>
      <c r="M36" s="2584"/>
      <c r="N36" s="2585"/>
      <c r="O36" s="2586"/>
      <c r="P36" s="2585"/>
      <c r="Q36" s="2585"/>
      <c r="R36" s="2585"/>
      <c r="S36" s="2585"/>
      <c r="T36" s="2585"/>
      <c r="U36" s="2585"/>
    </row>
    <row r="37" spans="1:28" ht="28.5">
      <c r="A37" s="3594"/>
      <c r="B37" s="3583" t="s">
        <v>784</v>
      </c>
      <c r="C37" s="1431" t="s">
        <v>785</v>
      </c>
      <c r="D37" s="1432"/>
      <c r="E37" s="1433"/>
      <c r="F37" s="2604"/>
      <c r="G37" s="2604"/>
      <c r="H37" s="2604"/>
      <c r="I37" s="2605"/>
      <c r="J37" s="2604"/>
      <c r="K37" s="2592"/>
      <c r="L37" s="2585"/>
      <c r="M37" s="2585"/>
      <c r="N37" s="2585"/>
      <c r="O37" s="2585"/>
      <c r="P37" s="2585"/>
      <c r="Q37" s="2585"/>
      <c r="R37" s="2585"/>
      <c r="S37" s="2585"/>
      <c r="T37" s="2585"/>
      <c r="U37" s="2585"/>
    </row>
    <row r="38" spans="1:28">
      <c r="A38" s="3594"/>
      <c r="B38" s="3584"/>
      <c r="C38" s="1387" t="s">
        <v>786</v>
      </c>
      <c r="D38" s="1487">
        <f>ROUNDDOWN(MIN(('数据-取费表'!$B$2-D37)/365,D34),1)</f>
        <v>114.6</v>
      </c>
      <c r="E38" s="1434" t="s">
        <v>787</v>
      </c>
      <c r="F38" s="2604"/>
      <c r="G38" s="2604"/>
      <c r="H38" s="2604"/>
      <c r="I38" s="2605"/>
      <c r="J38" s="2604"/>
      <c r="K38" s="2592"/>
      <c r="L38" s="2585"/>
      <c r="M38" s="2585"/>
      <c r="N38" s="2585"/>
      <c r="O38" s="2585"/>
      <c r="P38" s="2585"/>
      <c r="Q38" s="2585"/>
      <c r="R38" s="2585"/>
      <c r="S38" s="2585"/>
      <c r="T38" s="2585"/>
      <c r="U38" s="2585"/>
    </row>
    <row r="39" spans="1:28">
      <c r="A39" s="3595"/>
      <c r="B39" s="3585"/>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1493</v>
      </c>
      <c r="B40" s="1401"/>
      <c r="C40" s="1401"/>
      <c r="D40" s="1401"/>
      <c r="E40" s="1401"/>
      <c r="F40" s="1401"/>
      <c r="G40" s="1401"/>
      <c r="H40" s="1401"/>
      <c r="I40" s="2605"/>
      <c r="J40" s="2604"/>
      <c r="K40" s="1437">
        <f>COUNTIF(B40:H40,"——")</f>
        <v>0</v>
      </c>
      <c r="L40" s="1408" t="s">
        <v>1494</v>
      </c>
      <c r="M40" s="1405" t="s">
        <v>1495</v>
      </c>
      <c r="N40" s="1405" t="s">
        <v>1496</v>
      </c>
      <c r="O40" s="1405" t="s">
        <v>1497</v>
      </c>
      <c r="P40" s="1405" t="s">
        <v>1498</v>
      </c>
      <c r="Q40" s="1405" t="s">
        <v>1499</v>
      </c>
      <c r="R40" s="1405" t="s">
        <v>1500</v>
      </c>
      <c r="S40" s="3566" t="s">
        <v>1501</v>
      </c>
      <c r="T40" s="1408" t="str">
        <f>NUMBERSTRING(7-K40,1)&amp;"通"</f>
        <v>七通</v>
      </c>
      <c r="U40" s="2585"/>
    </row>
    <row r="41" spans="1:28">
      <c r="A41" s="1381"/>
      <c r="B41" s="3599" t="s">
        <v>1248</v>
      </c>
      <c r="C41" s="3599"/>
      <c r="D41" s="3599"/>
      <c r="E41" s="3599"/>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566"/>
      <c r="T41" s="1439" t="str">
        <f>IF(T40="一通",L41,IF(T40="二通",M41,IF(T40="三通",N41,IF(T40="四通",O41,IF(T40="五通",P41,IF(T40="六通",Q41,R41))))))</f>
        <v>、、、、、、</v>
      </c>
      <c r="U41" s="2585"/>
    </row>
    <row r="42" spans="1:28">
      <c r="A42" s="1441"/>
      <c r="B42" s="1467" t="s">
        <v>1420</v>
      </c>
      <c r="C42" s="1467" t="s">
        <v>1421</v>
      </c>
      <c r="D42" s="1467" t="s">
        <v>1422</v>
      </c>
      <c r="E42" s="1467" t="s">
        <v>2739</v>
      </c>
      <c r="F42" s="1467" t="s">
        <v>2740</v>
      </c>
      <c r="G42" s="2604"/>
      <c r="H42" s="2604"/>
      <c r="I42" s="2605"/>
      <c r="J42" s="2604"/>
      <c r="K42" s="2588"/>
      <c r="L42" s="2584"/>
      <c r="M42" s="2584"/>
      <c r="N42" s="2585"/>
      <c r="O42" s="2586"/>
      <c r="P42" s="2585"/>
      <c r="Q42" s="2585"/>
      <c r="R42" s="2585"/>
      <c r="S42" s="2585"/>
      <c r="T42" s="2585"/>
      <c r="U42" s="2585"/>
    </row>
    <row r="43" spans="1:28">
      <c r="A43" s="2560" t="s">
        <v>1233</v>
      </c>
      <c r="B43" s="1443"/>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1234</v>
      </c>
      <c r="B44" s="1443"/>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2164</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1522</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1523</v>
      </c>
      <c r="B48" s="1399" t="s">
        <v>1524</v>
      </c>
      <c r="C48" s="1399" t="s">
        <v>1525</v>
      </c>
      <c r="D48" s="1399" t="s">
        <v>1526</v>
      </c>
      <c r="E48" s="1399" t="s">
        <v>1527</v>
      </c>
      <c r="F48" s="1399" t="s">
        <v>1528</v>
      </c>
      <c r="G48" s="1399" t="s">
        <v>1529</v>
      </c>
      <c r="H48" s="1399" t="s">
        <v>1530</v>
      </c>
      <c r="I48" s="1399" t="s">
        <v>1531</v>
      </c>
      <c r="J48" s="1472" t="s">
        <v>1532</v>
      </c>
      <c r="K48" s="2598" t="s">
        <v>1533</v>
      </c>
      <c r="L48" s="2598" t="s">
        <v>1534</v>
      </c>
      <c r="M48" s="2598" t="s">
        <v>1535</v>
      </c>
      <c r="N48" s="2599" t="s">
        <v>1536</v>
      </c>
      <c r="O48" s="2599" t="s">
        <v>1537</v>
      </c>
      <c r="P48" s="2599" t="s">
        <v>1538</v>
      </c>
      <c r="Q48" s="2590" t="s">
        <v>1539</v>
      </c>
      <c r="R48" s="2590" t="s">
        <v>1540</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1688</v>
      </c>
      <c r="BA2" s="1928" t="s">
        <v>1687</v>
      </c>
      <c r="BB2" s="38"/>
      <c r="BC2" s="38"/>
      <c r="BD2" s="38"/>
      <c r="BE2" s="38"/>
      <c r="BF2" s="38"/>
      <c r="BG2" s="38"/>
      <c r="BH2" s="38"/>
      <c r="BI2" s="38"/>
      <c r="BJ2" s="38"/>
      <c r="BK2" s="38"/>
      <c r="BL2" s="38"/>
      <c r="BM2" s="38"/>
      <c r="BN2" s="38"/>
      <c r="BO2" s="38"/>
      <c r="BP2" s="38"/>
      <c r="BQ2" s="38"/>
      <c r="BR2" s="38"/>
      <c r="BS2" s="38"/>
      <c r="BT2" s="38"/>
    </row>
    <row r="3" spans="1:72" s="15" customFormat="1" ht="12.75">
      <c r="A3" s="18">
        <f>B3</f>
        <v>153333.32999999999</v>
      </c>
      <c r="B3" s="19">
        <f>IF(C3="否",G5-AT5,G5)</f>
        <v>153333.32999999999</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153333.32999999999</v>
      </c>
      <c r="H5" s="23">
        <f t="shared" ref="H5:AT5" si="0">SUM(H13:H641)</f>
        <v>153333.32999999999</v>
      </c>
      <c r="I5" s="23">
        <f t="shared" si="0"/>
        <v>153333.32999999999</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153333.32999999999</v>
      </c>
      <c r="BA5" s="25">
        <f t="shared" si="1"/>
        <v>153333.32999999999</v>
      </c>
      <c r="BB5" s="25">
        <f t="shared" si="1"/>
        <v>153333.32999999999</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153333.32999999999</v>
      </c>
      <c r="F6" s="23" t="s">
        <v>0</v>
      </c>
      <c r="G6" s="23" t="s">
        <v>1</v>
      </c>
      <c r="H6" s="29">
        <f>SUMIF(I$12:AB$12,"总值",I6:AB6)</f>
        <v>153333.32999999999</v>
      </c>
      <c r="I6" s="23">
        <f t="shared" ref="I6:AB6" si="2">ROUND($A$3*I5/$B$3,2)</f>
        <v>153333.32999999999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153333.32999999999</v>
      </c>
      <c r="AZ6" s="23" t="s">
        <v>2</v>
      </c>
      <c r="BA6" s="23">
        <f>ROUND($AY$6*BA5/$AZ$5,2)</f>
        <v>153333.32999999999</v>
      </c>
      <c r="BB6" s="23">
        <f>ROUND($AY$6*BB5/$AZ$5,2)</f>
        <v>153333.32999999999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791</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3355</v>
      </c>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903</v>
      </c>
      <c r="J10" s="47"/>
      <c r="K10" s="2307"/>
      <c r="L10" s="47"/>
      <c r="M10" s="2307"/>
      <c r="N10" s="47"/>
      <c r="O10" s="62"/>
      <c r="P10" s="47"/>
      <c r="Q10" s="62"/>
      <c r="R10" s="47"/>
      <c r="S10" s="62"/>
      <c r="T10" s="47"/>
      <c r="U10" s="62"/>
      <c r="V10" s="47"/>
      <c r="W10" s="62"/>
      <c r="X10" s="47"/>
      <c r="Y10" s="62"/>
      <c r="Z10" s="47"/>
      <c r="AA10" s="62"/>
      <c r="AB10" s="47"/>
      <c r="AC10" s="51"/>
      <c r="AD10" s="1902" t="s">
        <v>1672</v>
      </c>
      <c r="AE10" s="1924"/>
      <c r="AF10" s="1902" t="s">
        <v>1672</v>
      </c>
      <c r="AG10" s="1924"/>
      <c r="AH10" s="1902" t="s">
        <v>1673</v>
      </c>
      <c r="AI10" s="1924"/>
      <c r="AJ10" s="22" t="s">
        <v>1686</v>
      </c>
      <c r="AK10" s="1921"/>
      <c r="AL10" s="1902" t="s">
        <v>1674</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t="s">
        <v>3356</v>
      </c>
      <c r="J11" s="67"/>
      <c r="K11" s="2306"/>
      <c r="L11" s="67"/>
      <c r="M11" s="66"/>
      <c r="N11" s="67"/>
      <c r="O11" s="66"/>
      <c r="P11" s="67"/>
      <c r="Q11" s="66"/>
      <c r="R11" s="67"/>
      <c r="S11" s="66"/>
      <c r="T11" s="67"/>
      <c r="U11" s="66"/>
      <c r="V11" s="67"/>
      <c r="W11" s="66"/>
      <c r="X11" s="67"/>
      <c r="Y11" s="66"/>
      <c r="Z11" s="67"/>
      <c r="AA11" s="66"/>
      <c r="AB11" s="67"/>
      <c r="AC11" s="51"/>
      <c r="AD11" s="1922" t="s">
        <v>1685</v>
      </c>
      <c r="AE11" s="916"/>
      <c r="AF11" s="1922" t="s">
        <v>1685</v>
      </c>
      <c r="AG11" s="916"/>
      <c r="AH11" s="1922" t="s">
        <v>1684</v>
      </c>
      <c r="AI11" s="1923"/>
      <c r="AJ11" s="1922" t="s">
        <v>1684</v>
      </c>
      <c r="AK11" s="1921"/>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3359</v>
      </c>
      <c r="E13" s="23">
        <f t="shared" ref="E13:E20" si="6">IF($C$3="是",ROUND($A$3*G13/$B$3,2),ROUND($A$3*(G13-AT13)/$B$3,2))</f>
        <v>153333.32999999999</v>
      </c>
      <c r="F13" s="76"/>
      <c r="G13" s="77">
        <f t="shared" ref="G13:G20" si="7">H13+AC13+AT13</f>
        <v>153333.32999999999</v>
      </c>
      <c r="H13" s="29">
        <f t="shared" ref="H13:H20" si="8">SUMIF(I$12:AB$12,"总值",I13:AB13)</f>
        <v>153333.32999999999</v>
      </c>
      <c r="I13" s="2304">
        <f>ROUND(230*2000/3,2)</f>
        <v>153333.32999999999</v>
      </c>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153333.32999999999</v>
      </c>
      <c r="AZ13" s="23">
        <f t="shared" ref="AZ13:AZ20" si="12">BA13+BL13</f>
        <v>153333.32999999999</v>
      </c>
      <c r="BA13" s="23">
        <f t="shared" ref="BA13:BA20" si="13">SUM(BB13:BK13)</f>
        <v>153333.32999999999</v>
      </c>
      <c r="BB13" s="23">
        <f t="shared" ref="BB13:BB20" si="14">IF($D13="是",I13-J13,0)</f>
        <v>153333.32999999999</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616" t="s">
        <v>169</v>
      </c>
      <c r="B2" s="3616"/>
      <c r="C2" s="3616"/>
      <c r="D2" s="1632" t="s">
        <v>170</v>
      </c>
      <c r="E2" s="97" t="s">
        <v>171</v>
      </c>
      <c r="F2" s="2611"/>
      <c r="G2" s="1042"/>
      <c r="H2" s="1043"/>
      <c r="I2" s="1044" t="s">
        <v>793</v>
      </c>
      <c r="J2" s="2611"/>
      <c r="K2" s="2611"/>
      <c r="L2" s="2611"/>
      <c r="M2" s="2611"/>
      <c r="N2" s="2611"/>
      <c r="O2" s="2611"/>
      <c r="P2" s="2611"/>
    </row>
    <row r="3" spans="1:16" ht="15.75" thickBot="1">
      <c r="A3" s="3617" t="s">
        <v>172</v>
      </c>
      <c r="B3" s="3617"/>
      <c r="C3" s="3617"/>
      <c r="D3" s="98">
        <f>'数据-基础表'!AY6</f>
        <v>153333.32999999999</v>
      </c>
      <c r="E3" s="98">
        <f>'数据-基础表'!AZ5</f>
        <v>153333.32999999999</v>
      </c>
      <c r="F3" s="2611"/>
      <c r="G3" s="106" t="s">
        <v>794</v>
      </c>
      <c r="H3" s="102" t="s">
        <v>795</v>
      </c>
      <c r="I3" s="997">
        <f>ROUND('数据-基础表'!B3/'数据-基础表'!A3,2)</f>
        <v>1</v>
      </c>
      <c r="J3" s="2611"/>
      <c r="K3" s="2611"/>
      <c r="L3" s="2611"/>
      <c r="M3" s="2611"/>
      <c r="N3" s="2611"/>
      <c r="O3" s="2611"/>
      <c r="P3" s="2611"/>
    </row>
    <row r="4" spans="1:16" ht="15">
      <c r="A4" s="3618"/>
      <c r="B4" s="3619"/>
      <c r="C4" s="3620"/>
      <c r="D4" s="99" t="s">
        <v>170</v>
      </c>
      <c r="E4" s="100" t="s">
        <v>171</v>
      </c>
      <c r="F4" s="2611"/>
      <c r="G4" s="119"/>
      <c r="H4" s="102" t="s">
        <v>796</v>
      </c>
      <c r="I4" s="997">
        <f>ROUND(SUMIF('数据-基础表'!I9:AS9,"地上",'数据-基础表'!I5:AS5)/'数据-基础表'!A3,2)</f>
        <v>1</v>
      </c>
      <c r="J4" s="2611"/>
      <c r="K4" s="2611"/>
      <c r="L4" s="2611"/>
      <c r="M4" s="2611"/>
      <c r="N4" s="2611"/>
      <c r="O4" s="2611"/>
      <c r="P4" s="2611"/>
    </row>
    <row r="5" spans="1:16">
      <c r="A5" s="101" t="s">
        <v>173</v>
      </c>
      <c r="B5" s="3621" t="s">
        <v>196</v>
      </c>
      <c r="C5" s="3621"/>
      <c r="D5" s="102">
        <f>ROUND($D$3*E5/$E$3,2)</f>
        <v>0</v>
      </c>
      <c r="E5" s="103">
        <f>SUMIF('数据-基础表'!$11:$11,"住宅",'数据-基础表'!$5:$5)</f>
        <v>0</v>
      </c>
      <c r="F5" s="2611"/>
      <c r="G5" s="106" t="s">
        <v>797</v>
      </c>
      <c r="H5" s="102" t="s">
        <v>795</v>
      </c>
      <c r="I5" s="997">
        <f>ROUND(E31/D31,2)</f>
        <v>1</v>
      </c>
      <c r="J5" s="2611"/>
      <c r="K5" s="2611"/>
      <c r="L5" s="2611"/>
      <c r="M5" s="2611"/>
      <c r="N5" s="2611"/>
      <c r="O5" s="2611"/>
      <c r="P5" s="2611"/>
    </row>
    <row r="6" spans="1:16" ht="15" thickBot="1">
      <c r="A6" s="104"/>
      <c r="B6" s="3621" t="s">
        <v>174</v>
      </c>
      <c r="C6" s="3621"/>
      <c r="D6" s="102">
        <f>ROUND($D$3*E6/$E$3,2)</f>
        <v>153333.32999999999</v>
      </c>
      <c r="E6" s="103">
        <f>E3-E5</f>
        <v>153333.32999999999</v>
      </c>
      <c r="F6" s="2611"/>
      <c r="G6" s="119"/>
      <c r="H6" s="102" t="s">
        <v>796</v>
      </c>
      <c r="I6" s="997">
        <f>ROUND(F31/D31,2)</f>
        <v>1</v>
      </c>
      <c r="J6" s="2611"/>
      <c r="K6" s="2611"/>
      <c r="L6" s="2611"/>
      <c r="M6" s="2611"/>
      <c r="N6" s="2611"/>
      <c r="O6" s="2611"/>
      <c r="P6" s="2611"/>
    </row>
    <row r="7" spans="1:16" ht="15">
      <c r="A7" s="3613"/>
      <c r="B7" s="3614"/>
      <c r="C7" s="3615"/>
      <c r="D7" s="99" t="s">
        <v>170</v>
      </c>
      <c r="E7" s="105" t="s">
        <v>197</v>
      </c>
      <c r="F7" s="2611"/>
      <c r="G7" s="1002" t="s">
        <v>1178</v>
      </c>
      <c r="H7" s="1003"/>
      <c r="I7" s="127"/>
      <c r="J7" s="2611"/>
      <c r="K7" s="2611"/>
      <c r="L7" s="2611"/>
      <c r="M7" s="2611"/>
      <c r="N7" s="2611"/>
      <c r="O7" s="2611"/>
      <c r="P7" s="2611"/>
    </row>
    <row r="8" spans="1:16">
      <c r="A8" s="101" t="s">
        <v>175</v>
      </c>
      <c r="B8" s="106" t="s">
        <v>176</v>
      </c>
      <c r="C8" s="102" t="s">
        <v>177</v>
      </c>
      <c r="D8" s="102">
        <f t="shared" ref="D8:D15" si="0">ROUND($D$3*E8/$E$3,2)</f>
        <v>153333.32999999999</v>
      </c>
      <c r="E8" s="107">
        <f>SUMIF('数据-基础表'!BB10:BK10,"地上",'数据-基础表'!BB5:BK5)</f>
        <v>153333.32999999999</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1682</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1689</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153333.32999999999</v>
      </c>
      <c r="E16" s="111">
        <f>SUM(E8:E15)</f>
        <v>153333.32999999999</v>
      </c>
      <c r="F16" s="2611"/>
      <c r="G16" s="2611"/>
      <c r="H16" s="883" t="s">
        <v>185</v>
      </c>
      <c r="I16" s="884"/>
      <c r="J16" s="1634"/>
      <c r="K16" s="3607" t="s">
        <v>1847</v>
      </c>
      <c r="L16" s="3608"/>
      <c r="M16" s="3608"/>
      <c r="N16" s="3608"/>
      <c r="O16" s="3608"/>
      <c r="P16" s="3609"/>
    </row>
    <row r="17" spans="1:19" ht="15">
      <c r="A17" s="112" t="s">
        <v>182</v>
      </c>
      <c r="B17" s="113" t="s">
        <v>183</v>
      </c>
      <c r="C17" s="1887" t="s">
        <v>1668</v>
      </c>
      <c r="D17" s="99" t="s">
        <v>170</v>
      </c>
      <c r="E17" s="115" t="s">
        <v>171</v>
      </c>
      <c r="F17" s="116"/>
      <c r="G17" s="1159"/>
      <c r="H17" s="885" t="s">
        <v>184</v>
      </c>
      <c r="I17" s="886" t="s">
        <v>1667</v>
      </c>
      <c r="J17" s="1634"/>
      <c r="K17" s="3610" t="s">
        <v>1848</v>
      </c>
      <c r="L17" s="3611"/>
      <c r="M17" s="3612"/>
      <c r="N17" s="3610" t="s">
        <v>1849</v>
      </c>
      <c r="O17" s="3611"/>
      <c r="P17" s="3612"/>
      <c r="R17" s="1888" t="s">
        <v>1666</v>
      </c>
      <c r="S17" s="125"/>
    </row>
    <row r="18" spans="1:19" ht="15">
      <c r="A18" s="108"/>
      <c r="B18" s="119"/>
      <c r="C18" s="96"/>
      <c r="D18" s="1632"/>
      <c r="E18" s="120" t="s">
        <v>186</v>
      </c>
      <c r="F18" s="121" t="s">
        <v>187</v>
      </c>
      <c r="G18" s="1160" t="s">
        <v>188</v>
      </c>
      <c r="H18" s="887" t="s">
        <v>189</v>
      </c>
      <c r="I18" s="888" t="s">
        <v>190</v>
      </c>
      <c r="J18" s="1634"/>
      <c r="K18" s="2064" t="s">
        <v>1850</v>
      </c>
      <c r="L18" s="2065" t="s">
        <v>1851</v>
      </c>
      <c r="M18" s="2066" t="s">
        <v>1852</v>
      </c>
      <c r="N18" s="2064" t="s">
        <v>1850</v>
      </c>
      <c r="O18" s="2065" t="s">
        <v>1851</v>
      </c>
      <c r="P18" s="2066" t="s">
        <v>1852</v>
      </c>
      <c r="R18" s="1889" t="s">
        <v>1664</v>
      </c>
      <c r="S18" s="1889" t="s">
        <v>1665</v>
      </c>
    </row>
    <row r="19" spans="1:19">
      <c r="A19" s="123"/>
      <c r="B19" s="106" t="s">
        <v>191</v>
      </c>
      <c r="C19" s="2311" t="s">
        <v>3357</v>
      </c>
      <c r="D19" s="102">
        <f t="shared" ref="D19:D26" si="1">ROUND($D$3*E19/$E$3,2)</f>
        <v>153333.32999999999</v>
      </c>
      <c r="E19" s="124">
        <f t="shared" ref="E19:E26" si="2">SUM(F19:G19)</f>
        <v>153333.32999999999</v>
      </c>
      <c r="F19" s="2612">
        <f>E8</f>
        <v>153333.32999999999</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153333.32999999999</v>
      </c>
      <c r="S19" s="124">
        <f t="shared" si="5"/>
        <v>153333.32999999999</v>
      </c>
    </row>
    <row r="20" spans="1:19">
      <c r="A20" s="123"/>
      <c r="B20" s="106" t="s">
        <v>192</v>
      </c>
      <c r="C20" s="2311"/>
      <c r="D20" s="102">
        <f t="shared" si="1"/>
        <v>0</v>
      </c>
      <c r="E20" s="124">
        <f t="shared" si="2"/>
        <v>0</v>
      </c>
      <c r="F20" s="2612"/>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0</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4"/>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4"/>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4"/>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4"/>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153333.32999999999</v>
      </c>
      <c r="E27" s="129">
        <f>IF(SUM(E19:E26)='数据-基础表'!BA5,SUM(E19:E26),IF(F27="地上面积有误","面积有误","地下面积有误"))</f>
        <v>153333.32999999999</v>
      </c>
      <c r="F27" s="124">
        <f>IF(SUM(F19:F26)=E8,SUM(F19:F26),"地上面积有误")</f>
        <v>153333.32999999999</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153333.32999999999</v>
      </c>
      <c r="S27" s="102">
        <f>IF(SUM(S19:S26)=$E$3,SUM(S19:S26),SUM(S19:S26)&amp;"误差"&amp;ROUND(SUM(S19:S26)-E3,2))</f>
        <v>153333.32999999999</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1675</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1677</v>
      </c>
      <c r="D31" s="1163">
        <f>D27+D30</f>
        <v>153333.32999999999</v>
      </c>
      <c r="E31" s="1163">
        <f>E27+E30</f>
        <v>153333.32999999999</v>
      </c>
      <c r="F31" s="1164">
        <f>F27+F30</f>
        <v>153333.32999999999</v>
      </c>
      <c r="G31" s="1165">
        <f>G27+G30</f>
        <v>0</v>
      </c>
      <c r="H31" s="2611"/>
      <c r="I31" s="2611"/>
      <c r="J31" s="2611"/>
      <c r="K31" s="2611"/>
      <c r="L31" s="2611"/>
      <c r="M31" s="2611"/>
      <c r="N31" s="2611"/>
      <c r="O31" s="2611"/>
      <c r="P31" s="2611"/>
    </row>
    <row r="32" spans="1:19">
      <c r="A32" s="1634"/>
      <c r="B32" s="1930" t="s">
        <v>1676</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41863</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800</v>
      </c>
      <c r="B4" s="136"/>
      <c r="C4" s="137"/>
      <c r="D4" s="1049"/>
      <c r="E4" s="1050" t="s">
        <v>801</v>
      </c>
      <c r="F4" s="137"/>
      <c r="G4" s="137"/>
      <c r="H4" s="137"/>
      <c r="I4" s="137"/>
      <c r="J4" s="138"/>
      <c r="K4" s="1051"/>
      <c r="L4" s="1052"/>
      <c r="M4" s="137"/>
      <c r="N4" s="1050" t="s">
        <v>802</v>
      </c>
      <c r="O4" s="137"/>
      <c r="P4" s="137"/>
      <c r="Q4" s="137"/>
      <c r="R4" s="137"/>
      <c r="S4" s="138"/>
      <c r="T4" s="892" t="str">
        <f>'数据-汇总表'!I17</f>
        <v>按面积比例</v>
      </c>
      <c r="U4" s="136" t="s">
        <v>803</v>
      </c>
      <c r="V4" s="137"/>
      <c r="W4" s="137"/>
      <c r="X4" s="137"/>
      <c r="Y4" s="138"/>
      <c r="Z4" s="114" t="s">
        <v>804</v>
      </c>
      <c r="AA4" s="114"/>
      <c r="AB4" s="114"/>
      <c r="AC4" s="114"/>
      <c r="AD4" s="114"/>
      <c r="AE4" s="112" t="s">
        <v>805</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1679</v>
      </c>
      <c r="B5" s="140" t="s">
        <v>202</v>
      </c>
      <c r="C5" s="141" t="s">
        <v>203</v>
      </c>
      <c r="D5" s="142" t="s">
        <v>204</v>
      </c>
      <c r="E5" s="143" t="s">
        <v>205</v>
      </c>
      <c r="F5" s="144" t="s">
        <v>206</v>
      </c>
      <c r="G5" s="143" t="s">
        <v>207</v>
      </c>
      <c r="H5" s="143" t="s">
        <v>798</v>
      </c>
      <c r="I5" s="143" t="s">
        <v>799</v>
      </c>
      <c r="J5" s="145" t="s">
        <v>208</v>
      </c>
      <c r="K5" s="146" t="s">
        <v>209</v>
      </c>
      <c r="L5" s="147" t="s">
        <v>210</v>
      </c>
      <c r="M5" s="148" t="s">
        <v>211</v>
      </c>
      <c r="N5" s="1059" t="s">
        <v>3239</v>
      </c>
      <c r="O5" s="147" t="s">
        <v>212</v>
      </c>
      <c r="P5" s="149" t="s">
        <v>213</v>
      </c>
      <c r="Q5" s="150" t="s">
        <v>214</v>
      </c>
      <c r="R5" s="151" t="s">
        <v>215</v>
      </c>
      <c r="S5" s="2076" t="s">
        <v>1853</v>
      </c>
      <c r="T5" s="152" t="s">
        <v>216</v>
      </c>
      <c r="U5" s="153" t="s">
        <v>217</v>
      </c>
      <c r="V5" s="143" t="s">
        <v>218</v>
      </c>
      <c r="W5" s="143" t="s">
        <v>219</v>
      </c>
      <c r="X5" s="1511"/>
      <c r="Y5" s="154" t="s">
        <v>220</v>
      </c>
      <c r="Z5" s="155" t="s">
        <v>221</v>
      </c>
      <c r="AA5" s="143" t="s">
        <v>218</v>
      </c>
      <c r="AB5" s="143" t="s">
        <v>219</v>
      </c>
      <c r="AC5" s="1512"/>
      <c r="AD5" s="156" t="s">
        <v>220</v>
      </c>
      <c r="AE5" s="1" t="s">
        <v>806</v>
      </c>
      <c r="AF5" s="143" t="s">
        <v>222</v>
      </c>
      <c r="AG5" s="154" t="s">
        <v>223</v>
      </c>
      <c r="AH5" s="1512" t="s">
        <v>1678</v>
      </c>
      <c r="AI5" s="155" t="s">
        <v>1647</v>
      </c>
      <c r="AJ5" s="155" t="s">
        <v>224</v>
      </c>
      <c r="AK5" s="143" t="s">
        <v>225</v>
      </c>
      <c r="AL5" s="143" t="s">
        <v>226</v>
      </c>
      <c r="AM5" s="156" t="s">
        <v>227</v>
      </c>
      <c r="AN5" s="1951" t="s">
        <v>1725</v>
      </c>
      <c r="AO5" s="2629"/>
      <c r="AP5" s="2616" t="s">
        <v>2261</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工业</v>
      </c>
      <c r="B6" s="1925" t="str">
        <f>IF(A6=0,"","经营性")</f>
        <v>经营性</v>
      </c>
      <c r="C6" s="157"/>
      <c r="D6" s="1896">
        <f>SUMIF(项目基本情况!C$15:I$15,C6,项目基本情况!C$18:I$18)</f>
        <v>0</v>
      </c>
      <c r="E6" s="1897">
        <f>IF(B6="","",SUMIF(项目基本情况!C$15:I$15,C6,项目基本情况!C$17:I$17))</f>
        <v>0</v>
      </c>
      <c r="F6" s="158">
        <f>SUMIF(项目基本情况!C$15:I$15,C6,项目基本情况!C$19:I$19)</f>
        <v>0</v>
      </c>
      <c r="G6" s="159">
        <f t="shared" ref="G6:G13" si="0">IF(ISERROR(ROUND(POWER(1+H6,D6-F6)*(POWER(1+H6,F6)-1)/(POWER(1+H6,D6)-1),3)),0,ROUND(POWER(1+H6,D6-F6)*(POWER(1+H6,F6)-1)/(POWER(1+H6,D6)-1),3))</f>
        <v>0</v>
      </c>
      <c r="H6" s="2312"/>
      <c r="I6" s="2312"/>
      <c r="J6" s="160"/>
      <c r="K6" s="163">
        <f>SUMIF('数据-汇总表'!C$19:C$33,'数据-取费表'!A6,'数据-汇总表'!E$19:E$33)</f>
        <v>153333.32999999999</v>
      </c>
      <c r="L6" s="2313"/>
      <c r="M6" s="161">
        <f t="shared" ref="M6:M14" si="1">ROUND(K6*L6/10000,0)</f>
        <v>0</v>
      </c>
      <c r="N6" s="2314"/>
      <c r="O6" s="161">
        <f>IF($N$5="成新度","——",ROUND(M6*N6,0))</f>
        <v>0</v>
      </c>
      <c r="P6" s="162">
        <f>IF($N$5="成新度","——",M6-O6)</f>
        <v>0</v>
      </c>
      <c r="Q6" s="2315"/>
      <c r="R6" s="163">
        <f>SUMIF('数据-汇总表'!C$19:C$33,A6,'数据-汇总表'!R$19:R$33)</f>
        <v>153333.32999999999</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1669</v>
      </c>
      <c r="B14" s="1894" t="s">
        <v>1211</v>
      </c>
      <c r="C14" s="1895" t="s">
        <v>1669</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1671</v>
      </c>
      <c r="B15" s="1894" t="s">
        <v>1211</v>
      </c>
      <c r="C15" s="1895" t="s">
        <v>1670</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153333.32999999999</v>
      </c>
      <c r="L16" s="187">
        <f>ROUND(M16*10000/SUM(K6:K14),0)</f>
        <v>0</v>
      </c>
      <c r="M16" s="187">
        <f>SUM(M6:M14)</f>
        <v>0</v>
      </c>
      <c r="N16" s="188" t="e">
        <f>ROUND(SUMPRODUCT(M6:M14,N6:N14)/M16,3)</f>
        <v>#DIV/0!</v>
      </c>
      <c r="O16" s="187">
        <f>SUM(O6:O14)</f>
        <v>0</v>
      </c>
      <c r="P16" s="187">
        <f>SUM(P6:P14)</f>
        <v>0</v>
      </c>
      <c r="Q16" s="189" t="e">
        <f>ROUND(SUMPRODUCT(Q6:Q13,K6:K13)/SUMPRODUCT((Q6:Q13&gt;0)*(K6:K13)),2)</f>
        <v>#DIV/0!</v>
      </c>
      <c r="R16" s="1899">
        <f>SUM(R6:R13)</f>
        <v>153333.32999999999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2269</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1690</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1692</v>
      </c>
      <c r="B27" s="208"/>
      <c r="C27" s="2631" t="s">
        <v>2270</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1693</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1691</v>
      </c>
      <c r="B29" s="213"/>
      <c r="C29" s="2632" t="s">
        <v>1694</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3267</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2262</v>
      </c>
      <c r="D34" s="2634" t="s">
        <v>2267</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2263</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3310</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3268</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3269</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1799</v>
      </c>
      <c r="B39" s="735">
        <f ca="1">存贷款利率!C4</f>
        <v>0.03</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9" t="s">
        <v>2284</v>
      </c>
      <c r="B40" s="1992" t="e">
        <f ca="1">IF(A40="利息：取LPR",存贷款利率!E2,存贷款利率!E2+C40)</f>
        <v>#VALUE!</v>
      </c>
      <c r="C40" s="2780">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3270</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2264</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2265</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2271</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2264</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2266</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2165</v>
      </c>
      <c r="D53" s="2637" t="s">
        <v>2268</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2166</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2167</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2168</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2169</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2170</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2171</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2172</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2173</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2174</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2175</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H8" sqref="H8"/>
    </sheetView>
  </sheetViews>
  <sheetFormatPr defaultColWidth="9" defaultRowHeight="13.5"/>
  <cols>
    <col min="1" max="1" width="9.5" style="2646"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6" customWidth="1"/>
    <col min="19" max="16384" width="9" style="2646"/>
  </cols>
  <sheetData>
    <row r="1" spans="1:18" s="2640" customFormat="1" ht="19.5" thickBot="1">
      <c r="A1" s="3622" t="s">
        <v>1196</v>
      </c>
      <c r="B1" s="3623"/>
      <c r="C1" s="3623"/>
      <c r="D1" s="3623"/>
      <c r="E1" s="3623"/>
      <c r="F1" s="3623"/>
      <c r="G1" s="3623"/>
      <c r="H1" s="2638"/>
      <c r="I1" s="2638"/>
      <c r="J1" s="2638"/>
      <c r="K1" s="2638"/>
      <c r="L1" s="2638"/>
      <c r="M1" s="2638"/>
      <c r="N1" s="2638"/>
      <c r="O1" s="2638"/>
      <c r="P1" s="2638"/>
      <c r="Q1" s="2639"/>
    </row>
    <row r="2" spans="1:18" ht="14.25" thickBot="1">
      <c r="A2" s="2641"/>
      <c r="B2" s="2642"/>
      <c r="C2" s="2643" t="s">
        <v>1197</v>
      </c>
      <c r="D2" s="2644"/>
      <c r="E2" s="2641"/>
      <c r="F2" s="2645"/>
      <c r="G2" s="2643" t="s">
        <v>1198</v>
      </c>
      <c r="H2" s="2646"/>
      <c r="I2" s="2646"/>
      <c r="J2" s="2646"/>
      <c r="K2" s="2646"/>
      <c r="L2" s="2646"/>
      <c r="M2" s="2646"/>
      <c r="N2" s="2646"/>
      <c r="O2" s="2646"/>
      <c r="P2" s="2646"/>
      <c r="Q2" s="2646"/>
    </row>
    <row r="3" spans="1:18" ht="40.5">
      <c r="A3" s="2647" t="s">
        <v>1199</v>
      </c>
      <c r="B3" s="2648" t="s">
        <v>1186</v>
      </c>
      <c r="C3" s="2649" t="s">
        <v>2181</v>
      </c>
      <c r="D3" s="2650"/>
      <c r="E3" s="2651" t="s">
        <v>1199</v>
      </c>
      <c r="F3" s="2652" t="s">
        <v>1187</v>
      </c>
      <c r="G3" s="2653" t="s">
        <v>2180</v>
      </c>
      <c r="H3" s="2646"/>
      <c r="I3" s="2646"/>
      <c r="J3" s="2646"/>
      <c r="K3" s="2646"/>
      <c r="L3" s="2646"/>
      <c r="M3" s="2646"/>
      <c r="N3" s="2646"/>
      <c r="O3" s="2646"/>
      <c r="P3" s="2646"/>
      <c r="Q3" s="2646"/>
    </row>
    <row r="4" spans="1:18" ht="67.5">
      <c r="A4" s="2651"/>
      <c r="B4" s="2654" t="s">
        <v>1200</v>
      </c>
      <c r="C4" s="2655" t="s">
        <v>2182</v>
      </c>
      <c r="D4" s="2650"/>
      <c r="E4" s="2656"/>
      <c r="F4" s="2657" t="s">
        <v>1201</v>
      </c>
      <c r="G4" s="3404" t="s">
        <v>3387</v>
      </c>
      <c r="H4" s="2646"/>
      <c r="I4" s="2646"/>
      <c r="J4" s="2646"/>
      <c r="K4" s="2646"/>
      <c r="L4" s="2646"/>
      <c r="M4" s="2646"/>
      <c r="N4" s="2646"/>
      <c r="O4" s="2646"/>
      <c r="P4" s="2646"/>
      <c r="Q4" s="2646"/>
    </row>
    <row r="5" spans="1:18" ht="41.25">
      <c r="A5" s="2651"/>
      <c r="B5" s="2654" t="s">
        <v>1202</v>
      </c>
      <c r="C5" s="2655" t="s">
        <v>2183</v>
      </c>
      <c r="D5" s="2650"/>
      <c r="E5" s="2656"/>
      <c r="F5" s="2654" t="s">
        <v>1827</v>
      </c>
      <c r="G5" s="2658" t="s">
        <v>2179</v>
      </c>
      <c r="H5" s="2646"/>
      <c r="I5" s="2646"/>
      <c r="J5" s="2646"/>
      <c r="K5" s="2646"/>
      <c r="L5" s="2646"/>
      <c r="M5" s="2646"/>
      <c r="N5" s="2646"/>
      <c r="O5" s="2646"/>
      <c r="P5" s="2646"/>
      <c r="Q5" s="2646"/>
    </row>
    <row r="6" spans="1:18" ht="40.5">
      <c r="A6" s="2651"/>
      <c r="B6" s="2654" t="s">
        <v>1188</v>
      </c>
      <c r="C6" s="2658" t="s">
        <v>2178</v>
      </c>
      <c r="D6" s="2650"/>
      <c r="E6" s="2656"/>
      <c r="F6" s="2654" t="s">
        <v>1828</v>
      </c>
      <c r="G6" s="2658" t="s">
        <v>2176</v>
      </c>
      <c r="H6" s="2646"/>
      <c r="I6" s="2646"/>
      <c r="J6" s="2646"/>
      <c r="K6" s="2646"/>
      <c r="L6" s="2646"/>
      <c r="M6" s="2646"/>
      <c r="N6" s="2646"/>
      <c r="O6" s="2646"/>
      <c r="P6" s="2646"/>
      <c r="Q6" s="2646"/>
    </row>
    <row r="7" spans="1:18" ht="41.25" thickBot="1">
      <c r="A7" s="2651"/>
      <c r="B7" s="2654" t="s">
        <v>1827</v>
      </c>
      <c r="C7" s="2658" t="s">
        <v>2179</v>
      </c>
      <c r="D7" s="2659"/>
      <c r="E7" s="2660"/>
      <c r="F7" s="2661" t="s">
        <v>1203</v>
      </c>
      <c r="G7" s="3519" t="s">
        <v>3348</v>
      </c>
      <c r="H7" s="2646"/>
      <c r="I7" s="2646"/>
      <c r="J7" s="2646"/>
      <c r="K7" s="2646"/>
      <c r="L7" s="2646"/>
      <c r="M7" s="2646"/>
      <c r="N7" s="2646"/>
      <c r="O7" s="2646"/>
      <c r="P7" s="2646"/>
      <c r="Q7" s="2646"/>
    </row>
    <row r="8" spans="1:18">
      <c r="A8" s="2651"/>
      <c r="B8" s="2654" t="s">
        <v>1828</v>
      </c>
      <c r="C8" s="2658" t="s">
        <v>2176</v>
      </c>
      <c r="D8" s="2659"/>
      <c r="E8" s="2659"/>
      <c r="F8" s="2662"/>
      <c r="G8" s="2662"/>
      <c r="H8" s="2646"/>
      <c r="I8" s="2646"/>
      <c r="J8" s="2646"/>
      <c r="K8" s="2646"/>
      <c r="L8" s="2646"/>
      <c r="M8" s="2646"/>
      <c r="N8" s="2646"/>
      <c r="O8" s="2646"/>
      <c r="P8" s="2646"/>
      <c r="Q8" s="2646"/>
    </row>
    <row r="9" spans="1:18" ht="27">
      <c r="A9" s="2651"/>
      <c r="B9" s="2654" t="s">
        <v>1189</v>
      </c>
      <c r="C9" s="2655" t="s">
        <v>2177</v>
      </c>
      <c r="D9" s="2650"/>
      <c r="E9" s="2659"/>
      <c r="F9" s="2662"/>
      <c r="G9" s="2662"/>
      <c r="H9" s="2646"/>
      <c r="I9" s="2646"/>
      <c r="J9" s="2646"/>
      <c r="K9" s="2646"/>
      <c r="L9" s="2646"/>
      <c r="M9" s="2646"/>
      <c r="N9" s="2646"/>
      <c r="O9" s="2646"/>
      <c r="P9" s="2646"/>
      <c r="Q9" s="2646"/>
    </row>
    <row r="10" spans="1:18" ht="15" thickBot="1">
      <c r="A10" s="2663"/>
      <c r="B10" s="2664" t="s">
        <v>1204</v>
      </c>
      <c r="C10" s="2665"/>
      <c r="D10" s="2650"/>
      <c r="E10" s="2650"/>
      <c r="F10" s="2662"/>
      <c r="G10" s="2662"/>
      <c r="J10" s="2667"/>
      <c r="M10" s="2667"/>
      <c r="P10" s="2667"/>
      <c r="R10" s="2666"/>
    </row>
    <row r="11" spans="1:18">
      <c r="A11" s="2668"/>
      <c r="B11" s="2659"/>
      <c r="C11" s="2650"/>
      <c r="D11" s="2650"/>
      <c r="E11" s="2650"/>
      <c r="F11" s="2659"/>
      <c r="G11" s="2659"/>
      <c r="J11" s="2667"/>
      <c r="M11" s="2667"/>
      <c r="P11" s="2667"/>
      <c r="R11" s="2666"/>
    </row>
    <row r="12" spans="1:18" s="2640" customFormat="1" ht="18.75">
      <c r="A12" s="2668"/>
      <c r="B12" s="2659"/>
      <c r="C12" s="2650"/>
      <c r="D12" s="2669"/>
      <c r="E12" s="2650"/>
      <c r="F12" s="2659"/>
      <c r="G12" s="2659"/>
      <c r="H12" s="2670"/>
      <c r="I12" s="2670"/>
      <c r="J12" s="2670"/>
      <c r="K12" s="2670"/>
      <c r="L12" s="2671"/>
      <c r="M12" s="2670"/>
      <c r="N12" s="2672"/>
      <c r="O12" s="2672"/>
      <c r="P12" s="2672"/>
      <c r="Q12" s="2672"/>
    </row>
    <row r="13" spans="1:18" ht="19.5" thickBot="1">
      <c r="A13" s="2673" t="s">
        <v>1205</v>
      </c>
      <c r="B13" s="2669"/>
      <c r="C13" s="2669"/>
      <c r="D13" s="2644"/>
      <c r="E13" s="2669"/>
      <c r="F13" s="2669"/>
      <c r="G13" s="2669"/>
    </row>
    <row r="14" spans="1:18" ht="14.25" thickBot="1">
      <c r="A14" s="2674"/>
      <c r="B14" s="2674"/>
      <c r="C14" s="2675" t="s">
        <v>1197</v>
      </c>
      <c r="D14" s="2650"/>
      <c r="E14" s="2676"/>
      <c r="F14" s="2676"/>
      <c r="G14" s="2643" t="s">
        <v>1198</v>
      </c>
    </row>
    <row r="15" spans="1:18" ht="40.5">
      <c r="A15" s="2677" t="s">
        <v>1190</v>
      </c>
      <c r="B15" s="2678" t="s">
        <v>1186</v>
      </c>
      <c r="C15" s="2679" t="str">
        <f>C3</f>
        <v>估价对象周边居住用地比例、居住小区规模和社区发展完善程度，综合评价居住社区成熟度一般</v>
      </c>
      <c r="D15" s="2650"/>
      <c r="E15" s="2680" t="s">
        <v>1191</v>
      </c>
      <c r="F15" s="2678" t="s">
        <v>1206</v>
      </c>
      <c r="G15" s="2681" t="str">
        <f>G3</f>
        <v>估价对象位于XX开发区，园区建设成熟度XX，产业集聚程度XX</v>
      </c>
    </row>
    <row r="16" spans="1:18" ht="67.5">
      <c r="A16" s="2682"/>
      <c r="B16" s="2683" t="s">
        <v>1200</v>
      </c>
      <c r="C16" s="2684" t="str">
        <f>C4</f>
        <v>估价对象位于XX商圈，周边商业氛围成熟，人流量大，商业繁华度好</v>
      </c>
      <c r="D16" s="2650"/>
      <c r="E16" s="2685"/>
      <c r="F16" s="2686" t="s">
        <v>1201</v>
      </c>
      <c r="G16" s="2687" t="str">
        <f>G4</f>
        <v>地块临近村道，周边3公里范围内有高速公路——京藏高速、城市次干道——康张路，有880路等3条以下公交线路通过并设立站点，综合评价交通便捷度一般</v>
      </c>
    </row>
    <row r="17" spans="1:7" ht="40.5">
      <c r="A17" s="2682"/>
      <c r="B17" s="2683" t="s">
        <v>1202</v>
      </c>
      <c r="C17" s="2684" t="str">
        <f>C5</f>
        <v>估价对象位于XX商圈，周边办公楼项目较多，入驻率高，办公集聚程度较好</v>
      </c>
      <c r="D17" s="2659"/>
      <c r="E17" s="2685"/>
      <c r="F17" s="2686" t="s">
        <v>1207</v>
      </c>
      <c r="G17" s="2688"/>
    </row>
    <row r="18" spans="1:7" ht="40.5">
      <c r="A18" s="2682"/>
      <c r="B18" s="2686" t="s">
        <v>1188</v>
      </c>
      <c r="C18" s="2687" t="str">
        <f>C6</f>
        <v>估价对象周边道路状况、公共交通通达情况、停车便捷程度，综合评价交通便捷度较好</v>
      </c>
      <c r="D18" s="2659"/>
      <c r="E18" s="2685"/>
      <c r="F18" s="2686" t="s">
        <v>1203</v>
      </c>
      <c r="G18" s="2687" t="str">
        <f>G7</f>
        <v>周边无污染型企业，5公里范围内有八达岭长城自然风景区等自然和人文景观，环境状况较好</v>
      </c>
    </row>
    <row r="19" spans="1:7" ht="27">
      <c r="A19" s="2682"/>
      <c r="B19" s="2686" t="s">
        <v>1192</v>
      </c>
      <c r="C19" s="2688"/>
      <c r="D19" s="2650"/>
      <c r="E19" s="2685"/>
      <c r="F19" s="2654" t="s">
        <v>1827</v>
      </c>
      <c r="G19" s="2687" t="str">
        <f>G5</f>
        <v>估价对象所在区域公共配套设施齐备情况</v>
      </c>
    </row>
    <row r="20" spans="1:7" ht="27">
      <c r="A20" s="2682"/>
      <c r="B20" s="2686" t="s">
        <v>1193</v>
      </c>
      <c r="C20" s="2684" t="str">
        <f>C9</f>
        <v>区域自然环境：；人文环境；综合评价环境状况一般</v>
      </c>
      <c r="D20" s="2659"/>
      <c r="E20" s="2685"/>
      <c r="F20" s="2654" t="s">
        <v>1828</v>
      </c>
      <c r="G20" s="2687" t="str">
        <f>G6</f>
        <v>估价对象所在区域基础设施水平</v>
      </c>
    </row>
    <row r="21" spans="1:7" ht="27">
      <c r="A21" s="2682"/>
      <c r="B21" s="2654" t="s">
        <v>1827</v>
      </c>
      <c r="C21" s="2687" t="str">
        <f>C7</f>
        <v>估价对象所在区域公共配套设施齐备情况</v>
      </c>
      <c r="D21" s="2650"/>
      <c r="E21" s="2685"/>
      <c r="F21" s="2686" t="s">
        <v>1194</v>
      </c>
      <c r="G21" s="2689"/>
    </row>
    <row r="22" spans="1:7" ht="14.25">
      <c r="A22" s="2682"/>
      <c r="B22" s="2654" t="s">
        <v>1828</v>
      </c>
      <c r="C22" s="2687" t="str">
        <f>C8</f>
        <v>估价对象所在区域基础设施水平</v>
      </c>
      <c r="D22" s="2650"/>
      <c r="E22" s="2685"/>
      <c r="F22" s="2686" t="s">
        <v>1204</v>
      </c>
      <c r="G22" s="2688"/>
    </row>
    <row r="23" spans="1:7" ht="15" thickBot="1">
      <c r="A23" s="2682"/>
      <c r="B23" s="2686" t="s">
        <v>1194</v>
      </c>
      <c r="C23" s="2689"/>
      <c r="E23" s="2690"/>
      <c r="F23" s="2691" t="s">
        <v>1208</v>
      </c>
      <c r="G23" s="2692"/>
    </row>
    <row r="24" spans="1:7" ht="14.25" thickBot="1">
      <c r="A24" s="2693"/>
      <c r="B24" s="2691" t="s">
        <v>1195</v>
      </c>
      <c r="C24" s="2694">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B15" sqref="B15"/>
    </sheetView>
  </sheetViews>
  <sheetFormatPr defaultColWidth="14.625" defaultRowHeight="13.5"/>
  <cols>
    <col min="1" max="1" width="24.375" style="2696" customWidth="1"/>
    <col min="2" max="16384" width="14.625" style="2696"/>
  </cols>
  <sheetData>
    <row r="1" spans="1:10" ht="16.5">
      <c r="A1" s="2695" t="s">
        <v>2116</v>
      </c>
      <c r="B1" s="2695">
        <f>SUM(B14:B23)</f>
        <v>153333.32999999999</v>
      </c>
      <c r="C1" s="2703"/>
      <c r="D1" s="2703"/>
      <c r="E1" s="2703"/>
      <c r="F1" s="2703"/>
      <c r="G1" s="2704"/>
      <c r="H1" s="2704"/>
      <c r="I1" s="2704"/>
      <c r="J1" s="2704"/>
    </row>
    <row r="2" spans="1:10" ht="16.5">
      <c r="A2" s="2695" t="s">
        <v>2117</v>
      </c>
      <c r="B2" s="2695">
        <f>SUM(C14:C23)</f>
        <v>153333.32999999999</v>
      </c>
      <c r="C2" s="2703"/>
      <c r="D2" s="2703"/>
      <c r="E2" s="2703"/>
      <c r="F2" s="2703"/>
      <c r="G2" s="2704"/>
      <c r="H2" s="2704"/>
      <c r="I2" s="2704"/>
      <c r="J2" s="2704"/>
    </row>
    <row r="3" spans="1:10" ht="16.5">
      <c r="A3" s="2695" t="s">
        <v>2118</v>
      </c>
      <c r="B3" s="2697">
        <f>项目基本情况!D3</f>
        <v>41863</v>
      </c>
      <c r="C3" s="2703"/>
      <c r="D3" s="2703"/>
      <c r="E3" s="2703"/>
      <c r="F3" s="2703"/>
      <c r="G3" s="2704"/>
      <c r="H3" s="2704"/>
      <c r="I3" s="2704"/>
      <c r="J3" s="2704"/>
    </row>
    <row r="4" spans="1:10" ht="33">
      <c r="A4" s="2695" t="s">
        <v>2119</v>
      </c>
      <c r="B4" s="2695" t="s">
        <v>2120</v>
      </c>
      <c r="C4" s="2695" t="s">
        <v>2121</v>
      </c>
      <c r="D4" s="2695" t="s">
        <v>2122</v>
      </c>
      <c r="E4" s="2703"/>
      <c r="F4" s="2703"/>
      <c r="G4" s="2704"/>
      <c r="H4" s="2704"/>
      <c r="I4" s="2704"/>
      <c r="J4" s="2704"/>
    </row>
    <row r="5" spans="1:10" ht="16.5">
      <c r="A5" s="2695" t="s">
        <v>2123</v>
      </c>
      <c r="B5" s="2695">
        <f>SUM(D14:D23)</f>
        <v>802</v>
      </c>
      <c r="C5" s="2695">
        <f>ROUND(B5*10000/$B$1,0)</f>
        <v>52</v>
      </c>
      <c r="D5" s="2695">
        <f>ROUND(B5*10000/$B$2,0)</f>
        <v>52</v>
      </c>
      <c r="E5" s="2703"/>
      <c r="F5" s="2703"/>
      <c r="G5" s="2704"/>
      <c r="H5" s="2704"/>
      <c r="I5" s="2704"/>
      <c r="J5" s="2704"/>
    </row>
    <row r="6" spans="1:10" ht="16.5">
      <c r="A6" s="2695" t="s">
        <v>2124</v>
      </c>
      <c r="B6" s="2695">
        <f>SUM(G14:G23)</f>
        <v>0</v>
      </c>
      <c r="C6" s="2695">
        <f>ROUND(B6*10000/$B$1,0)</f>
        <v>0</v>
      </c>
      <c r="D6" s="2695">
        <f>ROUND(B6*10000/$B$2,0)</f>
        <v>0</v>
      </c>
      <c r="E6" s="2703"/>
      <c r="F6" s="2703"/>
      <c r="G6" s="2704"/>
      <c r="H6" s="2704"/>
      <c r="I6" s="2704"/>
      <c r="J6" s="2704"/>
    </row>
    <row r="7" spans="1:10" ht="16.5">
      <c r="A7" s="2695" t="s">
        <v>2125</v>
      </c>
      <c r="B7" s="2695">
        <f>SUM(H14:H23)</f>
        <v>0</v>
      </c>
      <c r="C7" s="2695">
        <f>ROUND(B7*10000/$B$1,0)</f>
        <v>0</v>
      </c>
      <c r="D7" s="2695">
        <f>ROUND(B7*10000/$B$2,0)</f>
        <v>0</v>
      </c>
      <c r="E7" s="2703"/>
      <c r="F7" s="2703"/>
      <c r="G7" s="2704"/>
      <c r="H7" s="2704"/>
      <c r="I7" s="2704"/>
      <c r="J7" s="2704"/>
    </row>
    <row r="8" spans="1:10" ht="16.5">
      <c r="A8" s="2695" t="s">
        <v>2126</v>
      </c>
      <c r="B8" s="2695">
        <f>SUM(I14:I23)</f>
        <v>0</v>
      </c>
      <c r="C8" s="2695">
        <f>ROUND(B8*10000/$B$1,0)</f>
        <v>0</v>
      </c>
      <c r="D8" s="2695">
        <f>ROUND(B8*10000/$B$2,0)</f>
        <v>0</v>
      </c>
      <c r="E8" s="2703"/>
      <c r="F8" s="2703"/>
      <c r="G8" s="2704"/>
      <c r="H8" s="2704"/>
      <c r="I8" s="2704"/>
      <c r="J8" s="2704"/>
    </row>
    <row r="9" spans="1:10" ht="16.5">
      <c r="A9" s="2695" t="s">
        <v>2127</v>
      </c>
      <c r="B9" s="2327"/>
      <c r="C9" s="2703"/>
      <c r="D9" s="2703"/>
      <c r="E9" s="2703"/>
      <c r="F9" s="2703"/>
      <c r="G9" s="2704"/>
      <c r="H9" s="2704"/>
      <c r="I9" s="2704"/>
      <c r="J9" s="2704"/>
    </row>
    <row r="10" spans="1:10" ht="16.5">
      <c r="A10" s="2695" t="s">
        <v>2128</v>
      </c>
      <c r="B10" s="2327"/>
      <c r="C10" s="2703"/>
      <c r="D10" s="2703"/>
      <c r="E10" s="2703"/>
      <c r="F10" s="2703"/>
      <c r="G10" s="2704"/>
      <c r="H10" s="2704"/>
      <c r="I10" s="2704"/>
      <c r="J10" s="2704"/>
    </row>
    <row r="11" spans="1:10" ht="16.5">
      <c r="A11" s="2695" t="s">
        <v>2145</v>
      </c>
      <c r="B11" s="2327"/>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2144</v>
      </c>
      <c r="B13" s="2699" t="s">
        <v>2116</v>
      </c>
      <c r="C13" s="2699" t="s">
        <v>2117</v>
      </c>
      <c r="D13" s="2699" t="s">
        <v>2129</v>
      </c>
      <c r="E13" s="2695" t="s">
        <v>2143</v>
      </c>
      <c r="F13" s="2695" t="s">
        <v>2122</v>
      </c>
      <c r="G13" s="2699" t="s">
        <v>2130</v>
      </c>
      <c r="H13" s="2699" t="s">
        <v>2131</v>
      </c>
      <c r="I13" s="2699" t="s">
        <v>2132</v>
      </c>
      <c r="J13" s="2704"/>
    </row>
    <row r="14" spans="1:10" ht="16.5">
      <c r="A14" s="2700" t="s">
        <v>2142</v>
      </c>
      <c r="B14" s="2701">
        <f>C14</f>
        <v>153333.32999999999</v>
      </c>
      <c r="C14" s="2701">
        <f>'数据-基础表'!I13</f>
        <v>153333.32999999999</v>
      </c>
      <c r="D14" s="2701">
        <v>802</v>
      </c>
      <c r="E14" s="2701">
        <f>ROUND(D14*10000/B14,0)</f>
        <v>52</v>
      </c>
      <c r="F14" s="2701">
        <f>ROUND(D14*10000/C14,0)</f>
        <v>52</v>
      </c>
      <c r="G14" s="2701">
        <v>0</v>
      </c>
      <c r="H14" s="2701">
        <v>0</v>
      </c>
      <c r="I14" s="2701">
        <v>0</v>
      </c>
      <c r="J14" s="2704"/>
    </row>
    <row r="15" spans="1:10" ht="16.5">
      <c r="A15" s="2700" t="s">
        <v>2133</v>
      </c>
      <c r="B15" s="2702"/>
      <c r="C15" s="2702"/>
      <c r="D15" s="2702"/>
      <c r="E15" s="2701" t="e">
        <f t="shared" ref="E15:E23" si="0">ROUND(D15*10000/B15,0)</f>
        <v>#DIV/0!</v>
      </c>
      <c r="F15" s="2701" t="e">
        <f t="shared" ref="F15:F23" si="1">ROUND(D15*10000/C15,0)</f>
        <v>#DIV/0!</v>
      </c>
      <c r="G15" s="2327"/>
      <c r="H15" s="2327"/>
      <c r="I15" s="2702"/>
      <c r="J15" s="2704"/>
    </row>
    <row r="16" spans="1:10" ht="16.5">
      <c r="A16" s="2700" t="s">
        <v>2134</v>
      </c>
      <c r="B16" s="2702"/>
      <c r="C16" s="2702"/>
      <c r="D16" s="2702"/>
      <c r="E16" s="2701" t="e">
        <f t="shared" si="0"/>
        <v>#DIV/0!</v>
      </c>
      <c r="F16" s="2701" t="e">
        <f t="shared" si="1"/>
        <v>#DIV/0!</v>
      </c>
      <c r="G16" s="2327"/>
      <c r="H16" s="2327"/>
      <c r="I16" s="2702"/>
      <c r="J16" s="2704"/>
    </row>
    <row r="17" spans="1:10" ht="16.5">
      <c r="A17" s="2700" t="s">
        <v>2135</v>
      </c>
      <c r="B17" s="2702"/>
      <c r="C17" s="2702"/>
      <c r="D17" s="2702"/>
      <c r="E17" s="2701" t="e">
        <f t="shared" si="0"/>
        <v>#DIV/0!</v>
      </c>
      <c r="F17" s="2701" t="e">
        <f t="shared" si="1"/>
        <v>#DIV/0!</v>
      </c>
      <c r="G17" s="2327"/>
      <c r="H17" s="2327"/>
      <c r="I17" s="2702"/>
      <c r="J17" s="2704"/>
    </row>
    <row r="18" spans="1:10" ht="16.5">
      <c r="A18" s="2700" t="s">
        <v>2136</v>
      </c>
      <c r="B18" s="2702"/>
      <c r="C18" s="2702"/>
      <c r="D18" s="2702"/>
      <c r="E18" s="2701" t="e">
        <f t="shared" si="0"/>
        <v>#DIV/0!</v>
      </c>
      <c r="F18" s="2701" t="e">
        <f t="shared" si="1"/>
        <v>#DIV/0!</v>
      </c>
      <c r="G18" s="2702"/>
      <c r="H18" s="2702"/>
      <c r="I18" s="2702"/>
      <c r="J18" s="2704"/>
    </row>
    <row r="19" spans="1:10" ht="16.5">
      <c r="A19" s="2700" t="s">
        <v>2137</v>
      </c>
      <c r="B19" s="2702"/>
      <c r="C19" s="2702"/>
      <c r="D19" s="2702"/>
      <c r="E19" s="2701" t="e">
        <f t="shared" si="0"/>
        <v>#DIV/0!</v>
      </c>
      <c r="F19" s="2701" t="e">
        <f t="shared" si="1"/>
        <v>#DIV/0!</v>
      </c>
      <c r="G19" s="2702"/>
      <c r="H19" s="2702"/>
      <c r="I19" s="2702"/>
      <c r="J19" s="2704"/>
    </row>
    <row r="20" spans="1:10" ht="16.5">
      <c r="A20" s="2700" t="s">
        <v>2138</v>
      </c>
      <c r="B20" s="2702"/>
      <c r="C20" s="2702"/>
      <c r="D20" s="2702"/>
      <c r="E20" s="2701" t="e">
        <f t="shared" si="0"/>
        <v>#DIV/0!</v>
      </c>
      <c r="F20" s="2701" t="e">
        <f t="shared" si="1"/>
        <v>#DIV/0!</v>
      </c>
      <c r="G20" s="2702"/>
      <c r="H20" s="2702"/>
      <c r="I20" s="2702"/>
      <c r="J20" s="2704"/>
    </row>
    <row r="21" spans="1:10" ht="16.5">
      <c r="A21" s="2700" t="s">
        <v>2139</v>
      </c>
      <c r="B21" s="2702"/>
      <c r="C21" s="2702"/>
      <c r="D21" s="2702"/>
      <c r="E21" s="2701" t="e">
        <f t="shared" si="0"/>
        <v>#DIV/0!</v>
      </c>
      <c r="F21" s="2701" t="e">
        <f t="shared" si="1"/>
        <v>#DIV/0!</v>
      </c>
      <c r="G21" s="2702"/>
      <c r="H21" s="2702"/>
      <c r="I21" s="2702"/>
      <c r="J21" s="2704"/>
    </row>
    <row r="22" spans="1:10" ht="16.5">
      <c r="A22" s="2700" t="s">
        <v>2140</v>
      </c>
      <c r="B22" s="2702"/>
      <c r="C22" s="2702"/>
      <c r="D22" s="2702"/>
      <c r="E22" s="2701" t="e">
        <f t="shared" si="0"/>
        <v>#DIV/0!</v>
      </c>
      <c r="F22" s="2701" t="e">
        <f t="shared" si="1"/>
        <v>#DIV/0!</v>
      </c>
      <c r="G22" s="2702"/>
      <c r="H22" s="2702"/>
      <c r="I22" s="2702"/>
      <c r="J22" s="2704"/>
    </row>
    <row r="23" spans="1:10" ht="16.5">
      <c r="A23" s="2700" t="s">
        <v>2141</v>
      </c>
      <c r="B23" s="2702"/>
      <c r="C23" s="2702"/>
      <c r="D23" s="2702"/>
      <c r="E23" s="2327" t="e">
        <f t="shared" si="0"/>
        <v>#DIV/0!</v>
      </c>
      <c r="F23" s="2327"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1571</v>
      </c>
      <c r="B1" s="1475"/>
      <c r="C1" s="1500" t="s">
        <v>1572</v>
      </c>
      <c r="D1" s="1501"/>
      <c r="E1" s="1500" t="s">
        <v>1573</v>
      </c>
      <c r="F1" s="1502"/>
      <c r="G1" s="287"/>
      <c r="H1" s="287"/>
      <c r="I1" s="287"/>
      <c r="J1" s="1637"/>
      <c r="K1" s="1637"/>
      <c r="L1" s="1637"/>
      <c r="M1" s="1637"/>
      <c r="N1" s="1637"/>
      <c r="O1" s="1637"/>
      <c r="P1" s="1637"/>
      <c r="Q1" s="1637"/>
      <c r="R1" s="1637"/>
      <c r="S1" s="1637"/>
      <c r="T1" s="1637"/>
      <c r="U1" s="1637"/>
      <c r="V1" s="1637"/>
    </row>
    <row r="2" spans="1:22" ht="21.75" customHeight="1" thickBot="1">
      <c r="A2" s="3668" t="str">
        <f>项目基本情况!K2</f>
        <v>出让国有建设用地使用权</v>
      </c>
      <c r="B2" s="3669"/>
      <c r="C2" s="3670"/>
      <c r="D2" s="3670"/>
      <c r="E2" s="3670"/>
      <c r="F2" s="3670"/>
      <c r="G2" s="3669"/>
      <c r="H2" s="3669"/>
      <c r="I2" s="3671"/>
      <c r="J2" s="1644"/>
      <c r="K2" s="1637"/>
      <c r="L2" s="1637"/>
      <c r="M2" s="1637"/>
      <c r="N2" s="1637"/>
      <c r="O2" s="1637"/>
      <c r="P2" s="1637"/>
      <c r="Q2" s="1637"/>
      <c r="R2" s="1637"/>
      <c r="S2" s="1637"/>
      <c r="T2" s="1637"/>
      <c r="U2" s="1637"/>
      <c r="V2" s="1637"/>
    </row>
    <row r="3" spans="1:22" ht="14.25">
      <c r="A3" s="3679" t="s">
        <v>264</v>
      </c>
      <c r="B3" s="3680"/>
      <c r="C3" s="3680"/>
      <c r="D3" s="3680"/>
      <c r="E3" s="3680"/>
      <c r="F3" s="3680"/>
      <c r="G3" s="3680"/>
      <c r="H3" s="3680"/>
      <c r="I3" s="3680"/>
      <c r="J3" s="1644"/>
      <c r="K3" s="1637"/>
      <c r="L3" s="1637"/>
      <c r="M3" s="1637"/>
      <c r="N3" s="1637"/>
      <c r="O3" s="1637"/>
      <c r="P3" s="1637"/>
      <c r="Q3" s="1637"/>
      <c r="R3" s="1637"/>
      <c r="S3" s="1637"/>
      <c r="T3" s="1637"/>
      <c r="U3" s="1637"/>
      <c r="V3" s="1637"/>
    </row>
    <row r="4" spans="1:22" ht="14.25">
      <c r="A4" s="238" t="s">
        <v>265</v>
      </c>
      <c r="B4" s="239" t="s">
        <v>266</v>
      </c>
      <c r="C4" s="240" t="s">
        <v>3353</v>
      </c>
      <c r="D4" s="240" t="s">
        <v>3354</v>
      </c>
      <c r="E4" s="3643" t="s">
        <v>267</v>
      </c>
      <c r="F4" s="3685"/>
      <c r="G4" s="3685"/>
      <c r="H4" s="3685"/>
      <c r="I4" s="3644"/>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672" t="s">
        <v>268</v>
      </c>
      <c r="B5" s="3673">
        <v>25</v>
      </c>
      <c r="C5" s="3681"/>
      <c r="D5" s="3684"/>
      <c r="E5" s="241" t="s">
        <v>269</v>
      </c>
      <c r="F5" s="242"/>
      <c r="G5" s="242"/>
      <c r="H5" s="242"/>
      <c r="I5" s="243"/>
      <c r="J5" s="1644"/>
      <c r="K5" s="1637"/>
      <c r="L5" s="1637"/>
      <c r="M5" s="1637"/>
      <c r="N5" s="1637"/>
      <c r="O5" s="1637"/>
      <c r="P5" s="1637"/>
      <c r="Q5" s="1637"/>
      <c r="R5" s="1637"/>
      <c r="S5" s="1637"/>
      <c r="T5" s="1637"/>
      <c r="U5" s="1637"/>
      <c r="V5" s="1637"/>
    </row>
    <row r="6" spans="1:22" ht="14.25">
      <c r="A6" s="3672"/>
      <c r="B6" s="3673"/>
      <c r="C6" s="3682"/>
      <c r="D6" s="3684"/>
      <c r="E6" s="241" t="s">
        <v>270</v>
      </c>
      <c r="F6" s="242"/>
      <c r="G6" s="242"/>
      <c r="H6" s="242"/>
      <c r="I6" s="243"/>
      <c r="J6" s="1644"/>
      <c r="K6" s="1637"/>
      <c r="L6" s="1637"/>
      <c r="M6" s="1637"/>
      <c r="N6" s="1637"/>
      <c r="O6" s="1637"/>
      <c r="P6" s="1637"/>
      <c r="Q6" s="1637"/>
      <c r="R6" s="1637"/>
      <c r="S6" s="1637"/>
      <c r="T6" s="1637"/>
      <c r="U6" s="1637"/>
      <c r="V6" s="1637"/>
    </row>
    <row r="7" spans="1:22" ht="14.25">
      <c r="A7" s="3672"/>
      <c r="B7" s="3673"/>
      <c r="C7" s="3683"/>
      <c r="D7" s="3684"/>
      <c r="E7" s="241" t="s">
        <v>271</v>
      </c>
      <c r="F7" s="242"/>
      <c r="G7" s="242"/>
      <c r="H7" s="242"/>
      <c r="I7" s="243"/>
      <c r="J7" s="1644"/>
      <c r="K7" s="1637"/>
      <c r="L7" s="1637"/>
      <c r="M7" s="1637"/>
      <c r="N7" s="1637"/>
      <c r="O7" s="1637"/>
      <c r="P7" s="1637"/>
      <c r="Q7" s="1637"/>
      <c r="R7" s="1637"/>
      <c r="S7" s="1637"/>
      <c r="T7" s="1637"/>
      <c r="U7" s="1637"/>
      <c r="V7" s="1637"/>
    </row>
    <row r="8" spans="1:22" ht="14.25">
      <c r="A8" s="3672" t="s">
        <v>272</v>
      </c>
      <c r="B8" s="3673">
        <v>15</v>
      </c>
      <c r="C8" s="3681"/>
      <c r="D8" s="3684"/>
      <c r="E8" s="241" t="s">
        <v>273</v>
      </c>
      <c r="F8" s="242"/>
      <c r="G8" s="242"/>
      <c r="H8" s="242"/>
      <c r="I8" s="243"/>
      <c r="J8" s="1644"/>
      <c r="K8" s="1637"/>
      <c r="L8" s="1637"/>
      <c r="M8" s="1637"/>
      <c r="N8" s="1637"/>
      <c r="O8" s="1637"/>
      <c r="P8" s="1637"/>
      <c r="Q8" s="1637"/>
      <c r="R8" s="1637"/>
      <c r="S8" s="1637"/>
      <c r="T8" s="1637"/>
      <c r="U8" s="1637"/>
      <c r="V8" s="1637"/>
    </row>
    <row r="9" spans="1:22" ht="14.25">
      <c r="A9" s="3672"/>
      <c r="B9" s="3673"/>
      <c r="C9" s="3683"/>
      <c r="D9" s="3684"/>
      <c r="E9" s="241" t="s">
        <v>274</v>
      </c>
      <c r="F9" s="242"/>
      <c r="G9" s="242"/>
      <c r="H9" s="242"/>
      <c r="I9" s="243"/>
      <c r="J9" s="1644"/>
      <c r="K9" s="1637"/>
      <c r="L9" s="1637"/>
      <c r="M9" s="1637"/>
      <c r="N9" s="1637"/>
      <c r="O9" s="1637"/>
      <c r="P9" s="1637"/>
      <c r="Q9" s="1637"/>
      <c r="R9" s="1637"/>
      <c r="S9" s="1637"/>
      <c r="T9" s="1637"/>
      <c r="U9" s="1637"/>
      <c r="V9" s="1637"/>
    </row>
    <row r="10" spans="1:22" ht="14.25">
      <c r="A10" s="3672" t="s">
        <v>275</v>
      </c>
      <c r="B10" s="3673">
        <v>15</v>
      </c>
      <c r="C10" s="3681"/>
      <c r="D10" s="3684"/>
      <c r="E10" s="241" t="s">
        <v>276</v>
      </c>
      <c r="F10" s="242"/>
      <c r="G10" s="242"/>
      <c r="H10" s="242"/>
      <c r="I10" s="243"/>
      <c r="J10" s="1644"/>
      <c r="K10" s="1637"/>
      <c r="L10" s="1637"/>
      <c r="M10" s="1637"/>
      <c r="N10" s="1637"/>
      <c r="O10" s="1637"/>
      <c r="P10" s="1637"/>
      <c r="Q10" s="1637"/>
      <c r="R10" s="1637"/>
      <c r="S10" s="1637"/>
      <c r="T10" s="1637"/>
      <c r="U10" s="1637"/>
      <c r="V10" s="1637"/>
    </row>
    <row r="11" spans="1:22" ht="14.25">
      <c r="A11" s="3672"/>
      <c r="B11" s="3673"/>
      <c r="C11" s="3683"/>
      <c r="D11" s="3684"/>
      <c r="E11" s="241" t="s">
        <v>277</v>
      </c>
      <c r="F11" s="242"/>
      <c r="G11" s="242"/>
      <c r="H11" s="242"/>
      <c r="I11" s="243"/>
      <c r="J11" s="1644"/>
      <c r="K11" s="1637"/>
      <c r="L11" s="1637"/>
      <c r="M11" s="1637"/>
      <c r="N11" s="1637"/>
      <c r="O11" s="1637"/>
      <c r="P11" s="1637"/>
      <c r="Q11" s="1637"/>
      <c r="R11" s="1637"/>
      <c r="S11" s="1637"/>
      <c r="T11" s="1637"/>
      <c r="U11" s="1637"/>
      <c r="V11" s="1637"/>
    </row>
    <row r="12" spans="1:22" ht="14.25">
      <c r="A12" s="3672" t="s">
        <v>278</v>
      </c>
      <c r="B12" s="3673">
        <v>15</v>
      </c>
      <c r="C12" s="3681"/>
      <c r="D12" s="3684"/>
      <c r="E12" s="241" t="s">
        <v>279</v>
      </c>
      <c r="F12" s="242"/>
      <c r="G12" s="242"/>
      <c r="H12" s="242"/>
      <c r="I12" s="243"/>
      <c r="J12" s="1644"/>
      <c r="K12" s="1637"/>
      <c r="L12" s="1637"/>
      <c r="M12" s="1637"/>
      <c r="N12" s="1637"/>
      <c r="O12" s="1637"/>
      <c r="P12" s="1637"/>
      <c r="Q12" s="1637"/>
      <c r="R12" s="1637"/>
      <c r="S12" s="1637"/>
      <c r="T12" s="1637"/>
      <c r="U12" s="1637"/>
      <c r="V12" s="1637"/>
    </row>
    <row r="13" spans="1:22" ht="14.25">
      <c r="A13" s="3672"/>
      <c r="B13" s="3673"/>
      <c r="C13" s="3683"/>
      <c r="D13" s="3684"/>
      <c r="E13" s="241" t="s">
        <v>280</v>
      </c>
      <c r="F13" s="242"/>
      <c r="G13" s="242"/>
      <c r="H13" s="242"/>
      <c r="I13" s="243"/>
      <c r="J13" s="1644"/>
      <c r="K13" s="1637"/>
      <c r="L13" s="1637"/>
      <c r="M13" s="1637"/>
      <c r="N13" s="1637"/>
      <c r="O13" s="1637"/>
      <c r="P13" s="1637"/>
      <c r="Q13" s="1637"/>
      <c r="R13" s="1637"/>
      <c r="S13" s="1637"/>
      <c r="T13" s="1637"/>
      <c r="U13" s="1637"/>
      <c r="V13" s="1637"/>
    </row>
    <row r="14" spans="1:22" ht="14.25">
      <c r="A14" s="3672" t="s">
        <v>281</v>
      </c>
      <c r="B14" s="3673">
        <v>30</v>
      </c>
      <c r="C14" s="3681">
        <v>100</v>
      </c>
      <c r="D14" s="3684">
        <f>100-C14</f>
        <v>0</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672"/>
      <c r="B15" s="3673"/>
      <c r="C15" s="3682"/>
      <c r="D15" s="3684"/>
      <c r="E15" s="241" t="s">
        <v>283</v>
      </c>
      <c r="F15" s="242"/>
      <c r="G15" s="242"/>
      <c r="H15" s="242"/>
      <c r="I15" s="243"/>
      <c r="J15" s="1644"/>
      <c r="K15" s="1637"/>
      <c r="L15" s="1637"/>
      <c r="M15" s="1637"/>
      <c r="N15" s="1637"/>
      <c r="O15" s="1637"/>
      <c r="P15" s="1637"/>
      <c r="Q15" s="1637"/>
      <c r="R15" s="1637"/>
      <c r="S15" s="1637"/>
      <c r="T15" s="1637"/>
      <c r="U15" s="1637"/>
      <c r="V15" s="1637"/>
    </row>
    <row r="16" spans="1:22" ht="14.25">
      <c r="A16" s="3672"/>
      <c r="B16" s="3673"/>
      <c r="C16" s="3683"/>
      <c r="D16" s="3684"/>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100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1</v>
      </c>
      <c r="D18" s="247">
        <f>1-C18</f>
        <v>0</v>
      </c>
      <c r="E18" s="3686" t="s">
        <v>2251</v>
      </c>
      <c r="F18" s="3687"/>
      <c r="G18" s="3687"/>
      <c r="H18" s="3687"/>
      <c r="I18" s="3687"/>
      <c r="J18" s="1637"/>
      <c r="K18" s="1637"/>
      <c r="L18" s="1637"/>
      <c r="M18" s="1637"/>
      <c r="N18" s="1637"/>
      <c r="O18" s="1637"/>
      <c r="P18" s="1637"/>
      <c r="Q18" s="1637"/>
      <c r="R18" s="1637"/>
      <c r="S18" s="1637"/>
      <c r="T18" s="1637"/>
      <c r="U18" s="1637"/>
      <c r="V18" s="1637"/>
    </row>
    <row r="19" spans="1:22" ht="15">
      <c r="A19" s="248" t="s">
        <v>287</v>
      </c>
      <c r="B19" s="249" t="s">
        <v>288</v>
      </c>
      <c r="C19" s="250">
        <f>ROUND(C20*'数据-基础表'!I13/(2000/3)/10000,0)</f>
        <v>802</v>
      </c>
      <c r="D19" s="251">
        <v>0</v>
      </c>
      <c r="E19" s="248" t="s">
        <v>289</v>
      </c>
      <c r="F19" s="249" t="s">
        <v>288</v>
      </c>
      <c r="G19" s="252">
        <f>ROUND(C19*$C$18+D19*$D$18,0)</f>
        <v>802</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'比较法-工业'!C46</f>
        <v>34858</v>
      </c>
      <c r="D20" s="256">
        <v>0</v>
      </c>
      <c r="E20" s="254"/>
      <c r="F20" s="102" t="s">
        <v>291</v>
      </c>
      <c r="G20" s="257">
        <f>ROUND(C20*$C$18+D20*$D$18,0)</f>
        <v>34858</v>
      </c>
      <c r="H20" s="3522" t="s">
        <v>3360</v>
      </c>
      <c r="I20" s="287"/>
      <c r="J20" s="1637"/>
      <c r="K20" s="1637"/>
      <c r="L20" s="1637"/>
      <c r="M20" s="1637"/>
      <c r="N20" s="1637"/>
      <c r="O20" s="1637"/>
      <c r="P20" s="1637"/>
      <c r="Q20" s="1637"/>
      <c r="R20" s="1637"/>
      <c r="S20" s="1637"/>
      <c r="T20" s="1637"/>
      <c r="U20" s="1637"/>
      <c r="V20" s="1637"/>
    </row>
    <row r="21" spans="1:22" ht="15" customHeight="1">
      <c r="A21" s="254"/>
      <c r="B21" s="106" t="s">
        <v>292</v>
      </c>
      <c r="C21" s="259">
        <f>C20</f>
        <v>34858</v>
      </c>
      <c r="D21" s="135">
        <v>0</v>
      </c>
      <c r="E21" s="254"/>
      <c r="F21" s="106" t="s">
        <v>292</v>
      </c>
      <c r="G21" s="260">
        <f>ROUND(C21*$C$18+D21*$D$18,0)</f>
        <v>34858</v>
      </c>
      <c r="H21" s="3522" t="s">
        <v>3360</v>
      </c>
      <c r="I21" s="287"/>
      <c r="J21" s="1637"/>
      <c r="K21" s="1637"/>
      <c r="L21" s="1637"/>
      <c r="M21" s="1637"/>
      <c r="N21" s="1637"/>
      <c r="O21" s="1637"/>
      <c r="P21" s="1637"/>
      <c r="Q21" s="1637"/>
      <c r="R21" s="1637"/>
      <c r="S21" s="1637"/>
      <c r="T21" s="1637"/>
      <c r="U21" s="1637"/>
      <c r="V21" s="1637"/>
    </row>
    <row r="22" spans="1:22" ht="15.75" thickBot="1">
      <c r="A22" s="117" t="s">
        <v>293</v>
      </c>
      <c r="B22" s="1061"/>
      <c r="C22" s="241"/>
      <c r="D22" s="261" t="e">
        <f>IF(C19&lt;D19,D19/C19-1,C19/D19-1)</f>
        <v>#DIV/0!</v>
      </c>
      <c r="E22" s="262"/>
      <c r="F22" s="263"/>
      <c r="G22" s="264"/>
      <c r="H22" s="265"/>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645" t="s">
        <v>294</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692"/>
      <c r="B25" s="1125" t="s">
        <v>295</v>
      </c>
      <c r="C25" s="268">
        <f>IF(B30=0,0,C30)</f>
        <v>0</v>
      </c>
      <c r="D25" s="269"/>
      <c r="E25" s="287"/>
      <c r="F25" s="287"/>
      <c r="G25" s="287"/>
      <c r="H25" s="287"/>
      <c r="I25" s="287"/>
      <c r="J25" s="1637"/>
      <c r="K25" s="1062" t="str">
        <f>项目基本情况!A17&amp;"国有建设用地使用权价格："&amp;O38&amp;"万元"</f>
        <v>出让国有建设用地使用权价格：802万元</v>
      </c>
      <c r="L25" s="1063"/>
      <c r="M25" s="1063"/>
      <c r="N25" s="1063"/>
      <c r="O25" s="1064"/>
      <c r="P25" s="1637"/>
      <c r="Q25" s="1637"/>
      <c r="R25" s="1637"/>
      <c r="S25" s="1637"/>
      <c r="T25" s="1637"/>
      <c r="U25" s="1637"/>
      <c r="V25" s="1637"/>
    </row>
    <row r="26" spans="1:22" ht="18">
      <c r="A26" s="270" t="s">
        <v>296</v>
      </c>
      <c r="B26" s="271" t="s">
        <v>297</v>
      </c>
      <c r="C26" s="271" t="s">
        <v>298</v>
      </c>
      <c r="D26" s="272" t="s">
        <v>299</v>
      </c>
      <c r="E26" s="287"/>
      <c r="F26" s="287"/>
      <c r="G26" s="287"/>
      <c r="H26" s="287"/>
      <c r="I26" s="287"/>
      <c r="J26" s="1637"/>
      <c r="K26" s="1065" t="str">
        <f>"大写金额：人民币"&amp;NUMBERSTRING(INT(O38*10000),2)&amp;"元整"</f>
        <v>大写金额：人民币捌佰零贰万元整</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str">
        <f>"单位面积地价："&amp;M38&amp;"元/平方米"</f>
        <v>单位面积地价：52元/平方米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"楼面地价："&amp;N38&amp;"元/平方米"</f>
        <v>楼面地价：52元/平方米</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300</v>
      </c>
      <c r="B30" s="285"/>
      <c r="C30" s="285"/>
      <c r="D30" s="286"/>
      <c r="E30" s="2540" t="s">
        <v>2252</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688" t="s">
        <v>2253</v>
      </c>
      <c r="B31" s="3688"/>
      <c r="C31" s="3688"/>
      <c r="D31" s="3688"/>
      <c r="E31" s="3688"/>
      <c r="F31" s="3688"/>
      <c r="G31" s="3688"/>
      <c r="H31" s="3688"/>
      <c r="I31" s="3688"/>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301</v>
      </c>
      <c r="B32" s="2541" t="s">
        <v>1219</v>
      </c>
      <c r="C32" s="246">
        <f>G19-C24</f>
        <v>802</v>
      </c>
      <c r="D32" s="2542" t="s">
        <v>1220</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304</v>
      </c>
      <c r="B33" s="1173" t="s">
        <v>1221</v>
      </c>
      <c r="C33" s="244">
        <f>ROUND(C32*10000/'数据-汇总表'!E3,0)</f>
        <v>52</v>
      </c>
      <c r="D33" s="1174" t="s">
        <v>1222</v>
      </c>
      <c r="E33" s="3645" t="s">
        <v>302</v>
      </c>
      <c r="F33" s="273" t="s">
        <v>303</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1223</v>
      </c>
      <c r="C34" s="244">
        <f>ROUND(C32*10000/'数据-汇总表'!D3,0)</f>
        <v>52</v>
      </c>
      <c r="D34" s="1174" t="s">
        <v>1222</v>
      </c>
      <c r="E34" s="3646"/>
      <c r="F34" s="118" t="s">
        <v>305</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f>ROUND(C32/('数据-汇总表'!D3/666.67),0)</f>
        <v>3</v>
      </c>
      <c r="D35" s="1177" t="s">
        <v>1224</v>
      </c>
      <c r="E35" s="3647"/>
      <c r="F35" s="278" t="s">
        <v>306</v>
      </c>
      <c r="G35" s="897"/>
      <c r="H35" s="896" t="s">
        <v>307</v>
      </c>
      <c r="I35" s="287"/>
      <c r="J35" s="1637"/>
      <c r="K35" s="3651" t="s">
        <v>314</v>
      </c>
      <c r="L35" s="3651" t="s">
        <v>315</v>
      </c>
      <c r="M35" s="1071" t="s">
        <v>316</v>
      </c>
      <c r="N35" s="3651" t="s">
        <v>317</v>
      </c>
      <c r="O35" s="3651" t="s">
        <v>318</v>
      </c>
      <c r="P35" s="1637"/>
      <c r="V35" s="1637"/>
    </row>
    <row r="36" spans="1:22" ht="16.5" customHeight="1">
      <c r="A36" s="280" t="s">
        <v>308</v>
      </c>
      <c r="B36" s="281" t="s">
        <v>297</v>
      </c>
      <c r="C36" s="282" t="s">
        <v>309</v>
      </c>
      <c r="D36" s="282" t="s">
        <v>310</v>
      </c>
      <c r="E36" s="283" t="s">
        <v>311</v>
      </c>
      <c r="F36" s="287"/>
      <c r="G36" s="287"/>
      <c r="H36" s="287"/>
      <c r="I36" s="287"/>
      <c r="J36" s="1645"/>
      <c r="K36" s="3652"/>
      <c r="L36" s="3652"/>
      <c r="M36" s="1073" t="s">
        <v>319</v>
      </c>
      <c r="N36" s="3652"/>
      <c r="O36" s="3652"/>
      <c r="P36" s="1637"/>
      <c r="V36" s="1637"/>
    </row>
    <row r="37" spans="1:22" ht="16.5" customHeight="1" thickBot="1">
      <c r="A37" s="1067" t="s">
        <v>312</v>
      </c>
      <c r="B37" s="270"/>
      <c r="C37" s="271"/>
      <c r="D37" s="271"/>
      <c r="E37" s="272"/>
      <c r="F37" s="287"/>
      <c r="G37" s="287"/>
      <c r="H37" s="287"/>
      <c r="I37" s="287"/>
      <c r="J37" s="1645"/>
      <c r="K37" s="3653"/>
      <c r="L37" s="3653"/>
      <c r="M37" s="1074"/>
      <c r="N37" s="3653"/>
      <c r="O37" s="3653"/>
      <c r="P37" s="1637"/>
      <c r="V37" s="1637"/>
    </row>
    <row r="38" spans="1:22" ht="16.5" customHeight="1" thickBot="1">
      <c r="A38" s="1067" t="s">
        <v>313</v>
      </c>
      <c r="B38" s="270"/>
      <c r="C38" s="271"/>
      <c r="D38" s="271"/>
      <c r="E38" s="272"/>
      <c r="F38" s="287"/>
      <c r="G38" s="287"/>
      <c r="H38" s="287"/>
      <c r="I38" s="287"/>
      <c r="J38" s="1645"/>
      <c r="K38" s="1075">
        <f>'数据-汇总表'!D3</f>
        <v>153333.32999999999</v>
      </c>
      <c r="L38" s="1076">
        <f>'数据-汇总表'!E3</f>
        <v>153333.32999999999</v>
      </c>
      <c r="M38" s="1076">
        <f>C34</f>
        <v>52</v>
      </c>
      <c r="N38" s="1076">
        <f>C33</f>
        <v>52</v>
      </c>
      <c r="O38" s="1077">
        <f>C32</f>
        <v>802</v>
      </c>
      <c r="P38" s="1637"/>
      <c r="V38" s="1637"/>
    </row>
    <row r="39" spans="1:22" ht="16.5" customHeight="1" thickBot="1">
      <c r="A39" s="1072"/>
      <c r="B39" s="284"/>
      <c r="C39" s="285"/>
      <c r="D39" s="285"/>
      <c r="E39" s="286"/>
      <c r="F39" s="287"/>
      <c r="G39" s="287"/>
      <c r="H39" s="287"/>
      <c r="I39" s="287"/>
      <c r="J39" s="1645"/>
      <c r="K39" s="3664" t="str">
        <f>MID(A44,3,LEN(A44)-2)</f>
        <v/>
      </c>
      <c r="L39" s="3665"/>
      <c r="M39" s="3665"/>
      <c r="N39" s="3666"/>
      <c r="O39" s="1179" t="str">
        <f>C44</f>
        <v>——</v>
      </c>
      <c r="P39" s="1637"/>
      <c r="V39" s="1637"/>
    </row>
    <row r="40" spans="1:22" ht="19.5" thickBot="1">
      <c r="A40" s="95" t="s">
        <v>808</v>
      </c>
      <c r="B40" s="287"/>
      <c r="C40" s="287"/>
      <c r="D40" s="287"/>
      <c r="E40" s="287"/>
      <c r="F40" s="287"/>
      <c r="G40" s="287"/>
      <c r="H40" s="287"/>
      <c r="I40" s="287"/>
      <c r="J40" s="1645"/>
      <c r="K40" s="3664" t="str">
        <f>MID(A45,3,LEN(A45)-2)</f>
        <v/>
      </c>
      <c r="L40" s="3665"/>
      <c r="M40" s="3665"/>
      <c r="N40" s="3666"/>
      <c r="O40" s="1179" t="str">
        <f>C45</f>
        <v>——</v>
      </c>
      <c r="P40" s="1637"/>
      <c r="V40" s="1637"/>
    </row>
    <row r="41" spans="1:22" ht="16.5" thickBot="1">
      <c r="A41" s="288" t="s">
        <v>320</v>
      </c>
      <c r="B41" s="289"/>
      <c r="C41" s="290" t="s">
        <v>321</v>
      </c>
      <c r="D41" s="291" t="s">
        <v>322</v>
      </c>
      <c r="E41" s="291" t="s">
        <v>323</v>
      </c>
      <c r="F41" s="292" t="s">
        <v>324</v>
      </c>
      <c r="G41" s="287"/>
      <c r="H41" s="287"/>
      <c r="I41" s="287"/>
      <c r="J41" s="1645"/>
      <c r="K41" s="3664" t="str">
        <f>MID(A46,3,LEN(A46)-2)</f>
        <v/>
      </c>
      <c r="L41" s="3665"/>
      <c r="M41" s="3665"/>
      <c r="N41" s="3666"/>
      <c r="O41" s="1179" t="str">
        <f>C46</f>
        <v>——</v>
      </c>
      <c r="P41" s="1637"/>
      <c r="V41" s="1637"/>
    </row>
    <row r="42" spans="1:22" ht="29.25">
      <c r="A42" s="3693" t="s">
        <v>1583</v>
      </c>
      <c r="B42" s="3694"/>
      <c r="C42" s="244">
        <f>C32</f>
        <v>802</v>
      </c>
      <c r="D42" s="293">
        <f>C33</f>
        <v>52</v>
      </c>
      <c r="E42" s="293">
        <f>C34</f>
        <v>52</v>
      </c>
      <c r="F42" s="294">
        <f>C35</f>
        <v>3</v>
      </c>
      <c r="G42" s="287"/>
      <c r="H42" s="287"/>
      <c r="I42" s="295"/>
      <c r="J42" s="1645"/>
      <c r="K42" s="1078" t="s">
        <v>325</v>
      </c>
      <c r="L42" s="1661" t="s">
        <v>326</v>
      </c>
      <c r="M42" s="1079" t="s">
        <v>327</v>
      </c>
      <c r="N42" s="1662" t="s">
        <v>328</v>
      </c>
      <c r="O42" s="1663" t="s">
        <v>329</v>
      </c>
      <c r="P42" s="1637"/>
      <c r="V42" s="1637"/>
    </row>
    <row r="43" spans="1:22" ht="18">
      <c r="A43" s="3703" t="s">
        <v>2010</v>
      </c>
      <c r="B43" s="3704"/>
      <c r="C43" s="244">
        <f>IF(H33="正常操作",G33+G34+G35,G34+G35)</f>
        <v>0</v>
      </c>
      <c r="D43" s="293" t="s">
        <v>17</v>
      </c>
      <c r="E43" s="293" t="s">
        <v>18</v>
      </c>
      <c r="F43" s="294" t="s">
        <v>18</v>
      </c>
      <c r="G43" s="2172" t="s">
        <v>875</v>
      </c>
      <c r="H43" s="287"/>
      <c r="I43" s="295"/>
      <c r="J43" s="1645"/>
      <c r="K43" s="1080" t="str">
        <f>C4</f>
        <v>比较法-工业</v>
      </c>
      <c r="L43" s="1081">
        <f>IF(L42="估价结果/万元",C19,C20)</f>
        <v>802</v>
      </c>
      <c r="M43" s="1082">
        <f>C18</f>
        <v>1</v>
      </c>
      <c r="N43" s="1083">
        <f>IF(N42="测算结果/万元",G19,G20)</f>
        <v>802</v>
      </c>
      <c r="O43" s="1084">
        <f>IF(O42="最终结果/万元",C32,C33)</f>
        <v>802</v>
      </c>
      <c r="P43" s="1637"/>
      <c r="V43" s="1637"/>
    </row>
    <row r="44" spans="1:22" ht="18.75" thickBot="1">
      <c r="A44" s="3693" t="str">
        <f>IF(OR(项目基本情况!E8="抵押价格",项目基本情况!E8="已注销及未注销"),"3.抵押价格","——")</f>
        <v>——</v>
      </c>
      <c r="B44" s="3694"/>
      <c r="C44" s="244" t="str">
        <f>IF(A44="——","——",C42-C43)</f>
        <v>——</v>
      </c>
      <c r="D44" s="293" t="e">
        <f>ROUND(C44*10000/'数据-汇总表'!E3,0)</f>
        <v>#VALUE!</v>
      </c>
      <c r="E44" s="293" t="e">
        <f>ROUND(C44*10000/'数据-汇总表'!D3,0)</f>
        <v>#VALUE!</v>
      </c>
      <c r="F44" s="294" t="e">
        <f>ROUND(C44/('数据-汇总表'!D3/666.67),0)</f>
        <v>#VALUE!</v>
      </c>
      <c r="G44" s="287"/>
      <c r="H44" s="287"/>
      <c r="I44" s="295"/>
      <c r="J44" s="1645"/>
      <c r="K44" s="1085" t="str">
        <f>D4</f>
        <v>基准地价</v>
      </c>
      <c r="L44" s="1086">
        <f>IF(L42="估价结果/万元",D19,D20)</f>
        <v>0</v>
      </c>
      <c r="M44" s="1087">
        <f>D18</f>
        <v>0</v>
      </c>
      <c r="N44" s="1088"/>
      <c r="O44" s="1089"/>
      <c r="P44" s="1637"/>
      <c r="V44" s="1637"/>
    </row>
    <row r="45" spans="1:22" ht="15">
      <c r="A45" s="3698" t="str">
        <f>IF(项目基本情况!E8="已注销及未注销","4.抵押担保权已注销时的抵押价格",IF(项目基本情况!E8="已注销","3.抵押担保权已注销时的抵押价格","——"))</f>
        <v>——</v>
      </c>
      <c r="B45" s="3699"/>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695" t="str">
        <f>IF(项目基本情况!E9="抵押净值",IF(A45="——","4.抵押净值","5.抵押净值"),"——")</f>
        <v>——</v>
      </c>
      <c r="B46" s="3696"/>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330</v>
      </c>
      <c r="B47" s="1090"/>
      <c r="C47" s="298" t="s">
        <v>331</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332</v>
      </c>
      <c r="G53" s="311"/>
      <c r="H53" s="311"/>
      <c r="I53" s="312" t="s">
        <v>333</v>
      </c>
      <c r="J53" s="1646"/>
      <c r="K53" s="1637"/>
      <c r="L53" s="1637"/>
      <c r="M53" s="1637"/>
      <c r="N53" s="1637"/>
      <c r="O53" s="1637"/>
      <c r="P53" s="1637"/>
      <c r="Q53" s="1637"/>
      <c r="R53" s="1637"/>
      <c r="S53" s="1637"/>
      <c r="T53" s="1637"/>
      <c r="U53" s="1637"/>
      <c r="V53" s="1637"/>
    </row>
    <row r="54" spans="1:22" ht="12.75">
      <c r="A54" s="237"/>
      <c r="B54" s="313" t="s">
        <v>334</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335</v>
      </c>
      <c r="J56" s="1646"/>
      <c r="K56" s="1637"/>
      <c r="L56" s="1637"/>
      <c r="M56" s="1637"/>
      <c r="N56" s="1637"/>
      <c r="O56" s="1637"/>
      <c r="P56" s="1637"/>
      <c r="Q56" s="1637"/>
      <c r="R56" s="1637"/>
      <c r="S56" s="1637"/>
      <c r="T56" s="1637"/>
      <c r="U56" s="1637"/>
      <c r="V56" s="1637"/>
    </row>
    <row r="57" spans="1:22" ht="12.75">
      <c r="A57" s="237"/>
      <c r="B57" s="313" t="s">
        <v>336</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335</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337</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656" t="s">
        <v>338</v>
      </c>
      <c r="B63" s="3657"/>
      <c r="C63" s="3658"/>
      <c r="D63" s="315">
        <f>ROUND(C42*F63,0)</f>
        <v>802</v>
      </c>
      <c r="E63" s="279" t="s">
        <v>339</v>
      </c>
      <c r="F63" s="316">
        <v>1</v>
      </c>
      <c r="G63" s="317" t="s">
        <v>340</v>
      </c>
      <c r="H63" s="287"/>
      <c r="I63" s="287"/>
      <c r="J63" s="1637"/>
      <c r="K63" s="1637"/>
      <c r="L63" s="1637"/>
      <c r="M63" s="1637"/>
      <c r="N63" s="1637"/>
      <c r="O63" s="1637"/>
      <c r="P63" s="1637"/>
      <c r="Q63" s="1637"/>
      <c r="R63" s="1637"/>
      <c r="S63" s="1637"/>
      <c r="T63" s="1637"/>
      <c r="U63" s="1637"/>
      <c r="V63" s="1637"/>
    </row>
    <row r="64" spans="1:22" ht="14.25" customHeight="1">
      <c r="A64" s="3700" t="s">
        <v>342</v>
      </c>
      <c r="B64" s="3701"/>
      <c r="C64" s="3701"/>
      <c r="D64" s="3701"/>
      <c r="E64" s="3701"/>
      <c r="F64" s="3701"/>
      <c r="G64" s="3702"/>
      <c r="H64" s="1094"/>
      <c r="I64" s="867"/>
      <c r="J64" s="1639"/>
      <c r="K64" s="1302" t="s">
        <v>341</v>
      </c>
      <c r="L64" s="9"/>
      <c r="M64" s="9"/>
      <c r="N64" s="9"/>
      <c r="O64" s="9"/>
      <c r="P64" s="287"/>
      <c r="Q64" s="1637"/>
      <c r="R64" s="1637"/>
      <c r="S64" s="1637"/>
      <c r="T64" s="1637"/>
      <c r="U64" s="1637"/>
      <c r="V64" s="1637"/>
    </row>
    <row r="65" spans="1:22" ht="12" customHeight="1">
      <c r="A65" s="318" t="s">
        <v>344</v>
      </c>
      <c r="B65" s="319"/>
      <c r="C65" s="320"/>
      <c r="D65" s="321" t="s">
        <v>345</v>
      </c>
      <c r="E65" s="49" t="s">
        <v>346</v>
      </c>
      <c r="F65" s="322" t="s">
        <v>347</v>
      </c>
      <c r="G65" s="323" t="s">
        <v>348</v>
      </c>
      <c r="H65" s="1094"/>
      <c r="I65" s="867"/>
      <c r="J65" s="1639"/>
      <c r="K65" s="1095"/>
      <c r="L65" s="1096"/>
      <c r="M65" s="1096"/>
      <c r="N65" s="1126" t="s">
        <v>343</v>
      </c>
      <c r="O65" s="1127"/>
      <c r="P65" s="1128"/>
      <c r="Q65" s="1637"/>
      <c r="R65" s="1637"/>
      <c r="S65" s="1637"/>
      <c r="T65" s="1637"/>
      <c r="U65" s="1637"/>
      <c r="V65" s="1637"/>
    </row>
    <row r="66" spans="1:22" ht="25.5">
      <c r="A66" s="3697" t="s">
        <v>350</v>
      </c>
      <c r="B66" s="3663"/>
      <c r="C66" s="3663"/>
      <c r="D66" s="241" t="b">
        <f>IF(H66="情况1",0,IF(H66="情况2",D70,IF(H66="情况3",D71,IF(H66="情况4",D72))))</f>
        <v>0</v>
      </c>
      <c r="E66" s="907" t="str">
        <f>IF(H66="情况4","(销售额-原购置价)×税（费）率","销售额×税（费）率")</f>
        <v>销售额×税（费）率</v>
      </c>
      <c r="F66" s="324">
        <f>IF(H66="情况1","免征",'数据-取费表'!B41)</f>
        <v>0</v>
      </c>
      <c r="G66" s="325" t="s">
        <v>351</v>
      </c>
      <c r="H66" s="174"/>
      <c r="I66" s="1094"/>
      <c r="J66" s="1649"/>
      <c r="K66" s="1097">
        <v>1</v>
      </c>
      <c r="L66" s="3624" t="s">
        <v>349</v>
      </c>
      <c r="M66" s="3625"/>
      <c r="N66" s="1974"/>
      <c r="O66" s="1975"/>
      <c r="P66" s="1976"/>
      <c r="Q66" s="1637"/>
      <c r="R66" s="1637"/>
      <c r="S66" s="1637"/>
      <c r="T66" s="1637"/>
      <c r="U66" s="1637"/>
      <c r="V66" s="1637"/>
    </row>
    <row r="67" spans="1:22" ht="25.5" customHeight="1">
      <c r="A67" s="326" t="s">
        <v>353</v>
      </c>
      <c r="B67" s="3675" t="s">
        <v>354</v>
      </c>
      <c r="C67" s="3675"/>
      <c r="D67" s="327">
        <v>0</v>
      </c>
      <c r="E67" s="37" t="s">
        <v>355</v>
      </c>
      <c r="F67" s="58" t="s">
        <v>15</v>
      </c>
      <c r="G67" s="3659"/>
      <c r="H67" s="2543" t="s">
        <v>2254</v>
      </c>
      <c r="I67" s="2545"/>
      <c r="J67" s="1650"/>
      <c r="K67" s="1633">
        <v>2</v>
      </c>
      <c r="L67" s="3629" t="s">
        <v>352</v>
      </c>
      <c r="M67" s="3629"/>
      <c r="N67" s="1129">
        <f>'数据-取费表'!B2</f>
        <v>41863</v>
      </c>
      <c r="O67" s="1129"/>
      <c r="P67" s="1129"/>
      <c r="Q67" s="1637"/>
      <c r="R67" s="1637"/>
      <c r="S67" s="1637"/>
      <c r="T67" s="1637"/>
      <c r="U67" s="1637"/>
      <c r="V67" s="1637"/>
    </row>
    <row r="68" spans="1:22" ht="25.5" customHeight="1">
      <c r="A68" s="328"/>
      <c r="B68" s="3675" t="s">
        <v>357</v>
      </c>
      <c r="C68" s="3675"/>
      <c r="D68" s="329"/>
      <c r="E68" s="73"/>
      <c r="F68" s="330"/>
      <c r="G68" s="3660"/>
      <c r="H68" s="2544" t="s">
        <v>2255</v>
      </c>
      <c r="I68" s="2545"/>
      <c r="J68" s="1650"/>
      <c r="K68" s="1633">
        <v>3</v>
      </c>
      <c r="L68" s="3629" t="s">
        <v>356</v>
      </c>
      <c r="M68" s="3629"/>
      <c r="N68" s="1099">
        <f>C42</f>
        <v>802</v>
      </c>
      <c r="O68" s="1099"/>
      <c r="P68" s="1099"/>
      <c r="Q68" s="1637"/>
      <c r="R68" s="1637"/>
      <c r="S68" s="1637"/>
      <c r="T68" s="1637"/>
      <c r="U68" s="1637"/>
      <c r="V68" s="1637"/>
    </row>
    <row r="69" spans="1:22" ht="23.45" customHeight="1">
      <c r="A69" s="331"/>
      <c r="B69" s="3675" t="s">
        <v>358</v>
      </c>
      <c r="C69" s="3675"/>
      <c r="D69" s="332"/>
      <c r="E69" s="69"/>
      <c r="F69" s="330"/>
      <c r="G69" s="3661"/>
      <c r="H69" s="2544" t="s">
        <v>2256</v>
      </c>
      <c r="I69" s="2545"/>
      <c r="J69" s="1650"/>
      <c r="K69" s="1100">
        <v>4</v>
      </c>
      <c r="L69" s="3630" t="s">
        <v>2155</v>
      </c>
      <c r="M69" s="3631"/>
      <c r="N69" s="1101" t="str">
        <f>C44</f>
        <v>——</v>
      </c>
      <c r="O69" s="1101"/>
      <c r="P69" s="1101"/>
      <c r="Q69" s="1637"/>
      <c r="R69" s="1637"/>
      <c r="S69" s="1637"/>
      <c r="T69" s="1637"/>
      <c r="U69" s="1637"/>
      <c r="V69" s="1637"/>
    </row>
    <row r="70" spans="1:22" ht="24" customHeight="1">
      <c r="A70" s="333" t="s">
        <v>359</v>
      </c>
      <c r="B70" s="3675" t="s">
        <v>360</v>
      </c>
      <c r="C70" s="3675"/>
      <c r="D70" s="332">
        <f>ROUND(D63*'数据-取费表'!B41/(1+'数据-取费表'!C42),0)</f>
        <v>0</v>
      </c>
      <c r="E70" s="14" t="s">
        <v>361</v>
      </c>
      <c r="F70" s="334">
        <f>'数据-取费表'!B41</f>
        <v>0</v>
      </c>
      <c r="G70" s="335"/>
      <c r="H70" s="287"/>
      <c r="I70" s="1098"/>
      <c r="J70" s="1650"/>
      <c r="K70" s="2334"/>
      <c r="L70" s="2335"/>
      <c r="M70" s="2335"/>
      <c r="N70" s="2336" t="s">
        <v>2159</v>
      </c>
      <c r="O70" s="2335"/>
      <c r="P70" s="2337"/>
      <c r="Q70" s="1637"/>
      <c r="R70" s="1637"/>
      <c r="S70" s="1637"/>
      <c r="T70" s="1637"/>
      <c r="U70" s="1637"/>
      <c r="V70" s="1637"/>
    </row>
    <row r="71" spans="1:22" ht="12" customHeight="1">
      <c r="A71" s="333" t="s">
        <v>367</v>
      </c>
      <c r="B71" s="3674" t="s">
        <v>2279</v>
      </c>
      <c r="C71" s="3691"/>
      <c r="D71" s="332">
        <f>ROUND(D63*'数据-取费表'!B41/(1+'数据-取费表'!C42),0)</f>
        <v>0</v>
      </c>
      <c r="E71" s="14" t="s">
        <v>361</v>
      </c>
      <c r="F71" s="334">
        <f>'数据-取费表'!B41</f>
        <v>0</v>
      </c>
      <c r="G71" s="335"/>
      <c r="H71" s="287"/>
      <c r="I71" s="1098"/>
      <c r="J71" s="1650"/>
      <c r="K71" s="2333" t="s">
        <v>362</v>
      </c>
      <c r="L71" s="3632" t="s">
        <v>363</v>
      </c>
      <c r="M71" s="3632"/>
      <c r="N71" s="2333" t="s">
        <v>364</v>
      </c>
      <c r="O71" s="2333" t="s">
        <v>365</v>
      </c>
      <c r="P71" s="2333" t="s">
        <v>366</v>
      </c>
      <c r="Q71" s="1637"/>
      <c r="R71" s="1637"/>
      <c r="S71" s="1637"/>
      <c r="T71" s="1637"/>
      <c r="U71" s="1637"/>
      <c r="V71" s="1637"/>
    </row>
    <row r="72" spans="1:22" ht="12" customHeight="1">
      <c r="A72" s="333" t="s">
        <v>369</v>
      </c>
      <c r="B72" s="3674" t="s">
        <v>2280</v>
      </c>
      <c r="C72" s="3691"/>
      <c r="D72" s="332">
        <f>C86</f>
        <v>0</v>
      </c>
      <c r="E72" s="69" t="s">
        <v>370</v>
      </c>
      <c r="F72" s="334">
        <f>'数据-取费表'!B41</f>
        <v>0</v>
      </c>
      <c r="G72" s="335"/>
      <c r="H72" s="1104"/>
      <c r="I72" s="1098"/>
      <c r="J72" s="1650"/>
      <c r="K72" s="1633">
        <v>1</v>
      </c>
      <c r="L72" s="3628" t="s">
        <v>368</v>
      </c>
      <c r="M72" s="3628"/>
      <c r="N72" s="1102" t="b">
        <f>D66</f>
        <v>0</v>
      </c>
      <c r="O72" s="1540" t="str">
        <f>E66</f>
        <v>销售额×税（费）率</v>
      </c>
      <c r="P72" s="1103">
        <f>F66</f>
        <v>0</v>
      </c>
      <c r="Q72" s="1637"/>
      <c r="R72" s="1637"/>
      <c r="S72" s="1637"/>
      <c r="T72" s="1637"/>
      <c r="U72" s="1637"/>
      <c r="V72" s="1637"/>
    </row>
    <row r="73" spans="1:22" ht="24" customHeight="1">
      <c r="A73" s="3662" t="s">
        <v>372</v>
      </c>
      <c r="B73" s="3663"/>
      <c r="C73" s="3663"/>
      <c r="D73" s="336">
        <f>IF(H73="个人住宅",0,ROUND(D63*I73,0))</f>
        <v>0</v>
      </c>
      <c r="E73" s="14" t="s">
        <v>373</v>
      </c>
      <c r="F73" s="334" t="str">
        <f>IF(H73="正常",I73,"免征")</f>
        <v>免征</v>
      </c>
      <c r="G73" s="335"/>
      <c r="H73" s="174"/>
      <c r="I73" s="334">
        <f>'数据-取费表'!B49</f>
        <v>0</v>
      </c>
      <c r="J73" s="1650"/>
      <c r="K73" s="1633">
        <v>2</v>
      </c>
      <c r="L73" s="3628" t="s">
        <v>371</v>
      </c>
      <c r="M73" s="3628"/>
      <c r="N73" s="1102">
        <f t="shared" ref="N73:P74" si="0">D73</f>
        <v>0</v>
      </c>
      <c r="O73" s="1540" t="str">
        <f t="shared" si="0"/>
        <v>销售额×税（费）率</v>
      </c>
      <c r="P73" s="1103" t="str">
        <f t="shared" si="0"/>
        <v>免征</v>
      </c>
      <c r="Q73" s="1637"/>
      <c r="R73" s="1637"/>
      <c r="S73" s="1637"/>
      <c r="T73" s="1637"/>
      <c r="U73" s="1637"/>
      <c r="V73" s="1637"/>
    </row>
    <row r="74" spans="1:22" ht="24.75">
      <c r="A74" s="3662" t="s">
        <v>375</v>
      </c>
      <c r="B74" s="3663"/>
      <c r="C74" s="3663"/>
      <c r="D74" s="336" t="e">
        <f>IF(H74="个人住宅",D75,D76)</f>
        <v>#DIV/0!</v>
      </c>
      <c r="E74" s="14" t="s">
        <v>376</v>
      </c>
      <c r="F74" s="334" t="str">
        <f>IF(H74="正常",F76,"免征")</f>
        <v>免征</v>
      </c>
      <c r="G74" s="898" t="s">
        <v>377</v>
      </c>
      <c r="H74" s="337"/>
      <c r="I74" s="38"/>
      <c r="J74" s="1650"/>
      <c r="K74" s="1633">
        <v>3</v>
      </c>
      <c r="L74" s="3628" t="s">
        <v>374</v>
      </c>
      <c r="M74" s="3628"/>
      <c r="N74" s="1102" t="e">
        <f t="shared" si="0"/>
        <v>#DIV/0!</v>
      </c>
      <c r="O74" s="1540" t="str">
        <f t="shared" si="0"/>
        <v>增值额×税（费）率</v>
      </c>
      <c r="P74" s="1105" t="str">
        <f t="shared" si="0"/>
        <v>免征</v>
      </c>
      <c r="Q74" s="1637"/>
      <c r="R74" s="1637"/>
      <c r="S74" s="1637"/>
      <c r="T74" s="1637"/>
      <c r="U74" s="1637"/>
      <c r="V74" s="1637"/>
    </row>
    <row r="75" spans="1:22" ht="12.75">
      <c r="A75" s="333" t="s">
        <v>378</v>
      </c>
      <c r="B75" s="3643" t="s">
        <v>379</v>
      </c>
      <c r="C75" s="3644"/>
      <c r="D75" s="338">
        <v>0</v>
      </c>
      <c r="E75" s="37" t="s">
        <v>380</v>
      </c>
      <c r="F75" s="339"/>
      <c r="G75" s="335"/>
      <c r="H75" s="38"/>
      <c r="I75" s="38"/>
      <c r="J75" s="1650"/>
      <c r="K75" s="1633">
        <f>IF(H77="非个人房产","",4)</f>
        <v>4</v>
      </c>
      <c r="L75" s="3628" t="str">
        <f>IF(H77="非个人房产","——","个人所得税")</f>
        <v>个人所得税</v>
      </c>
      <c r="M75" s="3628"/>
      <c r="N75" s="1106">
        <f>D77</f>
        <v>0</v>
      </c>
      <c r="O75" s="1541" t="str">
        <f>E77</f>
        <v>差额计税</v>
      </c>
      <c r="P75" s="1107">
        <f>F77</f>
        <v>0.01</v>
      </c>
      <c r="Q75" s="1637"/>
      <c r="R75" s="1637"/>
      <c r="S75" s="1637"/>
      <c r="T75" s="1637"/>
      <c r="U75" s="1637"/>
      <c r="V75" s="1637"/>
    </row>
    <row r="76" spans="1:22" ht="24.75">
      <c r="A76" s="333" t="s">
        <v>359</v>
      </c>
      <c r="B76" s="3643" t="s">
        <v>382</v>
      </c>
      <c r="C76" s="3685"/>
      <c r="D76" s="336" t="e">
        <f>IF(H76="转让取得",C99,C115)</f>
        <v>#DIV/0!</v>
      </c>
      <c r="E76" s="14" t="s">
        <v>383</v>
      </c>
      <c r="F76" s="49" t="s">
        <v>15</v>
      </c>
      <c r="G76" s="335"/>
      <c r="H76" s="337"/>
      <c r="I76" s="38"/>
      <c r="J76" s="1650"/>
      <c r="K76" s="1633" t="str">
        <f>IF(项目基本情况!K6="上海银行",IF(K75="",4,K75+1),"")</f>
        <v/>
      </c>
      <c r="L76" s="3639" t="str">
        <f>IF(项目基本情况!K6="上海银行","其他处置费用","")</f>
        <v/>
      </c>
      <c r="M76" s="3640"/>
      <c r="N76" s="1102" t="str">
        <f>IF(项目基本情况!K6="上海银行",N89,"")</f>
        <v/>
      </c>
      <c r="O76" s="3641" t="str">
        <f>IF(项目基本情况!K6="上海银行","包含处置中涉及的律师、诉讼、拍卖、评估等费用","")</f>
        <v/>
      </c>
      <c r="P76" s="3642"/>
      <c r="Q76" s="1637"/>
      <c r="R76" s="1637"/>
      <c r="S76" s="1637"/>
      <c r="T76" s="1637"/>
      <c r="U76" s="1637"/>
      <c r="V76" s="1637"/>
    </row>
    <row r="77" spans="1:22" ht="24.75" thickBot="1">
      <c r="A77" s="3654" t="s">
        <v>385</v>
      </c>
      <c r="B77" s="3655"/>
      <c r="C77" s="3655"/>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377</v>
      </c>
      <c r="H77" s="2547"/>
      <c r="I77" s="2546" t="s">
        <v>2257</v>
      </c>
      <c r="J77" s="1650"/>
      <c r="K77" s="3650">
        <f>IF(AND(K75="",K76=""),4,IF(项目基本情况!K6="上海银行",K76+1,K75+1))</f>
        <v>5</v>
      </c>
      <c r="L77" s="3628" t="s">
        <v>2156</v>
      </c>
      <c r="M77" s="2332" t="s">
        <v>381</v>
      </c>
      <c r="N77" s="1108"/>
      <c r="O77" s="1109">
        <f>SUMIF(N72:N76,"&lt;9e307")</f>
        <v>0</v>
      </c>
      <c r="P77" s="1110"/>
      <c r="Q77" s="2330" t="e">
        <f>O77/N69</f>
        <v>#VALUE!</v>
      </c>
      <c r="R77" s="1637"/>
      <c r="S77" s="1637"/>
      <c r="T77" s="1637"/>
      <c r="U77" s="1637"/>
      <c r="V77" s="1637"/>
    </row>
    <row r="78" spans="1:22" ht="12" customHeight="1">
      <c r="A78" s="1111"/>
      <c r="B78" s="287"/>
      <c r="C78" s="287"/>
      <c r="D78" s="287"/>
      <c r="E78" s="38"/>
      <c r="F78" s="38"/>
      <c r="G78" s="38"/>
      <c r="H78" s="867"/>
      <c r="I78" s="287"/>
      <c r="J78" s="1650"/>
      <c r="K78" s="3650"/>
      <c r="L78" s="3628"/>
      <c r="M78" s="2332" t="s">
        <v>384</v>
      </c>
      <c r="N78" s="1108"/>
      <c r="O78" s="1109" t="str">
        <f>NUMBERSTRING(INT(O77*10000),2)&amp;"元整"</f>
        <v>零元整</v>
      </c>
      <c r="P78" s="1110"/>
      <c r="Q78" s="1637"/>
      <c r="R78" s="1637"/>
      <c r="S78" s="1637"/>
      <c r="T78" s="1637"/>
      <c r="U78" s="1637"/>
      <c r="V78" s="1637"/>
    </row>
    <row r="79" spans="1:22" ht="13.5" thickBot="1">
      <c r="A79" s="3705" t="s">
        <v>386</v>
      </c>
      <c r="B79" s="3705"/>
      <c r="C79" s="3705"/>
      <c r="D79" s="3705"/>
      <c r="E79" s="3705"/>
      <c r="F79" s="38"/>
      <c r="G79" s="38"/>
      <c r="H79" s="867"/>
      <c r="I79" s="287"/>
      <c r="J79" s="1650"/>
      <c r="K79" s="3626">
        <f>K77+1</f>
        <v>6</v>
      </c>
      <c r="L79" s="3628" t="s">
        <v>2157</v>
      </c>
      <c r="M79" s="2332" t="s">
        <v>381</v>
      </c>
      <c r="N79" s="1108"/>
      <c r="O79" s="1109" t="e">
        <f>N69-O77</f>
        <v>#VALUE!</v>
      </c>
      <c r="P79" s="1110"/>
      <c r="Q79" s="1637"/>
      <c r="R79" s="1637"/>
      <c r="S79" s="1637"/>
      <c r="T79" s="1637"/>
      <c r="U79" s="1637"/>
      <c r="V79" s="1637"/>
    </row>
    <row r="80" spans="1:22" ht="12.75">
      <c r="A80" s="3636" t="s">
        <v>387</v>
      </c>
      <c r="B80" s="3637"/>
      <c r="C80" s="908"/>
      <c r="D80" s="908" t="s">
        <v>388</v>
      </c>
      <c r="E80" s="340" t="s">
        <v>389</v>
      </c>
      <c r="F80" s="38"/>
      <c r="G80" s="38"/>
      <c r="H80" s="867"/>
      <c r="I80" s="287"/>
      <c r="J80" s="1637"/>
      <c r="K80" s="3627"/>
      <c r="L80" s="3628"/>
      <c r="M80" s="2332" t="s">
        <v>384</v>
      </c>
      <c r="N80" s="1108"/>
      <c r="O80" s="1109" t="e">
        <f>NUMBERSTRING(INT(O79*10000),2)&amp;"元整"</f>
        <v>#VALUE!</v>
      </c>
      <c r="P80" s="1110"/>
      <c r="Q80" s="1637"/>
      <c r="R80" s="1637"/>
      <c r="S80" s="1637"/>
      <c r="T80" s="1637"/>
      <c r="U80" s="1637"/>
      <c r="V80" s="1637"/>
    </row>
    <row r="81" spans="1:26" ht="13.5" thickBot="1">
      <c r="A81" s="351" t="s">
        <v>1350</v>
      </c>
      <c r="B81" s="341" t="s">
        <v>390</v>
      </c>
      <c r="C81" s="342">
        <f>ROUND((C82+C83)/(1+'数据-取费表'!C42),0)</f>
        <v>802</v>
      </c>
      <c r="D81" s="343"/>
      <c r="E81" s="344"/>
      <c r="F81" s="38"/>
      <c r="G81" s="38"/>
      <c r="H81" s="867"/>
      <c r="I81" s="287"/>
      <c r="J81" s="1637"/>
      <c r="K81" s="1633">
        <f>K79+1</f>
        <v>7</v>
      </c>
      <c r="L81" s="3648" t="s">
        <v>2158</v>
      </c>
      <c r="M81" s="3649"/>
      <c r="N81" s="1112"/>
      <c r="O81" s="1113" t="e">
        <f>ROUND(O79*10000/'数据-汇总表'!E3,0)</f>
        <v>#VALUE!</v>
      </c>
      <c r="P81" s="1114"/>
      <c r="Q81" s="1637"/>
      <c r="R81" s="1637"/>
      <c r="S81" s="1637"/>
      <c r="T81" s="1637"/>
      <c r="U81" s="1637"/>
      <c r="V81" s="1637"/>
    </row>
    <row r="82" spans="1:26" ht="13.5" thickTop="1">
      <c r="A82" s="345" t="s">
        <v>1351</v>
      </c>
      <c r="B82" s="346" t="s">
        <v>391</v>
      </c>
      <c r="C82" s="347">
        <f>D63</f>
        <v>802</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1352</v>
      </c>
      <c r="B83" s="346" t="s">
        <v>392</v>
      </c>
      <c r="C83" s="350"/>
      <c r="D83" s="348"/>
      <c r="E83" s="349"/>
      <c r="F83" s="38"/>
      <c r="G83" s="38"/>
      <c r="H83" s="867"/>
      <c r="I83" s="287"/>
      <c r="J83" s="1637"/>
      <c r="K83" s="3638" t="s">
        <v>2146</v>
      </c>
      <c r="L83" s="2338" t="s">
        <v>2147</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1353</v>
      </c>
      <c r="B84" s="352" t="s">
        <v>393</v>
      </c>
      <c r="C84" s="353"/>
      <c r="D84" s="354" t="s">
        <v>13</v>
      </c>
      <c r="E84" s="2353" t="s">
        <v>2200</v>
      </c>
      <c r="F84" s="38"/>
      <c r="G84" s="38"/>
      <c r="H84" s="867"/>
      <c r="I84" s="287"/>
      <c r="J84" s="1637"/>
      <c r="K84" s="3638"/>
      <c r="L84" s="2338" t="s">
        <v>2148</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2149</v>
      </c>
      <c r="P84" s="1637"/>
      <c r="Q84" s="1637"/>
      <c r="R84" s="1637"/>
      <c r="S84" s="1637"/>
      <c r="T84" s="1637"/>
      <c r="U84" s="1637"/>
      <c r="V84" s="1637"/>
    </row>
    <row r="85" spans="1:26" ht="12.75">
      <c r="A85" s="351" t="s">
        <v>1354</v>
      </c>
      <c r="B85" s="352" t="s">
        <v>394</v>
      </c>
      <c r="C85" s="355">
        <f>C81-C84</f>
        <v>802</v>
      </c>
      <c r="D85" s="348" t="s">
        <v>13</v>
      </c>
      <c r="E85" s="349"/>
      <c r="F85" s="38"/>
      <c r="G85" s="38"/>
      <c r="H85" s="867"/>
      <c r="I85" s="287"/>
      <c r="J85" s="1637"/>
      <c r="K85" s="3638"/>
      <c r="L85" s="2338" t="s">
        <v>2150</v>
      </c>
      <c r="M85" s="2328" t="e">
        <f>IF(N69&gt;1000,N69*0.1%,IF(AND(N69&gt;500,N69&lt;=1000),N69*0.5%,IF(AND(N69&gt;50,N69&lt;=500),N69*1%,IF(AND(N69&gt;1,N69&lt;=50),N69*1.5%))))</f>
        <v>#VALUE!</v>
      </c>
      <c r="N85" s="49" t="e">
        <f>ROUND(M85,1)</f>
        <v>#VALUE!</v>
      </c>
      <c r="O85" s="1637" t="s">
        <v>2149</v>
      </c>
      <c r="P85" s="1637"/>
      <c r="Q85" s="1637"/>
      <c r="R85" s="1637"/>
      <c r="S85" s="1637"/>
      <c r="T85" s="1637"/>
      <c r="U85" s="1637"/>
      <c r="V85" s="1637"/>
    </row>
    <row r="86" spans="1:26" ht="13.5" thickBot="1">
      <c r="A86" s="356" t="s">
        <v>1355</v>
      </c>
      <c r="B86" s="357" t="s">
        <v>395</v>
      </c>
      <c r="C86" s="358">
        <f>IF(C85&lt;=0,0,ROUND(C85*D86,0))</f>
        <v>0</v>
      </c>
      <c r="D86" s="359">
        <f>'数据-取费表'!B41</f>
        <v>0</v>
      </c>
      <c r="E86" s="360"/>
      <c r="F86" s="38"/>
      <c r="G86" s="38"/>
      <c r="H86" s="867"/>
      <c r="I86" s="287"/>
      <c r="J86" s="1637"/>
      <c r="K86" s="3638"/>
      <c r="L86" s="2338" t="s">
        <v>2151</v>
      </c>
      <c r="M86" s="2328" t="e">
        <f>N69*0.5%</f>
        <v>#VALUE!</v>
      </c>
      <c r="N86" s="49" t="e">
        <f>IF(M86&gt;0.5,0.5,ROUND(M86,0))</f>
        <v>#VALUE!</v>
      </c>
      <c r="O86" s="1637" t="s">
        <v>2152</v>
      </c>
      <c r="P86" s="1637"/>
      <c r="Q86" s="1637"/>
      <c r="R86" s="1637"/>
      <c r="S86" s="1637"/>
      <c r="T86" s="1637"/>
      <c r="U86" s="1637"/>
      <c r="V86" s="1637"/>
    </row>
    <row r="87" spans="1:26" ht="14.25" customHeight="1">
      <c r="A87" s="1115"/>
      <c r="B87" s="1116"/>
      <c r="C87" s="1117"/>
      <c r="D87" s="1118"/>
      <c r="E87" s="1119"/>
      <c r="F87" s="38"/>
      <c r="G87" s="38"/>
      <c r="H87" s="867"/>
      <c r="I87" s="287"/>
      <c r="J87" s="1637"/>
      <c r="K87" s="3638"/>
      <c r="L87" s="2338" t="s">
        <v>2153</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677" t="s">
        <v>396</v>
      </c>
      <c r="B88" s="3678"/>
      <c r="C88" s="3678"/>
      <c r="D88" s="3678"/>
      <c r="E88" s="3678"/>
      <c r="F88" s="3678"/>
      <c r="G88" s="3678"/>
      <c r="H88" s="3678"/>
      <c r="I88" s="1120"/>
      <c r="J88" s="1651"/>
      <c r="K88" s="3638"/>
      <c r="L88" s="2338" t="s">
        <v>2154</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636" t="s">
        <v>387</v>
      </c>
      <c r="B89" s="3637"/>
      <c r="C89" s="908"/>
      <c r="D89" s="908" t="s">
        <v>388</v>
      </c>
      <c r="E89" s="361" t="s">
        <v>397</v>
      </c>
      <c r="F89" s="362"/>
      <c r="G89" s="362"/>
      <c r="H89" s="363"/>
      <c r="I89" s="1121"/>
      <c r="J89" s="1653"/>
      <c r="K89" s="3638"/>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1350</v>
      </c>
      <c r="B90" s="352" t="s">
        <v>398</v>
      </c>
      <c r="C90" s="355">
        <f>ROUND(D63/(1+'数据-取费表'!C42),0)</f>
        <v>802</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1356</v>
      </c>
      <c r="B91" s="322" t="s">
        <v>399</v>
      </c>
      <c r="C91" s="355">
        <f>C92+C96</f>
        <v>0</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1357</v>
      </c>
      <c r="B92" s="346" t="s">
        <v>400</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1358</v>
      </c>
      <c r="B93" s="346" t="s">
        <v>401</v>
      </c>
      <c r="C93" s="366"/>
      <c r="D93" s="348" t="s">
        <v>13</v>
      </c>
      <c r="E93" s="367" t="s">
        <v>402</v>
      </c>
      <c r="F93" s="368"/>
      <c r="G93" s="367" t="s">
        <v>403</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1359</v>
      </c>
      <c r="B94" s="370" t="s">
        <v>404</v>
      </c>
      <c r="C94" s="348">
        <f>IF(F93="购房发票",ROUND(C93*H93*5%,0),0)</f>
        <v>0</v>
      </c>
      <c r="D94" s="371">
        <v>0.05</v>
      </c>
      <c r="E94" s="3674" t="s">
        <v>405</v>
      </c>
      <c r="F94" s="3675"/>
      <c r="G94" s="3675"/>
      <c r="H94" s="3676"/>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1360</v>
      </c>
      <c r="B95" s="346" t="s">
        <v>406</v>
      </c>
      <c r="C95" s="348">
        <f>ROUND(IF(G95="个人买卖住房",0,IF(G95="2016年5月1日前购买",C93*D95,C93*D95/(1+'数据-取费表'!C42))),0)</f>
        <v>0</v>
      </c>
      <c r="D95" s="372">
        <f>'数据-取费表'!B48+'数据-取费表'!B49</f>
        <v>0</v>
      </c>
      <c r="E95" s="22" t="s">
        <v>407</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1361</v>
      </c>
      <c r="B96" s="346" t="s">
        <v>408</v>
      </c>
      <c r="C96" s="375">
        <f>ROUND(D63*D96/(1+'数据-取费表'!C42),0)</f>
        <v>0</v>
      </c>
      <c r="D96" s="376">
        <f>'数据-取费表'!B43</f>
        <v>0</v>
      </c>
      <c r="E96" s="3633" t="s">
        <v>1778</v>
      </c>
      <c r="F96" s="3634"/>
      <c r="G96" s="3634"/>
      <c r="H96" s="3635"/>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1362</v>
      </c>
      <c r="B97" s="352" t="s">
        <v>409</v>
      </c>
      <c r="C97" s="355">
        <f>C90-C91</f>
        <v>802</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1363</v>
      </c>
      <c r="B98" s="352" t="s">
        <v>410</v>
      </c>
      <c r="C98" s="377" t="e">
        <f>IF(C97&lt;=0,0,C97/C91)</f>
        <v>#DIV/0!</v>
      </c>
      <c r="D98" s="348" t="s">
        <v>13</v>
      </c>
      <c r="E98" s="22" t="e">
        <f>IF(C98&gt;=200%,"增值额超过扣除项目金额200%",IF(C98&gt;=100%,"增值额超过扣除项目金额100%，未超过200%",IF(C98&gt;=50%,"增值额超过扣除项目金额50%，未超过100%",IF(C98&lt;50%,"增值额未超过扣除项目金额50%"))))</f>
        <v>#DIV/0!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1364</v>
      </c>
      <c r="B99" s="357" t="s">
        <v>411</v>
      </c>
      <c r="C99" s="378" t="e">
        <f>ROUND(IF(C97&lt;=0,0,IF(C98&gt;=200%,C97*60%-C91*35%,IF(C98&gt;=100%,C97*50%-C91*15%,IF(C98&gt;=50%,C97*40%-C91*5%,IF(C98&lt;50%,C97*30%,0))))),0)</f>
        <v>#DIV/0!</v>
      </c>
      <c r="D99" s="379" t="s">
        <v>13</v>
      </c>
      <c r="E99" s="380" t="e">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677" t="s">
        <v>412</v>
      </c>
      <c r="B101" s="3678"/>
      <c r="C101" s="3678"/>
      <c r="D101" s="3678"/>
      <c r="E101" s="3678"/>
      <c r="F101" s="3678"/>
      <c r="G101" s="3678"/>
      <c r="H101" s="3678"/>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636" t="s">
        <v>387</v>
      </c>
      <c r="B102" s="3637"/>
      <c r="C102" s="908"/>
      <c r="D102" s="908" t="s">
        <v>388</v>
      </c>
      <c r="E102" s="361" t="s">
        <v>397</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1350</v>
      </c>
      <c r="B103" s="352" t="s">
        <v>398</v>
      </c>
      <c r="C103" s="355">
        <f>ROUND(D63/(1+'数据-取费表'!C42),0)</f>
        <v>802</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1356</v>
      </c>
      <c r="B104" s="322" t="s">
        <v>399</v>
      </c>
      <c r="C104" s="355">
        <f>IF(H106="仅含出让金",C105+C108+C109+C110+C111+C112,C105+C109+C110+C111+C112)</f>
        <v>0</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1357</v>
      </c>
      <c r="B105" s="346" t="s">
        <v>413</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1358</v>
      </c>
      <c r="B106" s="346" t="s">
        <v>414</v>
      </c>
      <c r="C106" s="386"/>
      <c r="D106" s="376"/>
      <c r="E106" s="387" t="s">
        <v>415</v>
      </c>
      <c r="F106" s="901"/>
      <c r="G106" s="388" t="s">
        <v>416</v>
      </c>
      <c r="H106" s="389"/>
      <c r="I106" s="9"/>
      <c r="J106" s="1648"/>
      <c r="K106" s="2745" t="s">
        <v>2273</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1359</v>
      </c>
      <c r="B107" s="346" t="s">
        <v>406</v>
      </c>
      <c r="C107" s="375">
        <f>ROUND(C106*D107,0)</f>
        <v>0</v>
      </c>
      <c r="D107" s="376">
        <f>'数据-取费表'!B48+'数据-取费表'!B49</f>
        <v>0</v>
      </c>
      <c r="E107" s="387" t="s">
        <v>417</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1361</v>
      </c>
      <c r="B108" s="346" t="s">
        <v>418</v>
      </c>
      <c r="C108" s="386"/>
      <c r="D108" s="376"/>
      <c r="E108" s="387" t="str">
        <f>IF(H106="-","土地取得成本中已包含该笔费用"," ")</f>
        <v xml:space="preserve"> </v>
      </c>
      <c r="F108" s="901"/>
      <c r="G108" s="3689" t="s">
        <v>2249</v>
      </c>
      <c r="H108" s="3690"/>
      <c r="I108" s="2418"/>
      <c r="J108" s="1648"/>
      <c r="K108" s="2745" t="s">
        <v>2274</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1365</v>
      </c>
      <c r="B109" s="346" t="s">
        <v>419</v>
      </c>
      <c r="C109" s="375">
        <f>IF(H109="——",IF(F1="现房",'剩余法-现房'!C18,0),I109)</f>
        <v>0</v>
      </c>
      <c r="D109" s="376"/>
      <c r="E109" s="3667" t="s">
        <v>420</v>
      </c>
      <c r="F109" s="3634"/>
      <c r="G109" s="3634"/>
      <c r="H109" s="1601" t="s">
        <v>875</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1366</v>
      </c>
      <c r="B110" s="346" t="s">
        <v>421</v>
      </c>
      <c r="C110" s="375">
        <f>ROUND((C105+C108+C109)*D110,0)</f>
        <v>0</v>
      </c>
      <c r="D110" s="2775">
        <v>0</v>
      </c>
      <c r="E110" s="3667" t="s">
        <v>422</v>
      </c>
      <c r="F110" s="3634"/>
      <c r="G110" s="3634"/>
      <c r="H110" s="3635"/>
      <c r="I110" s="9"/>
      <c r="J110" s="1648"/>
      <c r="K110" s="2746" t="s">
        <v>2275</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1367</v>
      </c>
      <c r="B111" s="346" t="s">
        <v>408</v>
      </c>
      <c r="C111" s="375">
        <f>ROUND(D63*D111/(1+'数据-取费表'!C42),0)</f>
        <v>0</v>
      </c>
      <c r="D111" s="376">
        <f>'数据-取费表'!B43</f>
        <v>0</v>
      </c>
      <c r="E111" s="3633" t="s">
        <v>1778</v>
      </c>
      <c r="F111" s="3634"/>
      <c r="G111" s="3634"/>
      <c r="H111" s="3635"/>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1368</v>
      </c>
      <c r="B112" s="346" t="s">
        <v>423</v>
      </c>
      <c r="C112" s="375">
        <f>ROUND(C108*D112,0)</f>
        <v>0</v>
      </c>
      <c r="D112" s="376">
        <v>0.2</v>
      </c>
      <c r="E112" s="3667" t="s">
        <v>1797</v>
      </c>
      <c r="F112" s="3634"/>
      <c r="G112" s="3634"/>
      <c r="H112" s="3635"/>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1362</v>
      </c>
      <c r="B113" s="352" t="s">
        <v>409</v>
      </c>
      <c r="C113" s="355">
        <f>ROUND(C103-C104,0)</f>
        <v>802</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1363</v>
      </c>
      <c r="B114" s="352" t="s">
        <v>410</v>
      </c>
      <c r="C114" s="377" t="e">
        <f>IF(C113&lt;=0,0,C113/C104)</f>
        <v>#DIV/0!</v>
      </c>
      <c r="D114" s="348" t="s">
        <v>13</v>
      </c>
      <c r="E114" s="22" t="e">
        <f>IF(C114&gt;=200%,"增值额超过扣除项目金额200%",IF(C114&gt;=100%,"增值额超过扣除项目金额100%，未超过200%",IF(C114&gt;=50%,"增值额超过扣除项目金额50%，未超过100%",IF(C114&lt;50%,"增值额未超过扣除项目金额50%"))))</f>
        <v>#DIV/0!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1364</v>
      </c>
      <c r="B115" s="357" t="s">
        <v>411</v>
      </c>
      <c r="C115" s="378" t="e">
        <f>ROUND(IF(C113&lt;=0,0,IF(C114&gt;=200%,C113*60%-C104*35%,IF(C114&gt;=100%,C113*50%-C104*15%,IF(C114&gt;=50%,C113*40%-C104*5%,IF(C114&lt;50%,C113*30%,0))))),0)</f>
        <v>#DIV/0!</v>
      </c>
      <c r="D115" s="379" t="s">
        <v>13</v>
      </c>
      <c r="E115" s="380" t="e">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425</v>
      </c>
      <c r="B2" s="1714" t="e">
        <f ca="1">C36</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1215</v>
      </c>
      <c r="B3" s="1716"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426</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#VALUE!</v>
      </c>
      <c r="C5" s="401" t="s">
        <v>427</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1369</v>
      </c>
      <c r="B6" s="2136"/>
      <c r="C6" s="2137">
        <f>SUM(C10:K10)</f>
        <v>0</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5">
      <c r="A7" s="2139" t="s">
        <v>428</v>
      </c>
      <c r="B7" s="2140" t="s">
        <v>429</v>
      </c>
      <c r="C7" s="406"/>
      <c r="D7" s="406"/>
      <c r="E7" s="406"/>
      <c r="F7" s="406"/>
      <c r="G7" s="406"/>
      <c r="H7" s="406"/>
      <c r="I7" s="406"/>
      <c r="J7" s="406"/>
      <c r="K7" s="407"/>
      <c r="AA7" s="1721"/>
      <c r="AB7" s="1721"/>
      <c r="AC7" s="1721"/>
      <c r="AD7" s="1721"/>
      <c r="AE7" s="1721"/>
    </row>
    <row r="8" spans="1:31" s="1724" customFormat="1" ht="13.5" customHeight="1">
      <c r="A8" s="738" t="s">
        <v>1372</v>
      </c>
      <c r="B8" s="241" t="s">
        <v>430</v>
      </c>
      <c r="C8" s="2141"/>
      <c r="D8" s="2141"/>
      <c r="E8" s="2141"/>
      <c r="F8" s="2141"/>
      <c r="G8" s="2141"/>
      <c r="H8" s="2141"/>
      <c r="I8" s="2141"/>
      <c r="J8" s="2141"/>
      <c r="K8" s="2142"/>
      <c r="AA8" s="1723"/>
      <c r="AB8" s="1723"/>
      <c r="AC8" s="1723"/>
      <c r="AD8" s="1723"/>
      <c r="AE8" s="1723"/>
    </row>
    <row r="9" spans="1:31" s="1724" customFormat="1" ht="13.5" customHeight="1">
      <c r="A9" s="738" t="s">
        <v>1373</v>
      </c>
      <c r="B9" s="241" t="s">
        <v>431</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1374</v>
      </c>
      <c r="B10" s="2129" t="s">
        <v>432</v>
      </c>
      <c r="C10" s="2316"/>
      <c r="D10" s="2316"/>
      <c r="E10" s="2316"/>
      <c r="F10" s="2144"/>
      <c r="G10" s="2144"/>
      <c r="H10" s="2144"/>
      <c r="I10" s="2144"/>
      <c r="J10" s="2144"/>
      <c r="K10" s="2145"/>
      <c r="AA10" s="1723"/>
      <c r="AB10" s="1723"/>
      <c r="AC10" s="1723"/>
      <c r="AD10" s="1723"/>
      <c r="AE10" s="1723"/>
    </row>
    <row r="11" spans="1:31" s="1720" customFormat="1" ht="16.5" customHeight="1">
      <c r="A11" s="2146" t="s">
        <v>1370</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428</v>
      </c>
      <c r="B12" s="2123" t="s">
        <v>429</v>
      </c>
      <c r="C12" s="2148" t="s">
        <v>433</v>
      </c>
      <c r="D12" s="1632" t="s">
        <v>434</v>
      </c>
      <c r="E12" s="1632" t="s">
        <v>435</v>
      </c>
      <c r="F12" s="1632" t="s">
        <v>436</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1375</v>
      </c>
      <c r="B13" s="2150" t="s">
        <v>437</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1376</v>
      </c>
      <c r="B14" s="2150" t="s">
        <v>438</v>
      </c>
      <c r="C14" s="49">
        <f ca="1">ROUND(C13*F14,0)</f>
        <v>0</v>
      </c>
      <c r="D14" s="2151"/>
      <c r="E14" s="339"/>
      <c r="F14" s="2155">
        <f>'数据-取费表'!B33</f>
        <v>0</v>
      </c>
      <c r="G14" s="2123" t="s">
        <v>439</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1377</v>
      </c>
      <c r="B15" s="2150" t="s">
        <v>440</v>
      </c>
      <c r="C15" s="49">
        <f ca="1">ROUND(IF(B1="",SUMIF('数据-取费表'!C:C,"住宅",'数据-取费表'!P:P)*F15,IF(INDIRECT("'数据-取费表'!c"&amp;$K$1)="住宅",INDIRECT("'数据-取费表'!P"&amp;$K$1)*F15,0)),0)</f>
        <v>0</v>
      </c>
      <c r="D15" s="2151"/>
      <c r="E15" s="339"/>
      <c r="F15" s="2155">
        <f>'数据-取费表'!B34</f>
        <v>0</v>
      </c>
      <c r="G15" s="2123" t="s">
        <v>441</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1378</v>
      </c>
      <c r="B16" s="2150" t="s">
        <v>442</v>
      </c>
      <c r="C16" s="49">
        <f ca="1">ROUND(D16*E16/10000,0)</f>
        <v>0</v>
      </c>
      <c r="D16" s="2151">
        <f ca="1">IF(B1="",'数据-汇总表'!E3,INDIRECT("'数据-取费表'!K"&amp;$K$1)+INDIRECT("'数据-取费表'!S"&amp;$K$1))</f>
        <v>153333.32999999999</v>
      </c>
      <c r="E16" s="49">
        <f>'数据-取费表'!B35</f>
        <v>0</v>
      </c>
      <c r="F16" s="2153"/>
      <c r="G16" s="2123"/>
      <c r="H16" s="2124"/>
      <c r="I16" s="2124"/>
      <c r="J16" s="2124"/>
      <c r="K16" s="2125"/>
      <c r="AA16" s="1725"/>
      <c r="AB16" s="1725"/>
      <c r="AC16" s="1725"/>
      <c r="AD16" s="1725"/>
      <c r="AE16" s="1725"/>
    </row>
    <row r="17" spans="1:26" s="1725" customFormat="1" ht="13.5" customHeight="1">
      <c r="A17" s="2149" t="s">
        <v>1379</v>
      </c>
      <c r="B17" s="2150" t="s">
        <v>443</v>
      </c>
      <c r="C17" s="2154">
        <f ca="1">ROUND(C13*F17,0)</f>
        <v>0</v>
      </c>
      <c r="D17" s="444"/>
      <c r="E17" s="2154"/>
      <c r="F17" s="2155">
        <f>'数据-取费表'!B36</f>
        <v>0</v>
      </c>
      <c r="G17" s="241" t="s">
        <v>444</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1380</v>
      </c>
      <c r="B18" s="2157" t="s">
        <v>445</v>
      </c>
      <c r="C18" s="2158">
        <f ca="1">SUM(C13:C17)</f>
        <v>0</v>
      </c>
      <c r="D18" s="2159"/>
      <c r="E18" s="437"/>
      <c r="F18" s="437"/>
      <c r="G18" s="1042" t="s">
        <v>1779</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1381</v>
      </c>
      <c r="B19" s="2157" t="s">
        <v>446</v>
      </c>
      <c r="C19" s="1632">
        <f ca="1">ROUND(D19*E19/10000,0)</f>
        <v>0</v>
      </c>
      <c r="D19" s="2160">
        <f ca="1">D16</f>
        <v>153333.32999999999</v>
      </c>
      <c r="E19" s="1632">
        <f>'数据-取费表'!B32</f>
        <v>0</v>
      </c>
      <c r="F19" s="437"/>
      <c r="G19" s="2123" t="s">
        <v>447</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1382</v>
      </c>
      <c r="B20" s="2157" t="s">
        <v>448</v>
      </c>
      <c r="C20" s="1632">
        <f ca="1">C21+C22-IF(B1="",'数据-取费表'!B29,IF(G20="已全部缴纳",C21+C22,H20))</f>
        <v>0</v>
      </c>
      <c r="D20" s="2160"/>
      <c r="E20" s="1632"/>
      <c r="F20" s="2161"/>
      <c r="G20" s="2345"/>
      <c r="H20" s="2121"/>
      <c r="I20" s="2122" t="s">
        <v>1931</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1383</v>
      </c>
      <c r="B21" s="2150" t="s">
        <v>449</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1384</v>
      </c>
      <c r="B22" s="2150" t="s">
        <v>450</v>
      </c>
      <c r="C22" s="49">
        <f ca="1">ROUND(D22*E22/10000,0)</f>
        <v>0</v>
      </c>
      <c r="D22" s="2151">
        <f ca="1">IF(B1="",'数据-汇总表'!E6,IF(INDIRECT("'数据-取费表'!c"&amp;$K$1)="住宅",INDIRECT("'数据-取费表'!s"&amp;$K$1),INDIRECT("'数据-取费表'!k"&amp;$K$1)+INDIRECT("'数据-取费表'!s"&amp;$K$1)))</f>
        <v>153333.32999999999</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1385</v>
      </c>
      <c r="B23" s="2320" t="s">
        <v>2107</v>
      </c>
      <c r="C23" s="2158">
        <f ca="1">ROUND((C18+C19+C20)*F23,0)</f>
        <v>0</v>
      </c>
      <c r="D23" s="437"/>
      <c r="E23" s="437"/>
      <c r="F23" s="2162">
        <f>'数据-取费表'!B37</f>
        <v>0</v>
      </c>
      <c r="G23" s="2123" t="s">
        <v>1780</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1386</v>
      </c>
      <c r="B24" s="2320" t="s">
        <v>2110</v>
      </c>
      <c r="C24" s="2158">
        <f>ROUND(C6*F24,0)</f>
        <v>0</v>
      </c>
      <c r="D24" s="444"/>
      <c r="E24" s="442"/>
      <c r="F24" s="2162">
        <f>'数据-取费表'!B38</f>
        <v>0</v>
      </c>
      <c r="G24" s="2128" t="s">
        <v>457</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1387</v>
      </c>
      <c r="B25" s="2320" t="s">
        <v>2108</v>
      </c>
      <c r="C25" s="436">
        <f>ROUND(F25/(1+'数据-取费表'!C42),4)</f>
        <v>0</v>
      </c>
      <c r="D25" s="431" t="s">
        <v>2103</v>
      </c>
      <c r="E25" s="438"/>
      <c r="F25" s="2162">
        <f>IF(项目基本情况!B8="出让",0,'数据-取费表'!B48+'数据-取费表'!B49)</f>
        <v>0</v>
      </c>
      <c r="G25" s="2127" t="s">
        <v>1645</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1388</v>
      </c>
      <c r="B26" s="2321" t="s">
        <v>2109</v>
      </c>
      <c r="C26" s="2163" t="e">
        <f ca="1">C28</f>
        <v>#VALUE!</v>
      </c>
      <c r="D26" s="436" t="e">
        <f ca="1">C27</f>
        <v>#VALUE!</v>
      </c>
      <c r="E26" s="438" t="s">
        <v>453</v>
      </c>
      <c r="F26" s="440" t="e">
        <f ca="1">'数据-取费表'!B40</f>
        <v>#VALUE!</v>
      </c>
      <c r="G26" s="2046" t="str">
        <f>IF('数据-取费表'!B22&lt;=1,"单利计息。","复利计息。")&amp;"后续开发成本、管理费用及销售费用产生的利息。"</f>
        <v>单利计息。后续开发成本、管理费用及销售费用产生的利息。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1383</v>
      </c>
      <c r="B27" s="2164" t="s">
        <v>454</v>
      </c>
      <c r="C27" s="2165" t="e">
        <f ca="1">ROUND(IF('数据-取费表'!B22&lt;=1,(1+C25)*F26*'数据-取费表'!B24,(1+C25)*(POWER((1+F26),'数据-取费表'!B24)-1)),4)</f>
        <v>#VALUE!</v>
      </c>
      <c r="D27" s="441"/>
      <c r="E27" s="442"/>
      <c r="F27" s="443"/>
      <c r="G27" s="2046" t="str">
        <f>IF('数据-取费表'!B22&lt;=1,"（1+取得税费率/(1+5%)）×年利率×建设期","（1+取得税费率）/(1+5%)×((1+年利率)^建设期-1)")</f>
        <v>（1+取得税费率/(1+5%)）×年利率×建设期</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1384</v>
      </c>
      <c r="B28" s="2164" t="s">
        <v>2111</v>
      </c>
      <c r="C28" s="2166" t="e">
        <f ca="1">ROUND(IF('数据-取费表'!B22&lt;=1,(C18+C19+C20+C23+C24)*F26*'数据-取费表'!B24/2,(C18+C19+C20+C23+C24)*(POWER((1+F26),'数据-取费表'!B24/2)-1)),0)</f>
        <v>#VALUE!</v>
      </c>
      <c r="D28" s="441"/>
      <c r="E28" s="442"/>
      <c r="F28" s="443"/>
      <c r="G28" s="2046" t="str">
        <f>IF('数据-取费表'!B22&lt;=1,"（1）-（4）项×年利率×建设期÷2","（1）-（4）项×((1+年利率)^(建设期÷2)-1)")</f>
        <v>（1）-（4）项×年利率×建设期÷2</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1389</v>
      </c>
      <c r="B29" s="2157" t="s">
        <v>455</v>
      </c>
      <c r="C29" s="2158">
        <f>ROUND(C6*F29/(1+'数据-取费表'!C42),0)</f>
        <v>0</v>
      </c>
      <c r="D29" s="437"/>
      <c r="E29" s="437"/>
      <c r="F29" s="2322">
        <f>'数据-取费表'!B41</f>
        <v>0</v>
      </c>
      <c r="G29" s="2128" t="s">
        <v>456</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1390</v>
      </c>
      <c r="B30" s="2168" t="s">
        <v>458</v>
      </c>
      <c r="C30" s="2163" t="e">
        <f ca="1">C31</f>
        <v>#VALUE!</v>
      </c>
      <c r="D30" s="446" t="e">
        <f ca="1">C32</f>
        <v>#VALUE!</v>
      </c>
      <c r="E30" s="438" t="s">
        <v>453</v>
      </c>
      <c r="F30" s="440"/>
      <c r="G30" s="2127" t="s">
        <v>2227</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1383</v>
      </c>
      <c r="B31" s="2164"/>
      <c r="C31" s="419" t="e">
        <f ca="1">C18+C19+C20+C23+C24+C26+C29</f>
        <v>#VALUE!</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1384</v>
      </c>
      <c r="B32" s="2164"/>
      <c r="C32" s="49" t="e">
        <f ca="1">ROUND(C25+D26,4)</f>
        <v>#VALUE!</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9" t="s">
        <v>2106</v>
      </c>
      <c r="B33" s="2317" t="s">
        <v>2104</v>
      </c>
      <c r="C33" s="447" t="e">
        <f ca="1">C35</f>
        <v>#DIV/0!</v>
      </c>
      <c r="D33" s="436" t="e">
        <f ca="1">C34</f>
        <v>#DIV/0!</v>
      </c>
      <c r="E33" s="438" t="s">
        <v>453</v>
      </c>
      <c r="F33" s="448" t="e">
        <f ca="1">IF(B1="",'数据-取费表'!Q16,INDIRECT("'数据-取费表'!q"&amp;$K$1))</f>
        <v>#DIV/0!</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1383</v>
      </c>
      <c r="B34" s="2169" t="s">
        <v>459</v>
      </c>
      <c r="C34" s="441" t="e">
        <f ca="1">ROUND((1+C25)*F33,4)</f>
        <v>#DIV/0!</v>
      </c>
      <c r="D34" s="441"/>
      <c r="E34" s="442"/>
      <c r="F34" s="449"/>
      <c r="G34" s="241" t="s">
        <v>1646</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1384</v>
      </c>
      <c r="B35" s="2318" t="s">
        <v>2112</v>
      </c>
      <c r="C35" s="1351" t="e">
        <f ca="1">ROUND((C18+C19+C20+C23+C24)*F33,0)</f>
        <v>#DIV/0!</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1371</v>
      </c>
      <c r="B36" s="2133"/>
      <c r="C36" s="2171" t="e">
        <f ca="1">ROUND((C6-C30-C33)/(1+D30+D33),0)</f>
        <v>#VALUE!</v>
      </c>
      <c r="D36" s="2133"/>
      <c r="E36" s="2133"/>
      <c r="F36" s="2133"/>
      <c r="G36" s="2132" t="s">
        <v>2113</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41" s="1655" customFormat="1" ht="18" customHeight="1">
      <c r="A2" s="393" t="s">
        <v>425</v>
      </c>
      <c r="B2" s="394" t="e">
        <f ca="1">C27</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1215</v>
      </c>
      <c r="B3" s="395"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426</v>
      </c>
      <c r="B4" s="397" t="e">
        <f ca="1">ROUND(B2*10000/IF(B1="",'数据-汇总表'!D3,INDIRECT("'数据-取费表'!R"&amp;$K$1)),0)</f>
        <v>#VALUE!</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#VALUE!</v>
      </c>
      <c r="C5" s="401" t="s">
        <v>427</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1932</v>
      </c>
      <c r="B6" s="403"/>
      <c r="C6" s="1346">
        <f>SUM(C10:K10)</f>
        <v>0</v>
      </c>
      <c r="D6" s="1718"/>
      <c r="E6" s="1718"/>
      <c r="F6" s="1718"/>
      <c r="G6" s="1718"/>
      <c r="H6" s="1718"/>
      <c r="I6" s="1718"/>
      <c r="J6" s="1718"/>
      <c r="K6" s="1719"/>
      <c r="L6" s="2705"/>
      <c r="M6" s="2705"/>
      <c r="N6" s="2705"/>
      <c r="O6" s="2705"/>
      <c r="P6" s="2705"/>
      <c r="Q6" s="2705"/>
      <c r="R6" s="2705"/>
      <c r="S6" s="2705"/>
      <c r="T6" s="2705"/>
      <c r="U6" s="2705"/>
      <c r="V6" s="2705"/>
      <c r="W6" s="2705"/>
      <c r="X6" s="2705"/>
      <c r="Y6" s="2705"/>
      <c r="Z6" s="2705"/>
    </row>
    <row r="7" spans="1:41" s="1722" customFormat="1" ht="15">
      <c r="A7" s="404" t="s">
        <v>428</v>
      </c>
      <c r="B7" s="405" t="s">
        <v>429</v>
      </c>
      <c r="C7" s="2815"/>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1372</v>
      </c>
      <c r="B8" s="408" t="s">
        <v>430</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1373</v>
      </c>
      <c r="B9" s="408" t="s">
        <v>431</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1374</v>
      </c>
      <c r="B10" s="1347" t="s">
        <v>432</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1391</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6" customFormat="1" ht="13.5" customHeight="1">
      <c r="A12" s="404" t="s">
        <v>428</v>
      </c>
      <c r="B12" s="413" t="s">
        <v>429</v>
      </c>
      <c r="C12" s="414" t="s">
        <v>433</v>
      </c>
      <c r="D12" s="415" t="s">
        <v>434</v>
      </c>
      <c r="E12" s="415" t="s">
        <v>435</v>
      </c>
      <c r="F12" s="415" t="s">
        <v>436</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5" customFormat="1" ht="13.5" customHeight="1">
      <c r="A13" s="1356" t="s">
        <v>1375</v>
      </c>
      <c r="B13" s="418" t="s">
        <v>437</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1376</v>
      </c>
      <c r="B14" s="418" t="s">
        <v>438</v>
      </c>
      <c r="C14" s="49">
        <f ca="1">ROUND(C13*F14,0)</f>
        <v>0</v>
      </c>
      <c r="D14" s="420"/>
      <c r="E14" s="339"/>
      <c r="F14" s="425">
        <f>'数据-取费表'!B33</f>
        <v>0</v>
      </c>
      <c r="G14" s="413" t="s">
        <v>460</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1377</v>
      </c>
      <c r="B15" s="418" t="s">
        <v>440</v>
      </c>
      <c r="C15" s="49">
        <f ca="1">ROUND(IF(B1="",SUMIF('数据-取费表'!C:C,"住宅",'数据-取费表'!M:M)*F15,IF(INDIRECT("'数据-取费表'!c"&amp;$K$1)="住宅",INDIRECT("'数据-取费表'!M"&amp;$K$1)*F15,0)),0)</f>
        <v>0</v>
      </c>
      <c r="D15" s="420"/>
      <c r="E15" s="339"/>
      <c r="F15" s="425">
        <f>'数据-取费表'!B34</f>
        <v>0</v>
      </c>
      <c r="G15" s="413" t="s">
        <v>460</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1378</v>
      </c>
      <c r="B16" s="418" t="s">
        <v>442</v>
      </c>
      <c r="C16" s="49">
        <f ca="1">ROUND(D16*E16/10000,0)</f>
        <v>0</v>
      </c>
      <c r="D16" s="420">
        <f ca="1">IF(B1="",'数据-汇总表'!E3,INDIRECT("'数据-取费表'!K"&amp;$K$1)+INDIRECT("'数据-取费表'!S"&amp;$K$1))</f>
        <v>153333.32999999999</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1379</v>
      </c>
      <c r="B17" s="418" t="s">
        <v>443</v>
      </c>
      <c r="C17" s="423">
        <f ca="1">ROUND(C13*F17,0)</f>
        <v>0</v>
      </c>
      <c r="D17" s="424"/>
      <c r="E17" s="423"/>
      <c r="F17" s="425">
        <f>'数据-取费表'!B36</f>
        <v>0</v>
      </c>
      <c r="G17" s="413" t="s">
        <v>460</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1380</v>
      </c>
      <c r="B18" s="428" t="s">
        <v>445</v>
      </c>
      <c r="C18" s="429">
        <f ca="1">SUM(C13:C17)</f>
        <v>0</v>
      </c>
      <c r="D18" s="430"/>
      <c r="E18" s="431"/>
      <c r="F18" s="431"/>
      <c r="G18" s="1130" t="s">
        <v>1781</v>
      </c>
      <c r="H18" s="416"/>
      <c r="I18" s="416"/>
      <c r="J18" s="416"/>
      <c r="K18" s="417"/>
      <c r="L18" s="2708"/>
      <c r="M18" s="2708"/>
      <c r="N18" s="2708"/>
      <c r="O18" s="2708"/>
      <c r="P18" s="2708"/>
      <c r="Q18" s="2708"/>
      <c r="R18" s="2708"/>
      <c r="S18" s="2708"/>
      <c r="T18" s="2708"/>
      <c r="U18" s="2708"/>
      <c r="V18" s="2708"/>
      <c r="W18" s="2708"/>
      <c r="X18" s="2708"/>
      <c r="Y18" s="2708"/>
      <c r="Z18" s="2708"/>
    </row>
    <row r="19" spans="1:26" s="1728" customFormat="1" ht="13.5" customHeight="1">
      <c r="A19" s="1357" t="s">
        <v>1381</v>
      </c>
      <c r="B19" s="428" t="s">
        <v>451</v>
      </c>
      <c r="C19" s="429">
        <f ca="1">ROUND(C18*F19,0)</f>
        <v>0</v>
      </c>
      <c r="D19" s="430"/>
      <c r="E19" s="431"/>
      <c r="F19" s="435">
        <f>'数据-取费表'!B37</f>
        <v>0</v>
      </c>
      <c r="G19" s="413" t="s">
        <v>461</v>
      </c>
      <c r="H19" s="416"/>
      <c r="I19" s="416"/>
      <c r="J19" s="416"/>
      <c r="K19" s="417"/>
      <c r="L19" s="2710"/>
      <c r="M19" s="2710"/>
      <c r="N19" s="2710"/>
      <c r="O19" s="2708"/>
      <c r="P19" s="2708"/>
      <c r="Q19" s="2708"/>
      <c r="R19" s="2708"/>
      <c r="S19" s="2708"/>
      <c r="T19" s="2708"/>
      <c r="U19" s="2708"/>
      <c r="V19" s="2708"/>
      <c r="W19" s="2708"/>
      <c r="X19" s="2708"/>
      <c r="Y19" s="2708"/>
      <c r="Z19" s="2708"/>
    </row>
    <row r="20" spans="1:26" s="1730" customFormat="1" ht="13.5" customHeight="1">
      <c r="A20" s="1357" t="s">
        <v>1382</v>
      </c>
      <c r="B20" s="430" t="s">
        <v>452</v>
      </c>
      <c r="C20" s="439" t="e">
        <f ca="1">ROUND(IF('数据-取费表'!B22&lt;=1,(C18+C19)*F20*'数据-取费表'!B20/2,(C18+C19)*(POWER((1+F20),'数据-取费表'!B20/2)-1)),0)</f>
        <v>#VALUE!</v>
      </c>
      <c r="D20" s="431" t="e">
        <f ca="1">ROUND(((1+F20)^'数据-取费表'!B20)-1,4)</f>
        <v>#VALUE!</v>
      </c>
      <c r="E20" s="431"/>
      <c r="F20" s="440" t="e">
        <f ca="1">'数据-取费表'!B40</f>
        <v>#VALUE!</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6" t="s">
        <v>1798</v>
      </c>
      <c r="M20" s="2717"/>
      <c r="N20" s="2717"/>
      <c r="O20" s="2717"/>
      <c r="P20" s="2717"/>
      <c r="Q20" s="2710"/>
      <c r="R20" s="2710"/>
      <c r="S20" s="2710"/>
      <c r="T20" s="2710"/>
      <c r="U20" s="2710"/>
      <c r="V20" s="2710"/>
      <c r="W20" s="2710"/>
      <c r="X20" s="2710"/>
      <c r="Y20" s="2710"/>
      <c r="Z20" s="2710"/>
    </row>
    <row r="21" spans="1:26" s="1729" customFormat="1" ht="13.5" customHeight="1">
      <c r="A21" s="1357" t="s">
        <v>2292</v>
      </c>
      <c r="B21" s="2317" t="s">
        <v>2105</v>
      </c>
      <c r="C21" s="447" t="e">
        <f ca="1">ROUND((C18+C19)*F21,0)</f>
        <v>#DIV/0!</v>
      </c>
      <c r="D21" s="2787"/>
      <c r="E21" s="431"/>
      <c r="F21" s="448" t="e">
        <f ca="1">IF(B1="",'数据-取费表'!Q16,INDIRECT("'数据-取费表'!q"&amp;$K$1))</f>
        <v>#DIV/0!</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30" customFormat="1" ht="13.5" customHeight="1">
      <c r="A22" s="1357" t="s">
        <v>1386</v>
      </c>
      <c r="B22" s="445" t="s">
        <v>462</v>
      </c>
      <c r="C22" s="450"/>
      <c r="D22" s="450"/>
      <c r="E22" s="451"/>
      <c r="F22" s="2789" t="e">
        <f ca="1">IF(B1="",'数据-取费表'!N16,INDIRECT("'数据-取费表'!N"&amp;$K$1))</f>
        <v>#DIV/0!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30" customFormat="1" ht="13.5" customHeight="1" thickBot="1">
      <c r="A23" s="2790" t="s">
        <v>1387</v>
      </c>
      <c r="B23" s="2791" t="s">
        <v>2293</v>
      </c>
      <c r="C23" s="2792" t="e">
        <f ca="1">ROUND((C18+C19+C20+C21)*F22,0)</f>
        <v>#VALUE!</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30" customFormat="1" ht="13.5" customHeight="1" thickBot="1">
      <c r="A24" s="3706" t="s">
        <v>1392</v>
      </c>
      <c r="B24" s="3707"/>
      <c r="C24" s="2797">
        <f>ROUND(C6*F24/(1+'数据-取费表'!B42),0)</f>
        <v>0</v>
      </c>
      <c r="D24" s="2798"/>
      <c r="E24" s="2799"/>
      <c r="F24" s="2800">
        <f>'数据-取费表'!B41</f>
        <v>0</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30" customFormat="1" ht="13.5" customHeight="1" thickBot="1">
      <c r="A25" s="3706" t="s">
        <v>2290</v>
      </c>
      <c r="B25" s="3707"/>
      <c r="C25" s="2797">
        <f>ROUND(C6*F25,0)</f>
        <v>0</v>
      </c>
      <c r="D25" s="2798"/>
      <c r="E25" s="2799"/>
      <c r="F25" s="2803">
        <f>'数据-取费表'!B38</f>
        <v>0</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5" customFormat="1" ht="13.5" customHeight="1" thickBot="1">
      <c r="A26" s="3706" t="s">
        <v>2291</v>
      </c>
      <c r="B26" s="3707"/>
      <c r="C26" s="2809"/>
      <c r="D26" s="2810"/>
      <c r="E26" s="2810"/>
      <c r="F26" s="2811">
        <f>'数据-取费表'!B48+'数据-取费表'!B49</f>
        <v>0</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708" t="s">
        <v>2289</v>
      </c>
      <c r="B27" s="3709"/>
      <c r="C27" s="2805" t="e">
        <f ca="1">(C6-C23-C24-C25)/((1+F26)*(1+D20+F21))</f>
        <v>#VALUE!</v>
      </c>
      <c r="D27" s="2806"/>
      <c r="E27" s="2806"/>
      <c r="F27" s="2806"/>
      <c r="G27" s="2807" t="s">
        <v>2228</v>
      </c>
      <c r="H27" s="2806"/>
      <c r="I27" s="2806"/>
      <c r="J27" s="2806"/>
      <c r="K27" s="2808"/>
    </row>
    <row r="28" spans="1:26" s="1724" customFormat="1">
      <c r="A28" s="2713"/>
      <c r="C28" s="2714"/>
      <c r="E28" s="2713"/>
    </row>
    <row r="29" spans="1:26" s="1724" customFormat="1" ht="12.75" customHeight="1">
      <c r="A29" s="2713"/>
      <c r="C29" s="2714"/>
      <c r="E29" s="2713"/>
    </row>
    <row r="30" spans="1:26" s="1724" customFormat="1">
      <c r="A30" s="2713"/>
      <c r="C30" s="2714"/>
      <c r="E30" s="2713"/>
    </row>
    <row r="31" spans="1:26" s="1724" customFormat="1">
      <c r="A31" s="2713"/>
      <c r="C31" s="2714"/>
      <c r="E31" s="2713"/>
    </row>
    <row r="32" spans="1:26" s="1724" customFormat="1">
      <c r="A32" s="2713"/>
      <c r="C32" s="2714"/>
      <c r="E32" s="2713"/>
    </row>
    <row r="33" spans="1:5" s="1724" customFormat="1">
      <c r="A33" s="2713"/>
      <c r="C33" s="2714"/>
      <c r="E33" s="2713"/>
    </row>
    <row r="34" spans="1:5" s="1724" customFormat="1">
      <c r="A34" s="2713"/>
      <c r="C34" s="2714"/>
      <c r="E34" s="2713"/>
    </row>
    <row r="35" spans="1:5" s="1724" customFormat="1">
      <c r="A35" s="2713"/>
      <c r="C35" s="2714"/>
      <c r="E35" s="2713"/>
    </row>
    <row r="36" spans="1:5" s="1724" customFormat="1">
      <c r="A36" s="2713"/>
      <c r="C36" s="2714"/>
      <c r="E36" s="2713"/>
    </row>
    <row r="37" spans="1:5" s="1724" customFormat="1">
      <c r="A37" s="2713"/>
      <c r="C37" s="2714"/>
      <c r="E37" s="2713"/>
    </row>
    <row r="38" spans="1:5" s="1724" customFormat="1">
      <c r="A38" s="2713"/>
      <c r="C38" s="2714"/>
      <c r="E38" s="2713"/>
    </row>
    <row r="39" spans="1:5" s="1724" customFormat="1">
      <c r="A39" s="2713"/>
      <c r="C39" s="2714"/>
      <c r="E39" s="2713"/>
    </row>
    <row r="40" spans="1:5" s="1724" customFormat="1">
      <c r="A40" s="2713"/>
      <c r="C40" s="2714"/>
      <c r="E40" s="2713"/>
    </row>
    <row r="41" spans="1:5" s="1724" customFormat="1">
      <c r="A41" s="2713"/>
      <c r="C41" s="2714"/>
      <c r="E41" s="2713"/>
    </row>
    <row r="42" spans="1:5" s="1724" customFormat="1">
      <c r="A42" s="2713"/>
      <c r="C42" s="2714"/>
      <c r="E42" s="2713"/>
    </row>
    <row r="43" spans="1:5" s="1724" customFormat="1">
      <c r="A43" s="2713"/>
      <c r="C43" s="2714"/>
      <c r="E43" s="2713"/>
    </row>
    <row r="44" spans="1:5" s="1724" customFormat="1">
      <c r="A44" s="2713"/>
      <c r="C44" s="2714"/>
      <c r="E44" s="2713"/>
    </row>
    <row r="45" spans="1:5" s="1724" customFormat="1">
      <c r="A45" s="2713"/>
      <c r="C45" s="2714"/>
      <c r="E45" s="2713"/>
    </row>
    <row r="46" spans="1:5" s="1724" customFormat="1">
      <c r="A46" s="2713"/>
      <c r="C46" s="2714"/>
      <c r="E46" s="2713"/>
    </row>
    <row r="47" spans="1:5" s="1724" customFormat="1">
      <c r="A47" s="2713"/>
      <c r="C47" s="2714"/>
      <c r="E47" s="2713"/>
    </row>
    <row r="48" spans="1:5"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1423</v>
      </c>
      <c r="B36" s="1374" t="s">
        <v>1424</v>
      </c>
    </row>
    <row r="37" spans="1:9" ht="28.5" customHeight="1">
      <c r="A37" s="1374"/>
      <c r="B37" s="3536" t="str">
        <f>项目基本情况!B1</f>
        <v>出让国有建设用地使用权市场价格预评估</v>
      </c>
      <c r="C37" s="3536"/>
      <c r="D37" s="3536"/>
      <c r="E37" s="3536"/>
      <c r="F37" s="3536"/>
      <c r="G37" s="3536"/>
      <c r="H37" s="3536"/>
      <c r="I37" s="3536"/>
    </row>
    <row r="38" spans="1:9">
      <c r="A38" s="1376"/>
      <c r="B38" s="1376"/>
    </row>
    <row r="39" spans="1:9">
      <c r="A39" s="1374" t="s">
        <v>1423</v>
      </c>
      <c r="B39" s="1374" t="s">
        <v>1562</v>
      </c>
    </row>
    <row r="40" spans="1:9">
      <c r="A40" s="1374"/>
      <c r="B40" s="1374">
        <f>项目基本情况!B5</f>
        <v>0</v>
      </c>
    </row>
    <row r="41" spans="1:9">
      <c r="A41" s="1374"/>
      <c r="B41" s="1374"/>
    </row>
    <row r="42" spans="1:9">
      <c r="A42" s="1374" t="s">
        <v>1423</v>
      </c>
      <c r="B42" s="1374" t="s">
        <v>1563</v>
      </c>
    </row>
    <row r="43" spans="1:9">
      <c r="A43" s="1374"/>
      <c r="B43" s="1374" t="s">
        <v>1425</v>
      </c>
    </row>
    <row r="44" spans="1:9">
      <c r="A44" s="1374"/>
      <c r="B44" s="1374"/>
    </row>
    <row r="45" spans="1:9">
      <c r="A45" s="1374" t="s">
        <v>1423</v>
      </c>
      <c r="B45" s="1374" t="s">
        <v>1561</v>
      </c>
    </row>
    <row r="46" spans="1:9" s="1374" customFormat="1" ht="12.75">
      <c r="B46" s="1374" t="str">
        <f>项目基本情况!K4</f>
        <v>土地估价师、土地估价师</v>
      </c>
    </row>
    <row r="47" spans="1:9">
      <c r="A47" s="1374"/>
      <c r="B47" s="1374"/>
    </row>
    <row r="48" spans="1:9">
      <c r="A48" s="1374" t="s">
        <v>1423</v>
      </c>
      <c r="B48" s="1374" t="s">
        <v>1564</v>
      </c>
    </row>
    <row r="49" spans="2:2">
      <c r="B49" s="1374"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B1" zoomScaleNormal="95" zoomScaleSheetLayoutView="100" workbookViewId="0">
      <selection activeCell="F40" sqref="F40"/>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464</v>
      </c>
      <c r="D1" s="456" t="s">
        <v>465</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t="e">
        <f>F67</f>
        <v>#DIV/0!</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1215</v>
      </c>
      <c r="B3" s="461" t="e">
        <f>ROUND(B2*10000/'数据-汇总表'!E3,0)</f>
        <v>#DIV/0!</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467</v>
      </c>
      <c r="B4" s="397" t="e">
        <f>IF(B48="单位面积地价",C50,ROUND(B2*10000/'数据-汇总表'!D3,0))</f>
        <v>#DIV/0!</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0.25">
      <c r="A6" s="463" t="s">
        <v>468</v>
      </c>
      <c r="B6" s="464"/>
      <c r="C6" s="3733" t="s">
        <v>469</v>
      </c>
      <c r="D6" s="3734"/>
      <c r="E6" s="3733" t="s">
        <v>470</v>
      </c>
      <c r="F6" s="3734"/>
      <c r="G6" s="3733" t="s">
        <v>471</v>
      </c>
      <c r="H6" s="3734"/>
      <c r="I6" s="3733" t="s">
        <v>472</v>
      </c>
      <c r="J6" s="3734"/>
      <c r="K6" s="465" t="s">
        <v>473</v>
      </c>
      <c r="L6" s="1742"/>
      <c r="M6" s="1741"/>
      <c r="N6" s="1741"/>
      <c r="O6" s="1743"/>
      <c r="P6" s="3735" t="s">
        <v>474</v>
      </c>
      <c r="Q6" s="3736"/>
      <c r="R6" s="3719" t="s">
        <v>470</v>
      </c>
      <c r="S6" s="3720"/>
      <c r="T6" s="3719" t="s">
        <v>471</v>
      </c>
      <c r="U6" s="3720"/>
      <c r="V6" s="3741" t="s">
        <v>472</v>
      </c>
      <c r="W6" s="3741"/>
      <c r="X6" s="1303"/>
      <c r="Y6" s="3719" t="s">
        <v>474</v>
      </c>
      <c r="Z6" s="3720"/>
      <c r="AA6" s="3714" t="s">
        <v>470</v>
      </c>
      <c r="AB6" s="3715" t="s">
        <v>471</v>
      </c>
      <c r="AC6" s="3714" t="s">
        <v>472</v>
      </c>
    </row>
    <row r="7" spans="1:29" ht="20.25">
      <c r="A7" s="466"/>
      <c r="B7" s="467"/>
      <c r="C7" s="3744" t="s">
        <v>2189</v>
      </c>
      <c r="D7" s="3745"/>
      <c r="E7" s="3744" t="s">
        <v>2190</v>
      </c>
      <c r="F7" s="3745"/>
      <c r="G7" s="3744" t="s">
        <v>2191</v>
      </c>
      <c r="H7" s="3745"/>
      <c r="I7" s="3744" t="s">
        <v>2192</v>
      </c>
      <c r="J7" s="3745"/>
      <c r="K7" s="465"/>
      <c r="L7" s="1742"/>
      <c r="M7" s="1741"/>
      <c r="N7" s="1741"/>
      <c r="O7" s="1743"/>
      <c r="P7" s="3737"/>
      <c r="Q7" s="3738"/>
      <c r="R7" s="3721"/>
      <c r="S7" s="3722"/>
      <c r="T7" s="3721"/>
      <c r="U7" s="3722"/>
      <c r="V7" s="3741"/>
      <c r="W7" s="3741"/>
      <c r="X7" s="1303"/>
      <c r="Y7" s="3721"/>
      <c r="Z7" s="3722"/>
      <c r="AA7" s="3715"/>
      <c r="AB7" s="3715"/>
      <c r="AC7" s="3715"/>
    </row>
    <row r="8" spans="1:29" ht="21" thickBot="1">
      <c r="A8" s="466"/>
      <c r="B8" s="467"/>
      <c r="C8" s="3746" t="s">
        <v>2193</v>
      </c>
      <c r="D8" s="3747"/>
      <c r="E8" s="3746" t="s">
        <v>2193</v>
      </c>
      <c r="F8" s="3747"/>
      <c r="G8" s="3742" t="s">
        <v>2193</v>
      </c>
      <c r="H8" s="3743"/>
      <c r="I8" s="3742" t="s">
        <v>2193</v>
      </c>
      <c r="J8" s="3743"/>
      <c r="K8" s="465" t="s">
        <v>475</v>
      </c>
      <c r="L8" s="1742"/>
      <c r="M8" s="1741"/>
      <c r="N8" s="1741"/>
      <c r="O8" s="1743"/>
      <c r="P8" s="3739"/>
      <c r="Q8" s="3740"/>
      <c r="R8" s="3721"/>
      <c r="S8" s="3722"/>
      <c r="T8" s="3723"/>
      <c r="U8" s="3724"/>
      <c r="V8" s="3741"/>
      <c r="W8" s="3741"/>
      <c r="X8" s="1303"/>
      <c r="Y8" s="3723"/>
      <c r="Z8" s="3724"/>
      <c r="AA8" s="3716"/>
      <c r="AB8" s="3716"/>
      <c r="AC8" s="3716"/>
    </row>
    <row r="9" spans="1:29" s="1060" customFormat="1" ht="21" thickBot="1">
      <c r="A9" s="2210"/>
      <c r="B9" s="2217" t="s">
        <v>476</v>
      </c>
      <c r="C9" s="2209">
        <f>'数据-取费表'!B2</f>
        <v>41863</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717" t="s">
        <v>477</v>
      </c>
      <c r="Q9" s="3726"/>
      <c r="R9" s="1304" t="s">
        <v>5</v>
      </c>
      <c r="S9" s="1305">
        <f t="shared" ref="S9:S17" si="0">F9</f>
        <v>0</v>
      </c>
      <c r="T9" s="1304" t="s">
        <v>5</v>
      </c>
      <c r="U9" s="1305">
        <f t="shared" ref="U9:U17" si="1">H9</f>
        <v>0</v>
      </c>
      <c r="V9" s="1304" t="s">
        <v>5</v>
      </c>
      <c r="W9" s="1305">
        <f t="shared" ref="W9:W17" si="2">J9</f>
        <v>0</v>
      </c>
      <c r="X9" s="1306"/>
      <c r="Y9" s="3717" t="s">
        <v>477</v>
      </c>
      <c r="Z9" s="3718"/>
      <c r="AA9" s="997" t="e">
        <f>D9/F9</f>
        <v>#DIV/0!</v>
      </c>
      <c r="AB9" s="997" t="e">
        <f>D9/H9</f>
        <v>#DIV/0!</v>
      </c>
      <c r="AC9" s="997" t="e">
        <f>D9/J9</f>
        <v>#DIV/0!</v>
      </c>
    </row>
    <row r="10" spans="1:29" s="1060" customFormat="1" ht="21" thickBot="1">
      <c r="A10" s="2211"/>
      <c r="B10" s="2218" t="s">
        <v>478</v>
      </c>
      <c r="C10" s="790" t="s">
        <v>479</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717" t="s">
        <v>480</v>
      </c>
      <c r="Q10" s="3718"/>
      <c r="R10" s="1304" t="s">
        <v>5</v>
      </c>
      <c r="S10" s="1305">
        <f t="shared" si="0"/>
        <v>0</v>
      </c>
      <c r="T10" s="1304" t="s">
        <v>5</v>
      </c>
      <c r="U10" s="1305">
        <f t="shared" si="1"/>
        <v>0</v>
      </c>
      <c r="V10" s="1304" t="s">
        <v>5</v>
      </c>
      <c r="W10" s="1305">
        <f t="shared" si="2"/>
        <v>0</v>
      </c>
      <c r="X10" s="1306"/>
      <c r="Y10" s="3717" t="s">
        <v>480</v>
      </c>
      <c r="Z10" s="3718"/>
      <c r="AA10" s="997" t="e">
        <f t="shared" ref="AA10:AA47" si="3">D10/F10</f>
        <v>#DIV/0!</v>
      </c>
      <c r="AB10" s="997" t="e">
        <f t="shared" ref="AB10:AB47" si="4">D10/H10</f>
        <v>#DIV/0!</v>
      </c>
      <c r="AC10" s="997" t="e">
        <f t="shared" ref="AC10:AC47" si="5">D10/J10</f>
        <v>#DIV/0!</v>
      </c>
    </row>
    <row r="11" spans="1:29" s="1060" customFormat="1" ht="20.25">
      <c r="A11" s="2212"/>
      <c r="B11" s="2219" t="s">
        <v>2036</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725" t="s">
        <v>482</v>
      </c>
      <c r="Q11" s="818" t="str">
        <f t="shared" ref="Q11:Q17" si="6">B11</f>
        <v>用途</v>
      </c>
      <c r="R11" s="1304" t="s">
        <v>5</v>
      </c>
      <c r="S11" s="1305">
        <f t="shared" si="0"/>
        <v>100</v>
      </c>
      <c r="T11" s="1304" t="s">
        <v>5</v>
      </c>
      <c r="U11" s="1305">
        <f t="shared" si="1"/>
        <v>100</v>
      </c>
      <c r="V11" s="1304" t="s">
        <v>5</v>
      </c>
      <c r="W11" s="1305">
        <f t="shared" si="2"/>
        <v>100</v>
      </c>
      <c r="X11" s="1306"/>
      <c r="Y11" s="3673" t="s">
        <v>483</v>
      </c>
      <c r="Z11" s="997" t="str">
        <f t="shared" ref="Z11:Z17" si="7">Q11</f>
        <v>用途</v>
      </c>
      <c r="AA11" s="997">
        <f t="shared" si="3"/>
        <v>1</v>
      </c>
      <c r="AB11" s="997">
        <f t="shared" si="4"/>
        <v>1</v>
      </c>
      <c r="AC11" s="997">
        <f t="shared" si="5"/>
        <v>1</v>
      </c>
    </row>
    <row r="12" spans="1:29" s="1133" customFormat="1" ht="27">
      <c r="A12" s="2213"/>
      <c r="B12" s="2218" t="s">
        <v>2037</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725"/>
      <c r="Q12" s="818" t="str">
        <f t="shared" si="6"/>
        <v>土地使用年限（年）</v>
      </c>
      <c r="R12" s="1304" t="s">
        <v>5</v>
      </c>
      <c r="S12" s="1305" t="e">
        <f t="shared" si="0"/>
        <v>#DIV/0!</v>
      </c>
      <c r="T12" s="1304" t="s">
        <v>5</v>
      </c>
      <c r="U12" s="1305" t="e">
        <f t="shared" si="1"/>
        <v>#DIV/0!</v>
      </c>
      <c r="V12" s="1304" t="s">
        <v>5</v>
      </c>
      <c r="W12" s="1305" t="e">
        <f t="shared" si="2"/>
        <v>#DIV/0!</v>
      </c>
      <c r="X12" s="1306"/>
      <c r="Y12" s="3673"/>
      <c r="Z12" s="997" t="str">
        <f t="shared" si="7"/>
        <v>土地使用年限（年）</v>
      </c>
      <c r="AA12" s="997" t="e">
        <f t="shared" si="3"/>
        <v>#DIV/0!</v>
      </c>
      <c r="AB12" s="997" t="e">
        <f t="shared" si="4"/>
        <v>#DIV/0!</v>
      </c>
      <c r="AC12" s="997" t="e">
        <f t="shared" si="5"/>
        <v>#DIV/0!</v>
      </c>
    </row>
    <row r="13" spans="1:29" ht="20.25">
      <c r="A13" s="2214"/>
      <c r="B13" s="2218" t="s">
        <v>2038</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725"/>
      <c r="Q13" s="818" t="str">
        <f t="shared" si="6"/>
        <v>容积率</v>
      </c>
      <c r="R13" s="1304" t="s">
        <v>5</v>
      </c>
      <c r="S13" s="1305" t="e">
        <f t="shared" si="0"/>
        <v>#N/A</v>
      </c>
      <c r="T13" s="1304" t="s">
        <v>5</v>
      </c>
      <c r="U13" s="1305" t="e">
        <f t="shared" si="1"/>
        <v>#N/A</v>
      </c>
      <c r="V13" s="1304" t="s">
        <v>5</v>
      </c>
      <c r="W13" s="1305" t="e">
        <f t="shared" si="2"/>
        <v>#N/A</v>
      </c>
      <c r="X13" s="1306"/>
      <c r="Y13" s="3673"/>
      <c r="Z13" s="997" t="str">
        <f t="shared" si="7"/>
        <v>容积率</v>
      </c>
      <c r="AA13" s="997" t="e">
        <f t="shared" si="3"/>
        <v>#N/A</v>
      </c>
      <c r="AB13" s="997" t="e">
        <f t="shared" si="4"/>
        <v>#N/A</v>
      </c>
      <c r="AC13" s="997" t="e">
        <f t="shared" si="5"/>
        <v>#N/A</v>
      </c>
    </row>
    <row r="14" spans="1:29" s="1060" customFormat="1" ht="20.25">
      <c r="A14" s="2211"/>
      <c r="B14" s="2220" t="s">
        <v>2039</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725"/>
      <c r="Q14" s="818" t="str">
        <f t="shared" si="6"/>
        <v>配建</v>
      </c>
      <c r="R14" s="1304" t="s">
        <v>5</v>
      </c>
      <c r="S14" s="1305">
        <f t="shared" si="0"/>
        <v>100</v>
      </c>
      <c r="T14" s="1304" t="s">
        <v>5</v>
      </c>
      <c r="U14" s="1305">
        <f t="shared" si="1"/>
        <v>100</v>
      </c>
      <c r="V14" s="1304" t="s">
        <v>5</v>
      </c>
      <c r="W14" s="1305">
        <f t="shared" si="2"/>
        <v>100</v>
      </c>
      <c r="X14" s="1306"/>
      <c r="Y14" s="3673"/>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725"/>
      <c r="Q15" s="818">
        <f t="shared" si="6"/>
        <v>111</v>
      </c>
      <c r="R15" s="1304" t="s">
        <v>5</v>
      </c>
      <c r="S15" s="1305">
        <f t="shared" si="0"/>
        <v>100</v>
      </c>
      <c r="T15" s="1304" t="s">
        <v>5</v>
      </c>
      <c r="U15" s="1305">
        <f t="shared" si="1"/>
        <v>100</v>
      </c>
      <c r="V15" s="1304" t="s">
        <v>5</v>
      </c>
      <c r="W15" s="1305">
        <f t="shared" si="2"/>
        <v>100</v>
      </c>
      <c r="X15" s="1306"/>
      <c r="Y15" s="3673"/>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725"/>
      <c r="Q16" s="818">
        <f t="shared" si="6"/>
        <v>111</v>
      </c>
      <c r="R16" s="1304" t="s">
        <v>5</v>
      </c>
      <c r="S16" s="1305">
        <f t="shared" si="0"/>
        <v>100</v>
      </c>
      <c r="T16" s="1304" t="s">
        <v>5</v>
      </c>
      <c r="U16" s="1305">
        <f t="shared" si="1"/>
        <v>100</v>
      </c>
      <c r="V16" s="1304" t="s">
        <v>5</v>
      </c>
      <c r="W16" s="1305">
        <f t="shared" si="2"/>
        <v>100</v>
      </c>
      <c r="X16" s="1306"/>
      <c r="Y16" s="3673"/>
      <c r="Z16" s="997">
        <f t="shared" si="7"/>
        <v>111</v>
      </c>
      <c r="AA16" s="997">
        <f>D16/F16</f>
        <v>1</v>
      </c>
      <c r="AB16" s="997">
        <f>D16/H16</f>
        <v>1</v>
      </c>
      <c r="AC16" s="997">
        <f>D16/J16</f>
        <v>1</v>
      </c>
    </row>
    <row r="17" spans="1:29" ht="99.75">
      <c r="A17" s="2208" t="s">
        <v>2034</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727" t="s">
        <v>487</v>
      </c>
      <c r="Q17" s="1307" t="str">
        <f t="shared" si="6"/>
        <v>居住社区成熟度</v>
      </c>
      <c r="R17" s="1308" t="s">
        <v>5</v>
      </c>
      <c r="S17" s="1309">
        <f t="shared" si="0"/>
        <v>100</v>
      </c>
      <c r="T17" s="1308" t="s">
        <v>5</v>
      </c>
      <c r="U17" s="1309">
        <f t="shared" si="1"/>
        <v>100</v>
      </c>
      <c r="V17" s="1308" t="s">
        <v>5</v>
      </c>
      <c r="W17" s="1309">
        <f t="shared" si="2"/>
        <v>100</v>
      </c>
      <c r="X17" s="1303"/>
      <c r="Y17" s="3727" t="s">
        <v>487</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728"/>
      <c r="Q18" s="1307"/>
      <c r="R18" s="1308"/>
      <c r="S18" s="1309"/>
      <c r="T18" s="1308"/>
      <c r="U18" s="1309"/>
      <c r="V18" s="1308"/>
      <c r="W18" s="1309"/>
      <c r="X18" s="1303"/>
      <c r="Y18" s="3728"/>
      <c r="Z18" s="1310"/>
      <c r="AA18" s="1310">
        <v>1</v>
      </c>
      <c r="AB18" s="1310">
        <v>1</v>
      </c>
      <c r="AC18" s="1310">
        <v>1</v>
      </c>
    </row>
    <row r="19" spans="1:29" ht="71.25">
      <c r="A19" s="482"/>
      <c r="B19" s="510" t="s">
        <v>488</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728"/>
      <c r="Q19" s="1307" t="str">
        <f>B19</f>
        <v>商业繁华度</v>
      </c>
      <c r="R19" s="1308" t="s">
        <v>5</v>
      </c>
      <c r="S19" s="1309">
        <f>F19</f>
        <v>100</v>
      </c>
      <c r="T19" s="1308" t="s">
        <v>5</v>
      </c>
      <c r="U19" s="1309">
        <f>H19</f>
        <v>100</v>
      </c>
      <c r="V19" s="1308" t="s">
        <v>5</v>
      </c>
      <c r="W19" s="1309">
        <f>J19</f>
        <v>100</v>
      </c>
      <c r="X19" s="1303"/>
      <c r="Y19" s="3728"/>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728"/>
      <c r="Q20" s="1307"/>
      <c r="R20" s="1308"/>
      <c r="S20" s="1309"/>
      <c r="T20" s="1308"/>
      <c r="U20" s="1309"/>
      <c r="V20" s="1308"/>
      <c r="W20" s="1309"/>
      <c r="X20" s="1303"/>
      <c r="Y20" s="3728"/>
      <c r="Z20" s="1310"/>
      <c r="AA20" s="1310">
        <v>1</v>
      </c>
      <c r="AB20" s="1310">
        <v>1</v>
      </c>
      <c r="AC20" s="1310">
        <v>1</v>
      </c>
    </row>
    <row r="21" spans="1:29" ht="71.25">
      <c r="A21" s="482"/>
      <c r="B21" s="510" t="s">
        <v>489</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728"/>
      <c r="Q21" s="1307" t="str">
        <f>B21</f>
        <v>办公集聚程度</v>
      </c>
      <c r="R21" s="1308" t="s">
        <v>5</v>
      </c>
      <c r="S21" s="1309">
        <f>F21</f>
        <v>100</v>
      </c>
      <c r="T21" s="1308" t="s">
        <v>5</v>
      </c>
      <c r="U21" s="1309">
        <f>H21</f>
        <v>100</v>
      </c>
      <c r="V21" s="1308" t="s">
        <v>5</v>
      </c>
      <c r="W21" s="1309">
        <f>J21</f>
        <v>100</v>
      </c>
      <c r="X21" s="1303"/>
      <c r="Y21" s="3728"/>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728"/>
      <c r="Q22" s="1307"/>
      <c r="R22" s="1308"/>
      <c r="S22" s="1309"/>
      <c r="T22" s="1308"/>
      <c r="U22" s="1309"/>
      <c r="V22" s="1308"/>
      <c r="W22" s="1309"/>
      <c r="X22" s="1303"/>
      <c r="Y22" s="3728"/>
      <c r="Z22" s="1310"/>
      <c r="AA22" s="1310">
        <v>1</v>
      </c>
      <c r="AB22" s="1310">
        <v>1</v>
      </c>
      <c r="AC22" s="1310">
        <v>1</v>
      </c>
    </row>
    <row r="23" spans="1:29" ht="85.5">
      <c r="A23" s="482"/>
      <c r="B23" s="510" t="s">
        <v>490</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728"/>
      <c r="Q23" s="1307" t="str">
        <f>B23</f>
        <v>交通便捷度</v>
      </c>
      <c r="R23" s="1308" t="s">
        <v>5</v>
      </c>
      <c r="S23" s="1309">
        <f>F23</f>
        <v>100</v>
      </c>
      <c r="T23" s="1308" t="s">
        <v>5</v>
      </c>
      <c r="U23" s="1309">
        <f>H23</f>
        <v>100</v>
      </c>
      <c r="V23" s="1308" t="s">
        <v>5</v>
      </c>
      <c r="W23" s="1309">
        <f>J23</f>
        <v>100</v>
      </c>
      <c r="X23" s="1303"/>
      <c r="Y23" s="3728"/>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728"/>
      <c r="Q24" s="1307"/>
      <c r="R24" s="1308"/>
      <c r="S24" s="1309"/>
      <c r="T24" s="1308"/>
      <c r="U24" s="1309"/>
      <c r="V24" s="1308"/>
      <c r="W24" s="1309"/>
      <c r="X24" s="1303"/>
      <c r="Y24" s="3728"/>
      <c r="Z24" s="1310"/>
      <c r="AA24" s="1310">
        <v>1</v>
      </c>
      <c r="AB24" s="1310">
        <v>1</v>
      </c>
      <c r="AC24" s="1310">
        <v>1</v>
      </c>
    </row>
    <row r="25" spans="1:29" ht="27">
      <c r="A25" s="466"/>
      <c r="B25" s="239" t="s">
        <v>491</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728"/>
      <c r="Q25" s="1307" t="str">
        <f t="shared" ref="Q25:Q39" si="8">B25</f>
        <v>区域土地利用方向</v>
      </c>
      <c r="R25" s="1308" t="s">
        <v>5</v>
      </c>
      <c r="S25" s="1309">
        <f>F25</f>
        <v>100</v>
      </c>
      <c r="T25" s="1308" t="s">
        <v>5</v>
      </c>
      <c r="U25" s="1309">
        <f>H25</f>
        <v>100</v>
      </c>
      <c r="V25" s="1308" t="s">
        <v>5</v>
      </c>
      <c r="W25" s="1309">
        <f>J25</f>
        <v>100</v>
      </c>
      <c r="X25" s="1303"/>
      <c r="Y25" s="3728"/>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728"/>
      <c r="Q26" s="1307"/>
      <c r="R26" s="1308"/>
      <c r="S26" s="1309"/>
      <c r="T26" s="1308"/>
      <c r="U26" s="1309"/>
      <c r="V26" s="1308"/>
      <c r="W26" s="1309"/>
      <c r="X26" s="1303"/>
      <c r="Y26" s="3728"/>
      <c r="Z26" s="1310"/>
      <c r="AA26" s="1310"/>
      <c r="AB26" s="1310"/>
      <c r="AC26" s="1310"/>
    </row>
    <row r="27" spans="1:29" ht="57">
      <c r="A27" s="466"/>
      <c r="B27" s="528" t="s">
        <v>492</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728"/>
      <c r="Q27" s="1307" t="str">
        <f t="shared" si="8"/>
        <v>自然及人文环境状况</v>
      </c>
      <c r="R27" s="1308" t="s">
        <v>5</v>
      </c>
      <c r="S27" s="1309">
        <f>F27</f>
        <v>100</v>
      </c>
      <c r="T27" s="1308" t="s">
        <v>5</v>
      </c>
      <c r="U27" s="1309">
        <f>H27</f>
        <v>100</v>
      </c>
      <c r="V27" s="1308" t="s">
        <v>5</v>
      </c>
      <c r="W27" s="1309">
        <f>J27</f>
        <v>100</v>
      </c>
      <c r="X27" s="1303"/>
      <c r="Y27" s="3728"/>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728"/>
      <c r="Q28" s="1307"/>
      <c r="R28" s="1308"/>
      <c r="S28" s="1309"/>
      <c r="T28" s="1308"/>
      <c r="U28" s="1309"/>
      <c r="V28" s="1308"/>
      <c r="W28" s="1309"/>
      <c r="X28" s="1303"/>
      <c r="Y28" s="3728"/>
      <c r="Z28" s="1310"/>
      <c r="AA28" s="1310">
        <v>1</v>
      </c>
      <c r="AB28" s="1310">
        <v>1</v>
      </c>
      <c r="AC28" s="1310">
        <v>1</v>
      </c>
    </row>
    <row r="29" spans="1:29" s="1060" customFormat="1" ht="42.75">
      <c r="A29" s="527"/>
      <c r="B29" s="2051" t="s">
        <v>1829</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728"/>
      <c r="Q29" s="818" t="str">
        <f t="shared" si="8"/>
        <v>公共配套设施</v>
      </c>
      <c r="R29" s="1304" t="s">
        <v>5</v>
      </c>
      <c r="S29" s="1305">
        <f>F29</f>
        <v>100</v>
      </c>
      <c r="T29" s="1304" t="s">
        <v>5</v>
      </c>
      <c r="U29" s="1305">
        <f>H29</f>
        <v>100</v>
      </c>
      <c r="V29" s="1304" t="s">
        <v>5</v>
      </c>
      <c r="W29" s="1305">
        <f>J29</f>
        <v>100</v>
      </c>
      <c r="X29" s="1306"/>
      <c r="Y29" s="3728"/>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728"/>
      <c r="Q30" s="818"/>
      <c r="R30" s="1304"/>
      <c r="S30" s="1305"/>
      <c r="T30" s="1304"/>
      <c r="U30" s="1305"/>
      <c r="V30" s="1304"/>
      <c r="W30" s="1305"/>
      <c r="X30" s="1306"/>
      <c r="Y30" s="3728"/>
      <c r="Z30" s="997"/>
      <c r="AA30" s="1310">
        <v>1</v>
      </c>
      <c r="AB30" s="1310">
        <v>1</v>
      </c>
      <c r="AC30" s="1310">
        <v>1</v>
      </c>
    </row>
    <row r="31" spans="1:29" s="1060" customFormat="1" ht="28.5">
      <c r="A31" s="527"/>
      <c r="B31" s="2051" t="s">
        <v>1830</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728"/>
      <c r="Q31" s="818" t="str">
        <f>B31</f>
        <v>基础设施水平</v>
      </c>
      <c r="R31" s="1304" t="s">
        <v>5</v>
      </c>
      <c r="S31" s="1305">
        <f>F31</f>
        <v>100</v>
      </c>
      <c r="T31" s="1304" t="s">
        <v>5</v>
      </c>
      <c r="U31" s="1305">
        <f>H31</f>
        <v>100</v>
      </c>
      <c r="V31" s="1304" t="s">
        <v>5</v>
      </c>
      <c r="W31" s="1305">
        <f>J31</f>
        <v>100</v>
      </c>
      <c r="X31" s="1306"/>
      <c r="Y31" s="3728"/>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728"/>
      <c r="Q32" s="818"/>
      <c r="R32" s="1304"/>
      <c r="S32" s="1305"/>
      <c r="T32" s="1304"/>
      <c r="U32" s="1305"/>
      <c r="V32" s="1304"/>
      <c r="W32" s="1305"/>
      <c r="X32" s="1306"/>
      <c r="Y32" s="3728"/>
      <c r="Z32" s="997"/>
      <c r="AA32" s="1310">
        <v>1</v>
      </c>
      <c r="AB32" s="1310">
        <v>1</v>
      </c>
      <c r="AC32" s="1310">
        <v>1</v>
      </c>
    </row>
    <row r="33" spans="1:29" ht="20.25">
      <c r="A33" s="482"/>
      <c r="B33" s="516" t="s">
        <v>494</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728"/>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728"/>
      <c r="Z33" s="1310" t="str">
        <f t="shared" ref="Z33:Z47" si="12">Q33</f>
        <v>临街状况</v>
      </c>
      <c r="AA33" s="1310">
        <f t="shared" si="3"/>
        <v>1</v>
      </c>
      <c r="AB33" s="1310">
        <f t="shared" si="4"/>
        <v>1</v>
      </c>
      <c r="AC33" s="1310">
        <f t="shared" si="5"/>
        <v>1</v>
      </c>
    </row>
    <row r="34" spans="1:29" ht="27">
      <c r="A34" s="482"/>
      <c r="B34" s="528" t="s">
        <v>495</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728"/>
      <c r="Q34" s="1307" t="str">
        <f t="shared" si="8"/>
        <v>毗邻道路的类型与等级</v>
      </c>
      <c r="R34" s="1308" t="s">
        <v>5</v>
      </c>
      <c r="S34" s="1309">
        <f t="shared" si="9"/>
        <v>100</v>
      </c>
      <c r="T34" s="1308" t="s">
        <v>5</v>
      </c>
      <c r="U34" s="1309">
        <f t="shared" si="10"/>
        <v>100</v>
      </c>
      <c r="V34" s="1308" t="s">
        <v>5</v>
      </c>
      <c r="W34" s="1309">
        <f t="shared" si="11"/>
        <v>100</v>
      </c>
      <c r="X34" s="1303"/>
      <c r="Y34" s="3728"/>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728"/>
      <c r="Q35" s="1307"/>
      <c r="R35" s="1308"/>
      <c r="S35" s="1309"/>
      <c r="T35" s="1308"/>
      <c r="U35" s="1309"/>
      <c r="V35" s="1308"/>
      <c r="W35" s="1309"/>
      <c r="X35" s="1303"/>
      <c r="Y35" s="3728"/>
      <c r="Z35" s="1310"/>
      <c r="AA35" s="1310">
        <v>1</v>
      </c>
      <c r="AB35" s="1310">
        <v>1</v>
      </c>
      <c r="AC35" s="1310">
        <v>1</v>
      </c>
    </row>
    <row r="36" spans="1:29" ht="20.25">
      <c r="A36" s="482"/>
      <c r="B36" s="235" t="s">
        <v>496</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728"/>
      <c r="Q36" s="1307" t="str">
        <f t="shared" si="8"/>
        <v>土地级别</v>
      </c>
      <c r="R36" s="1308" t="s">
        <v>5</v>
      </c>
      <c r="S36" s="1309">
        <f t="shared" si="9"/>
        <v>100</v>
      </c>
      <c r="T36" s="1308" t="s">
        <v>5</v>
      </c>
      <c r="U36" s="1309">
        <f t="shared" si="10"/>
        <v>100</v>
      </c>
      <c r="V36" s="1308" t="s">
        <v>5</v>
      </c>
      <c r="W36" s="1309">
        <f t="shared" si="11"/>
        <v>100</v>
      </c>
      <c r="X36" s="1303"/>
      <c r="Y36" s="3728"/>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728"/>
      <c r="Q37" s="1307">
        <f t="shared" si="8"/>
        <v>111</v>
      </c>
      <c r="R37" s="1308" t="s">
        <v>5</v>
      </c>
      <c r="S37" s="1309">
        <f t="shared" si="9"/>
        <v>100</v>
      </c>
      <c r="T37" s="1308" t="s">
        <v>5</v>
      </c>
      <c r="U37" s="1309">
        <f t="shared" si="10"/>
        <v>100</v>
      </c>
      <c r="V37" s="1308" t="s">
        <v>5</v>
      </c>
      <c r="W37" s="1309">
        <f t="shared" si="11"/>
        <v>100</v>
      </c>
      <c r="X37" s="1303"/>
      <c r="Y37" s="3728"/>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729" t="s">
        <v>497</v>
      </c>
      <c r="Q38" s="1307">
        <f t="shared" si="8"/>
        <v>111</v>
      </c>
      <c r="R38" s="1308" t="s">
        <v>5</v>
      </c>
      <c r="S38" s="1309">
        <f t="shared" si="9"/>
        <v>100</v>
      </c>
      <c r="T38" s="1308" t="s">
        <v>5</v>
      </c>
      <c r="U38" s="1309">
        <f t="shared" si="10"/>
        <v>100</v>
      </c>
      <c r="V38" s="1308" t="s">
        <v>5</v>
      </c>
      <c r="W38" s="1309">
        <f t="shared" si="11"/>
        <v>100</v>
      </c>
      <c r="X38" s="1303"/>
      <c r="Y38" s="3730" t="s">
        <v>497</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730"/>
      <c r="Q39" s="1307">
        <f t="shared" si="8"/>
        <v>111</v>
      </c>
      <c r="R39" s="1311" t="s">
        <v>5</v>
      </c>
      <c r="S39" s="1312">
        <f t="shared" si="9"/>
        <v>100</v>
      </c>
      <c r="T39" s="1311" t="s">
        <v>5</v>
      </c>
      <c r="U39" s="1312">
        <f t="shared" si="10"/>
        <v>100</v>
      </c>
      <c r="V39" s="1311" t="s">
        <v>5</v>
      </c>
      <c r="W39" s="1312">
        <f t="shared" si="11"/>
        <v>100</v>
      </c>
      <c r="X39" s="1313"/>
      <c r="Y39" s="3730"/>
      <c r="Z39" s="1314">
        <f t="shared" si="12"/>
        <v>111</v>
      </c>
      <c r="AA39" s="1310">
        <f t="shared" si="3"/>
        <v>1</v>
      </c>
      <c r="AB39" s="1310">
        <f t="shared" si="4"/>
        <v>1</v>
      </c>
      <c r="AC39" s="1310">
        <f t="shared" si="5"/>
        <v>1</v>
      </c>
    </row>
    <row r="40" spans="1:29" ht="20.25">
      <c r="A40" s="2205" t="s">
        <v>2035</v>
      </c>
      <c r="B40" s="544" t="s">
        <v>499</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730"/>
      <c r="Q40" s="1307" t="str">
        <f>B40</f>
        <v>宗地面积</v>
      </c>
      <c r="R40" s="1308" t="s">
        <v>5</v>
      </c>
      <c r="S40" s="1309" t="e">
        <f t="shared" si="9"/>
        <v>#N/A</v>
      </c>
      <c r="T40" s="1308" t="s">
        <v>5</v>
      </c>
      <c r="U40" s="1309" t="e">
        <f t="shared" si="10"/>
        <v>#N/A</v>
      </c>
      <c r="V40" s="1308" t="s">
        <v>5</v>
      </c>
      <c r="W40" s="1309" t="e">
        <f t="shared" si="11"/>
        <v>#N/A</v>
      </c>
      <c r="X40" s="1303"/>
      <c r="Y40" s="3730"/>
      <c r="Z40" s="1310" t="str">
        <f t="shared" si="12"/>
        <v>宗地面积</v>
      </c>
      <c r="AA40" s="1310" t="e">
        <f t="shared" si="3"/>
        <v>#N/A</v>
      </c>
      <c r="AB40" s="1310" t="e">
        <f t="shared" si="4"/>
        <v>#N/A</v>
      </c>
      <c r="AC40" s="1310" t="e">
        <f t="shared" si="5"/>
        <v>#N/A</v>
      </c>
    </row>
    <row r="41" spans="1:29" ht="20.25">
      <c r="A41" s="543"/>
      <c r="B41" s="477" t="s">
        <v>500</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730"/>
      <c r="Q41" s="1307" t="str">
        <f t="shared" ref="Q41:Q47" si="13">B41</f>
        <v>宗地形状</v>
      </c>
      <c r="R41" s="1308" t="s">
        <v>5</v>
      </c>
      <c r="S41" s="1309">
        <f t="shared" si="9"/>
        <v>100</v>
      </c>
      <c r="T41" s="1308" t="s">
        <v>5</v>
      </c>
      <c r="U41" s="1309">
        <f t="shared" si="10"/>
        <v>100</v>
      </c>
      <c r="V41" s="1308" t="s">
        <v>5</v>
      </c>
      <c r="W41" s="1309">
        <f t="shared" si="11"/>
        <v>100</v>
      </c>
      <c r="X41" s="1303"/>
      <c r="Y41" s="3730"/>
      <c r="Z41" s="1310" t="str">
        <f t="shared" si="12"/>
        <v>宗地形状</v>
      </c>
      <c r="AA41" s="1310">
        <f t="shared" si="3"/>
        <v>1</v>
      </c>
      <c r="AB41" s="1310">
        <f t="shared" si="4"/>
        <v>1</v>
      </c>
      <c r="AC41" s="1310">
        <f t="shared" si="5"/>
        <v>1</v>
      </c>
    </row>
    <row r="42" spans="1:29" ht="20.25">
      <c r="A42" s="543"/>
      <c r="B42" s="477" t="s">
        <v>501</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730"/>
      <c r="Q42" s="1307" t="str">
        <f t="shared" si="13"/>
        <v>临街宽度及深度</v>
      </c>
      <c r="R42" s="1308" t="s">
        <v>5</v>
      </c>
      <c r="S42" s="1309">
        <f t="shared" si="9"/>
        <v>100</v>
      </c>
      <c r="T42" s="1308" t="s">
        <v>5</v>
      </c>
      <c r="U42" s="1309">
        <f t="shared" si="10"/>
        <v>100</v>
      </c>
      <c r="V42" s="1308" t="s">
        <v>5</v>
      </c>
      <c r="W42" s="1309">
        <f t="shared" si="11"/>
        <v>100</v>
      </c>
      <c r="X42" s="1303"/>
      <c r="Y42" s="3730"/>
      <c r="Z42" s="1310" t="str">
        <f t="shared" si="12"/>
        <v>临街宽度及深度</v>
      </c>
      <c r="AA42" s="1310">
        <f t="shared" si="3"/>
        <v>1</v>
      </c>
      <c r="AB42" s="1310">
        <f t="shared" si="4"/>
        <v>1</v>
      </c>
      <c r="AC42" s="1310">
        <f t="shared" si="5"/>
        <v>1</v>
      </c>
    </row>
    <row r="43" spans="1:29" s="1060" customFormat="1" ht="20.25">
      <c r="A43" s="549"/>
      <c r="B43" s="1555" t="s">
        <v>1774</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730"/>
      <c r="Q43" s="1307" t="str">
        <f t="shared" si="13"/>
        <v>宗地开发程度</v>
      </c>
      <c r="R43" s="1304" t="s">
        <v>5</v>
      </c>
      <c r="S43" s="1305">
        <f t="shared" si="9"/>
        <v>100</v>
      </c>
      <c r="T43" s="1304" t="s">
        <v>5</v>
      </c>
      <c r="U43" s="1305">
        <f t="shared" si="10"/>
        <v>100</v>
      </c>
      <c r="V43" s="1304" t="s">
        <v>5</v>
      </c>
      <c r="W43" s="1305">
        <f t="shared" si="11"/>
        <v>100</v>
      </c>
      <c r="X43" s="1306"/>
      <c r="Y43" s="3730"/>
      <c r="Z43" s="997" t="str">
        <f t="shared" si="12"/>
        <v>宗地开发程度</v>
      </c>
      <c r="AA43" s="997">
        <f t="shared" si="3"/>
        <v>1</v>
      </c>
      <c r="AB43" s="997">
        <f t="shared" si="4"/>
        <v>1</v>
      </c>
      <c r="AC43" s="997">
        <f t="shared" si="5"/>
        <v>1</v>
      </c>
    </row>
    <row r="44" spans="1:29" ht="20.25">
      <c r="A44" s="543"/>
      <c r="B44" s="477" t="s">
        <v>502</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730" t="s">
        <v>497</v>
      </c>
      <c r="Q44" s="1307" t="str">
        <f t="shared" si="13"/>
        <v>工程地质条件</v>
      </c>
      <c r="R44" s="1308" t="s">
        <v>5</v>
      </c>
      <c r="S44" s="1309">
        <f t="shared" si="9"/>
        <v>100</v>
      </c>
      <c r="T44" s="1308" t="s">
        <v>5</v>
      </c>
      <c r="U44" s="1309">
        <f t="shared" si="10"/>
        <v>100</v>
      </c>
      <c r="V44" s="1308" t="s">
        <v>5</v>
      </c>
      <c r="W44" s="1309">
        <f t="shared" si="11"/>
        <v>100</v>
      </c>
      <c r="X44" s="1303"/>
      <c r="Y44" s="3730" t="s">
        <v>497</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730"/>
      <c r="Q45" s="1307">
        <f t="shared" si="13"/>
        <v>111</v>
      </c>
      <c r="R45" s="1308" t="s">
        <v>5</v>
      </c>
      <c r="S45" s="1309">
        <f t="shared" si="9"/>
        <v>100</v>
      </c>
      <c r="T45" s="1308" t="s">
        <v>5</v>
      </c>
      <c r="U45" s="1309">
        <f t="shared" si="10"/>
        <v>100</v>
      </c>
      <c r="V45" s="1308" t="s">
        <v>5</v>
      </c>
      <c r="W45" s="1309">
        <f t="shared" si="11"/>
        <v>100</v>
      </c>
      <c r="X45" s="1303"/>
      <c r="Y45" s="3730"/>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730"/>
      <c r="Q46" s="1307">
        <f t="shared" si="13"/>
        <v>111</v>
      </c>
      <c r="R46" s="1308" t="s">
        <v>5</v>
      </c>
      <c r="S46" s="1309">
        <f t="shared" si="9"/>
        <v>100</v>
      </c>
      <c r="T46" s="1308" t="s">
        <v>5</v>
      </c>
      <c r="U46" s="1309">
        <f t="shared" si="10"/>
        <v>100</v>
      </c>
      <c r="V46" s="1308" t="s">
        <v>5</v>
      </c>
      <c r="W46" s="1309">
        <f t="shared" si="11"/>
        <v>100</v>
      </c>
      <c r="X46" s="1303"/>
      <c r="Y46" s="3730"/>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730"/>
      <c r="Q47" s="1307">
        <f t="shared" si="13"/>
        <v>111</v>
      </c>
      <c r="R47" s="1311" t="s">
        <v>5</v>
      </c>
      <c r="S47" s="1312">
        <f t="shared" si="9"/>
        <v>100</v>
      </c>
      <c r="T47" s="1311" t="s">
        <v>5</v>
      </c>
      <c r="U47" s="1312">
        <f t="shared" si="10"/>
        <v>100</v>
      </c>
      <c r="V47" s="1311" t="s">
        <v>5</v>
      </c>
      <c r="W47" s="1312">
        <f t="shared" si="11"/>
        <v>100</v>
      </c>
      <c r="X47" s="1313"/>
      <c r="Y47" s="3730"/>
      <c r="Z47" s="1314">
        <f t="shared" si="12"/>
        <v>111</v>
      </c>
      <c r="AA47" s="1310">
        <f t="shared" si="3"/>
        <v>1</v>
      </c>
      <c r="AB47" s="1310">
        <f t="shared" si="4"/>
        <v>1</v>
      </c>
      <c r="AC47" s="1310">
        <f t="shared" si="5"/>
        <v>1</v>
      </c>
    </row>
    <row r="48" spans="1:29" ht="20.25">
      <c r="A48" s="556" t="s">
        <v>503</v>
      </c>
      <c r="B48" s="557" t="s">
        <v>2194</v>
      </c>
      <c r="C48" s="558" t="s">
        <v>0</v>
      </c>
      <c r="D48" s="559"/>
      <c r="E48" s="560"/>
      <c r="F48" s="561"/>
      <c r="G48" s="562"/>
      <c r="H48" s="563"/>
      <c r="I48" s="560"/>
      <c r="J48" s="563"/>
      <c r="K48" s="1135"/>
      <c r="L48" s="1752"/>
      <c r="M48" s="1741"/>
      <c r="N48" s="1741"/>
      <c r="O48" s="1743"/>
      <c r="P48" s="3725" t="str">
        <f>A48</f>
        <v>成交单价</v>
      </c>
      <c r="Q48" s="3725"/>
      <c r="R48" s="3741">
        <f>E48</f>
        <v>0</v>
      </c>
      <c r="S48" s="3741"/>
      <c r="T48" s="3741">
        <f>G48</f>
        <v>0</v>
      </c>
      <c r="U48" s="3741"/>
      <c r="V48" s="3741">
        <f>I48</f>
        <v>0</v>
      </c>
      <c r="W48" s="3741"/>
      <c r="X48" s="799"/>
      <c r="Y48" s="1315"/>
      <c r="Z48" s="799"/>
      <c r="AA48" s="799"/>
      <c r="AB48" s="799"/>
      <c r="AC48" s="799"/>
    </row>
    <row r="49" spans="1:29" ht="21" thickBot="1">
      <c r="A49" s="564" t="s">
        <v>1973</v>
      </c>
      <c r="B49" s="565"/>
      <c r="C49" s="566" t="e">
        <f>R50</f>
        <v>#DIV/0!</v>
      </c>
      <c r="D49" s="2551" t="s">
        <v>2258</v>
      </c>
      <c r="E49" s="566" t="e">
        <f>R49</f>
        <v>#DIV/0!</v>
      </c>
      <c r="F49" s="2552"/>
      <c r="G49" s="567" t="e">
        <f>T49</f>
        <v>#DIV/0!</v>
      </c>
      <c r="H49" s="2552"/>
      <c r="I49" s="566" t="e">
        <f>V49</f>
        <v>#DIV/0!</v>
      </c>
      <c r="J49" s="2552"/>
      <c r="K49" s="2553">
        <f>F49+H49+J49</f>
        <v>0</v>
      </c>
      <c r="L49" s="1752"/>
      <c r="M49" s="1741"/>
      <c r="N49" s="1741"/>
      <c r="O49" s="1743"/>
      <c r="P49" s="3725" t="str">
        <f>A49</f>
        <v>比较价格（元/平方米）</v>
      </c>
      <c r="Q49" s="3725"/>
      <c r="R49" s="3749" t="e">
        <f>ROUND(PRODUCT(R48,AA9:AA47),0)</f>
        <v>#DIV/0!</v>
      </c>
      <c r="S49" s="3749"/>
      <c r="T49" s="3749" t="e">
        <f>ROUND(PRODUCT(T48,AB9:AB47),0)</f>
        <v>#DIV/0!</v>
      </c>
      <c r="U49" s="3749"/>
      <c r="V49" s="3749" t="e">
        <f>ROUND(PRODUCT(V48,AC9:AC47),0)</f>
        <v>#DIV/0!</v>
      </c>
      <c r="W49" s="3749"/>
      <c r="X49" s="799"/>
      <c r="Y49" s="799"/>
      <c r="Z49" s="799"/>
      <c r="AA49" s="799"/>
      <c r="AB49" s="799"/>
      <c r="AC49" s="799"/>
    </row>
    <row r="50" spans="1:29" ht="21" thickBot="1">
      <c r="A50" s="568" t="s">
        <v>2195</v>
      </c>
      <c r="B50" s="569"/>
      <c r="C50" s="570" t="e">
        <f>R50</f>
        <v>#DIV/0!</v>
      </c>
      <c r="D50" s="570"/>
      <c r="E50" s="570"/>
      <c r="F50" s="570"/>
      <c r="G50" s="570"/>
      <c r="H50" s="570"/>
      <c r="I50" s="570"/>
      <c r="J50" s="570"/>
      <c r="K50" s="1136"/>
      <c r="L50" s="1752"/>
      <c r="M50" s="1741"/>
      <c r="N50" s="1741"/>
      <c r="O50" s="1743"/>
      <c r="P50" s="3731" t="str">
        <f>A50</f>
        <v>估价对象XX用房的比较价格（楼面单价，元/平方米）</v>
      </c>
      <c r="Q50" s="3732"/>
      <c r="R50" s="3748" t="e">
        <f>ROUND(IF(D49="简单平均",AVERAGE(R49:W49),R49*F49+T49*H49+V49*J49),0)</f>
        <v>#DIV/0!</v>
      </c>
      <c r="S50" s="3748"/>
      <c r="T50" s="3748"/>
      <c r="U50" s="3748"/>
      <c r="V50" s="3748"/>
      <c r="W50" s="3748"/>
      <c r="X50" s="799"/>
      <c r="Y50" s="799"/>
      <c r="Z50" s="799"/>
      <c r="AA50" s="799"/>
      <c r="AB50" s="799"/>
      <c r="AC50" s="799"/>
    </row>
    <row r="51" spans="1:29" ht="20.25">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0.25">
      <c r="A52" s="2721"/>
      <c r="B52" s="2721"/>
      <c r="C52" s="2721"/>
      <c r="D52" s="2721"/>
      <c r="E52" s="2721"/>
      <c r="F52" s="2721"/>
      <c r="G52" s="2721"/>
      <c r="H52" s="2721"/>
      <c r="I52" s="2721"/>
      <c r="J52" s="2721"/>
      <c r="K52" s="2724"/>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507</v>
      </c>
      <c r="B57" s="577" t="s">
        <v>508</v>
      </c>
      <c r="C57" s="1301" t="s">
        <v>1251</v>
      </c>
      <c r="D57" s="1822" t="s">
        <v>1648</v>
      </c>
      <c r="E57" s="578" t="s">
        <v>509</v>
      </c>
      <c r="F57" s="579" t="s">
        <v>510</v>
      </c>
      <c r="G57" s="3710" t="s">
        <v>1637</v>
      </c>
      <c r="H57" s="3711"/>
      <c r="I57" s="1298" t="s">
        <v>1249</v>
      </c>
      <c r="J57" s="1298">
        <f>项目基本情况!F41</f>
        <v>0</v>
      </c>
      <c r="K57" s="1760" t="s">
        <v>1250</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511</v>
      </c>
      <c r="B58" s="581" t="e">
        <f>C50</f>
        <v>#DIV/0!</v>
      </c>
      <c r="C58" s="582">
        <v>1</v>
      </c>
      <c r="D58" s="1823">
        <v>1</v>
      </c>
      <c r="E58" s="582">
        <f>'数据-汇总表'!E8+'数据-汇总表'!E9</f>
        <v>153333.32999999999</v>
      </c>
      <c r="F58" s="583" t="e">
        <f t="shared" ref="F58:F66" si="14">ROUND(B58*E58/10000,0)</f>
        <v>#DIV/0!</v>
      </c>
      <c r="G58" s="3712"/>
      <c r="H58" s="3713"/>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512</v>
      </c>
      <c r="B59" s="585" t="e">
        <f>ROUND($C$50*C59*D59,0)</f>
        <v>#DIV/0!</v>
      </c>
      <c r="C59" s="348">
        <f t="shared" ref="C59:C66" si="15">IF($C$57="北京市系数",I59,J59)</f>
        <v>0</v>
      </c>
      <c r="D59" s="1824">
        <v>0.25</v>
      </c>
      <c r="E59" s="586">
        <v>0</v>
      </c>
      <c r="F59" s="583" t="e">
        <f t="shared" si="14"/>
        <v>#DIV/0!</v>
      </c>
      <c r="G59" s="3028" t="s">
        <v>1638</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513</v>
      </c>
      <c r="B60" s="585" t="e">
        <f t="shared" ref="B60:B66" si="16">ROUND($C$50*C60*D60,0)</f>
        <v>#DIV/0!</v>
      </c>
      <c r="C60" s="348">
        <f t="shared" si="15"/>
        <v>0</v>
      </c>
      <c r="D60" s="1824">
        <v>0.25</v>
      </c>
      <c r="E60" s="586">
        <v>0</v>
      </c>
      <c r="F60" s="583" t="e">
        <f t="shared" si="14"/>
        <v>#DIV/0!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514</v>
      </c>
      <c r="B61" s="585" t="e">
        <f t="shared" si="16"/>
        <v>#DIV/0!</v>
      </c>
      <c r="C61" s="348">
        <f t="shared" si="15"/>
        <v>0</v>
      </c>
      <c r="D61" s="1824">
        <v>0.25</v>
      </c>
      <c r="E61" s="586">
        <v>0</v>
      </c>
      <c r="F61" s="583" t="e">
        <f t="shared" si="14"/>
        <v>#DIV/0!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1683</v>
      </c>
      <c r="B62" s="585" t="e">
        <f t="shared" si="16"/>
        <v>#DIV/0!</v>
      </c>
      <c r="C62" s="348">
        <f t="shared" si="15"/>
        <v>0</v>
      </c>
      <c r="D62" s="1824">
        <v>0.25</v>
      </c>
      <c r="E62" s="588">
        <f>'数据-汇总表'!E11</f>
        <v>0</v>
      </c>
      <c r="F62" s="583" t="e">
        <f t="shared" si="14"/>
        <v>#DIV/0!</v>
      </c>
      <c r="G62" s="1605" t="s">
        <v>1639</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515</v>
      </c>
      <c r="B63" s="585" t="e">
        <f t="shared" si="16"/>
        <v>#DIV/0!</v>
      </c>
      <c r="C63" s="348">
        <f t="shared" si="15"/>
        <v>0</v>
      </c>
      <c r="D63" s="1824">
        <v>0.25</v>
      </c>
      <c r="E63" s="588">
        <f>'数据-汇总表'!E12</f>
        <v>0</v>
      </c>
      <c r="F63" s="583" t="e">
        <f t="shared" si="14"/>
        <v>#DIV/0!</v>
      </c>
      <c r="G63" s="1606" t="s">
        <v>1210</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516</v>
      </c>
      <c r="B64" s="585" t="e">
        <f t="shared" si="16"/>
        <v>#DIV/0!</v>
      </c>
      <c r="C64" s="348">
        <f t="shared" si="15"/>
        <v>0</v>
      </c>
      <c r="D64" s="1824">
        <v>0.25</v>
      </c>
      <c r="E64" s="588">
        <f>'数据-汇总表'!E13</f>
        <v>0</v>
      </c>
      <c r="F64" s="583" t="e">
        <f t="shared" si="14"/>
        <v>#DIV/0!</v>
      </c>
      <c r="G64" s="1606" t="s">
        <v>849</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517</v>
      </c>
      <c r="B65" s="585" t="e">
        <f t="shared" si="16"/>
        <v>#DIV/0!</v>
      </c>
      <c r="C65" s="348">
        <f t="shared" si="15"/>
        <v>0</v>
      </c>
      <c r="D65" s="1824">
        <v>0.25</v>
      </c>
      <c r="E65" s="588">
        <f>'数据-汇总表'!E14</f>
        <v>0</v>
      </c>
      <c r="F65" s="583" t="e">
        <f t="shared" si="14"/>
        <v>#DIV/0!</v>
      </c>
      <c r="G65" s="1605" t="s">
        <v>1638</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518</v>
      </c>
      <c r="B66" s="585" t="e">
        <f t="shared" si="16"/>
        <v>#DIV/0!</v>
      </c>
      <c r="C66" s="348">
        <f t="shared" si="15"/>
        <v>0</v>
      </c>
      <c r="D66" s="1824">
        <v>0.25</v>
      </c>
      <c r="E66" s="588">
        <f>'数据-汇总表'!E15</f>
        <v>0</v>
      </c>
      <c r="F66" s="583" t="e">
        <f t="shared" si="14"/>
        <v>#DIV/0!</v>
      </c>
      <c r="G66" s="1607" t="s">
        <v>1639</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519</v>
      </c>
      <c r="B67" s="590" t="s">
        <v>11</v>
      </c>
      <c r="C67" s="590" t="s">
        <v>12</v>
      </c>
      <c r="D67" s="590" t="s">
        <v>1649</v>
      </c>
      <c r="E67" s="590">
        <f>IF(B48="楼面地价",SUM(E58:E66),'数据-汇总表'!D3)</f>
        <v>153333.32999999999</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2014-8-1</v>
      </c>
      <c r="D69" s="2112">
        <f>EDATE(C69,-3)</f>
        <v>41760</v>
      </c>
      <c r="E69" s="2112">
        <f t="shared" ref="E69:N69" si="17">EDATE(D69,-3)</f>
        <v>41671</v>
      </c>
      <c r="F69" s="2112">
        <f t="shared" si="17"/>
        <v>41579</v>
      </c>
      <c r="G69" s="2112">
        <f t="shared" si="17"/>
        <v>41487</v>
      </c>
      <c r="H69" s="2112">
        <f t="shared" si="17"/>
        <v>41395</v>
      </c>
      <c r="I69" s="2112">
        <f t="shared" si="17"/>
        <v>41306</v>
      </c>
      <c r="J69" s="2112">
        <f t="shared" si="17"/>
        <v>41214</v>
      </c>
      <c r="K69" s="2112">
        <f t="shared" si="17"/>
        <v>41122</v>
      </c>
      <c r="L69" s="2112">
        <f t="shared" si="17"/>
        <v>41030</v>
      </c>
      <c r="M69" s="2112">
        <f t="shared" si="17"/>
        <v>40940</v>
      </c>
      <c r="N69" s="2112">
        <f t="shared" si="17"/>
        <v>40848</v>
      </c>
      <c r="O69" s="1743"/>
      <c r="P69" s="1743"/>
      <c r="Q69" s="1743"/>
      <c r="R69" s="1743"/>
      <c r="S69" s="1743"/>
      <c r="T69" s="1743"/>
      <c r="U69" s="1743"/>
      <c r="V69" s="1743"/>
      <c r="W69" s="1743"/>
      <c r="X69" s="1743"/>
      <c r="Y69" s="1743"/>
      <c r="Z69" s="1743"/>
      <c r="AA69" s="1743"/>
      <c r="AB69" s="1743"/>
      <c r="AC69" s="1743"/>
    </row>
    <row r="70" spans="1:29" ht="21.75" thickBot="1">
      <c r="A70" s="1318" t="s">
        <v>520</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1813</v>
      </c>
      <c r="B71" s="2044"/>
      <c r="C71" s="155" t="str">
        <f>YEAR(C69)&amp;"-"&amp;ROUNDUP(MONTH(C69)/3,0)</f>
        <v>2014-3</v>
      </c>
      <c r="D71" s="155" t="str">
        <f>YEAR(D69)&amp;"-"&amp;ROUNDUP(MONTH(D69)/3,0)</f>
        <v>2014-2</v>
      </c>
      <c r="E71" s="155" t="str">
        <f t="shared" ref="E71:N71" si="18">YEAR(E69)&amp;"-"&amp;ROUNDUP(MONTH(E69)/3,0)</f>
        <v>2014-1</v>
      </c>
      <c r="F71" s="155" t="str">
        <f t="shared" si="18"/>
        <v>2013-4</v>
      </c>
      <c r="G71" s="155" t="str">
        <f t="shared" si="18"/>
        <v>2013-3</v>
      </c>
      <c r="H71" s="155" t="str">
        <f t="shared" si="18"/>
        <v>2013-2</v>
      </c>
      <c r="I71" s="155" t="str">
        <f t="shared" si="18"/>
        <v>2013-1</v>
      </c>
      <c r="J71" s="155" t="str">
        <f t="shared" si="18"/>
        <v>2012-4</v>
      </c>
      <c r="K71" s="155" t="str">
        <f t="shared" si="18"/>
        <v>2012-3</v>
      </c>
      <c r="L71" s="155" t="str">
        <f t="shared" si="18"/>
        <v>2012-2</v>
      </c>
      <c r="M71" s="155" t="str">
        <f t="shared" si="18"/>
        <v>2012-1</v>
      </c>
      <c r="N71" s="155" t="str">
        <f t="shared" si="18"/>
        <v>2011-4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1927</v>
      </c>
      <c r="B72" s="448" t="str">
        <f>"北京市平均增长率"&amp;TEXT(SUMIF(基准地价!N25:N29,A72,基准地价!P25:P29),"0.00%")</f>
        <v>北京市平均增长率2.07%</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1926</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478</v>
      </c>
      <c r="B74" s="594"/>
      <c r="C74" s="604" t="s">
        <v>522</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523</v>
      </c>
      <c r="B76" s="608" t="s">
        <v>481</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484</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485</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486</v>
      </c>
      <c r="B89" s="608" t="s">
        <v>524</v>
      </c>
      <c r="C89" s="143" t="s">
        <v>525</v>
      </c>
      <c r="D89" s="143" t="s">
        <v>526</v>
      </c>
      <c r="E89" s="143" t="s">
        <v>527</v>
      </c>
      <c r="F89" s="143" t="s">
        <v>528</v>
      </c>
      <c r="G89" s="143" t="s">
        <v>529</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530</v>
      </c>
      <c r="C91" s="649" t="s">
        <v>525</v>
      </c>
      <c r="D91" s="649" t="s">
        <v>526</v>
      </c>
      <c r="E91" s="649" t="s">
        <v>527</v>
      </c>
      <c r="F91" s="649" t="s">
        <v>528</v>
      </c>
      <c r="G91" s="649" t="s">
        <v>529</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531</v>
      </c>
      <c r="C93" s="649" t="s">
        <v>525</v>
      </c>
      <c r="D93" s="649" t="s">
        <v>526</v>
      </c>
      <c r="E93" s="649" t="s">
        <v>527</v>
      </c>
      <c r="F93" s="649" t="s">
        <v>528</v>
      </c>
      <c r="G93" s="649" t="s">
        <v>529</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532</v>
      </c>
      <c r="C95" s="649" t="s">
        <v>525</v>
      </c>
      <c r="D95" s="649" t="s">
        <v>526</v>
      </c>
      <c r="E95" s="649" t="s">
        <v>527</v>
      </c>
      <c r="F95" s="649" t="s">
        <v>528</v>
      </c>
      <c r="G95" s="649" t="s">
        <v>529</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533</v>
      </c>
      <c r="C97" s="649" t="s">
        <v>525</v>
      </c>
      <c r="D97" s="649" t="s">
        <v>526</v>
      </c>
      <c r="E97" s="649" t="s">
        <v>527</v>
      </c>
      <c r="F97" s="649" t="s">
        <v>528</v>
      </c>
      <c r="G97" s="649" t="s">
        <v>529</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534</v>
      </c>
      <c r="C99" s="143" t="s">
        <v>525</v>
      </c>
      <c r="D99" s="143" t="s">
        <v>526</v>
      </c>
      <c r="E99" s="143" t="s">
        <v>527</v>
      </c>
      <c r="F99" s="143" t="s">
        <v>528</v>
      </c>
      <c r="G99" s="143" t="s">
        <v>529</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1829</v>
      </c>
      <c r="C101" s="143" t="s">
        <v>525</v>
      </c>
      <c r="D101" s="143" t="s">
        <v>526</v>
      </c>
      <c r="E101" s="143" t="s">
        <v>527</v>
      </c>
      <c r="F101" s="143" t="s">
        <v>528</v>
      </c>
      <c r="G101" s="143" t="s">
        <v>529</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1831</v>
      </c>
      <c r="C103" s="2058" t="s">
        <v>1832</v>
      </c>
      <c r="D103" s="2058" t="s">
        <v>1833</v>
      </c>
      <c r="E103" s="2058" t="s">
        <v>1834</v>
      </c>
      <c r="F103" s="2058" t="s">
        <v>1835</v>
      </c>
      <c r="G103" s="2058" t="s">
        <v>1836</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535</v>
      </c>
      <c r="D105" s="616" t="s">
        <v>536</v>
      </c>
      <c r="E105" s="616" t="s">
        <v>537</v>
      </c>
      <c r="F105" s="616" t="s">
        <v>538</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495</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496</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498</v>
      </c>
      <c r="B117" s="608" t="s">
        <v>539</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540</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541</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1775</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542</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Normal="50" zoomScaleSheetLayoutView="100" workbookViewId="0">
      <selection activeCell="C46" sqref="C46"/>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18" width="6.125" style="1132" customWidth="1"/>
    <col min="19" max="19" width="4.75" style="1132" customWidth="1"/>
    <col min="20"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543</v>
      </c>
      <c r="D1" s="456" t="s">
        <v>465</v>
      </c>
      <c r="E1" s="674"/>
      <c r="F1" s="675"/>
      <c r="G1" s="674"/>
      <c r="H1" s="674"/>
      <c r="I1" s="674"/>
      <c r="J1" s="674"/>
      <c r="K1" s="676"/>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f>F62</f>
        <v>566413</v>
      </c>
      <c r="C2" s="2729"/>
      <c r="D2" s="2729"/>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1216</v>
      </c>
      <c r="B3" s="461">
        <f>ROUND(B2*10000/'数据-汇总表'!E3,0)</f>
        <v>36940</v>
      </c>
      <c r="C3" s="2728"/>
      <c r="D3" s="2728"/>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467</v>
      </c>
      <c r="B4" s="397">
        <f>IF(B43="单位面积地价",C45,ROUND(B2*10000/'数据-汇总表'!D3,0))</f>
        <v>36940</v>
      </c>
      <c r="C4" s="2728"/>
      <c r="D4" s="2728"/>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2463</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2720"/>
      <c r="AC5" s="1675"/>
    </row>
    <row r="6" spans="1:29" ht="15">
      <c r="A6" s="463" t="s">
        <v>468</v>
      </c>
      <c r="B6" s="464"/>
      <c r="C6" s="3733" t="s">
        <v>469</v>
      </c>
      <c r="D6" s="3734"/>
      <c r="E6" s="3755" t="s">
        <v>470</v>
      </c>
      <c r="F6" s="3756"/>
      <c r="G6" s="3733" t="s">
        <v>471</v>
      </c>
      <c r="H6" s="3734"/>
      <c r="I6" s="3733" t="s">
        <v>472</v>
      </c>
      <c r="J6" s="3734"/>
      <c r="K6" s="465" t="s">
        <v>473</v>
      </c>
      <c r="L6" s="1742"/>
      <c r="M6" s="1743"/>
      <c r="N6" s="1743"/>
      <c r="O6" s="1743"/>
      <c r="P6" s="3735" t="s">
        <v>474</v>
      </c>
      <c r="Q6" s="3736"/>
      <c r="R6" s="3719" t="s">
        <v>470</v>
      </c>
      <c r="S6" s="3720"/>
      <c r="T6" s="3719" t="s">
        <v>471</v>
      </c>
      <c r="U6" s="3720"/>
      <c r="V6" s="3741" t="s">
        <v>472</v>
      </c>
      <c r="W6" s="3741"/>
      <c r="X6" s="1303"/>
      <c r="Y6" s="3719" t="s">
        <v>474</v>
      </c>
      <c r="Z6" s="3720"/>
      <c r="AA6" s="3714" t="s">
        <v>470</v>
      </c>
      <c r="AB6" s="3715" t="s">
        <v>471</v>
      </c>
      <c r="AC6" s="3714" t="s">
        <v>472</v>
      </c>
    </row>
    <row r="7" spans="1:29" ht="15">
      <c r="A7" s="466"/>
      <c r="B7" s="467"/>
      <c r="C7" s="3744" t="s">
        <v>2189</v>
      </c>
      <c r="D7" s="3745"/>
      <c r="E7" s="3757" t="s">
        <v>3312</v>
      </c>
      <c r="F7" s="3758"/>
      <c r="G7" s="3761" t="s">
        <v>3313</v>
      </c>
      <c r="H7" s="3745"/>
      <c r="I7" s="3757" t="s">
        <v>3312</v>
      </c>
      <c r="J7" s="3758"/>
      <c r="K7" s="465"/>
      <c r="L7" s="1742"/>
      <c r="M7" s="1743"/>
      <c r="N7" s="1743"/>
      <c r="O7" s="1743"/>
      <c r="P7" s="3737"/>
      <c r="Q7" s="3738"/>
      <c r="R7" s="3721"/>
      <c r="S7" s="3722"/>
      <c r="T7" s="3721"/>
      <c r="U7" s="3722"/>
      <c r="V7" s="3741"/>
      <c r="W7" s="3741"/>
      <c r="X7" s="1303"/>
      <c r="Y7" s="3721"/>
      <c r="Z7" s="3722"/>
      <c r="AA7" s="3715"/>
      <c r="AB7" s="3715"/>
      <c r="AC7" s="3715"/>
    </row>
    <row r="8" spans="1:29" ht="15.75" thickBot="1">
      <c r="A8" s="468"/>
      <c r="B8" s="469"/>
      <c r="C8" s="3742" t="s">
        <v>2193</v>
      </c>
      <c r="D8" s="3743"/>
      <c r="E8" s="3759" t="s">
        <v>2193</v>
      </c>
      <c r="F8" s="3760"/>
      <c r="G8" s="3742" t="s">
        <v>2193</v>
      </c>
      <c r="H8" s="3743"/>
      <c r="I8" s="3742" t="s">
        <v>2193</v>
      </c>
      <c r="J8" s="3743"/>
      <c r="K8" s="465" t="s">
        <v>475</v>
      </c>
      <c r="L8" s="1742"/>
      <c r="M8" s="1743"/>
      <c r="N8" s="1743"/>
      <c r="O8" s="1743"/>
      <c r="P8" s="3739"/>
      <c r="Q8" s="3740"/>
      <c r="R8" s="3721"/>
      <c r="S8" s="3722"/>
      <c r="T8" s="3723"/>
      <c r="U8" s="3724"/>
      <c r="V8" s="3741"/>
      <c r="W8" s="3741"/>
      <c r="X8" s="1303"/>
      <c r="Y8" s="3723"/>
      <c r="Z8" s="3724"/>
      <c r="AA8" s="3716"/>
      <c r="AB8" s="3716"/>
      <c r="AC8" s="3716"/>
    </row>
    <row r="9" spans="1:29" s="1060" customFormat="1" ht="15.75" thickBot="1">
      <c r="A9" s="2210"/>
      <c r="B9" s="2217" t="s">
        <v>476</v>
      </c>
      <c r="C9" s="470">
        <f>'数据-取费表'!B2</f>
        <v>41863</v>
      </c>
      <c r="D9" s="471">
        <v>100</v>
      </c>
      <c r="E9" s="472">
        <v>41344</v>
      </c>
      <c r="F9" s="473">
        <f>SUMIF(66:66,YEAR(E9)&amp;"-"&amp;INT((MONTH(E9)+2)/3),67:67)</f>
        <v>94.47</v>
      </c>
      <c r="G9" s="472">
        <v>41344</v>
      </c>
      <c r="H9" s="471">
        <f>SUMIF(66:66,YEAR(G9)&amp;"-"&amp;INT((MONTH(G9)+2)/3),67:67)</f>
        <v>94.47</v>
      </c>
      <c r="I9" s="474">
        <v>41339</v>
      </c>
      <c r="J9" s="471">
        <f>SUMIF(66:66,YEAR(I9)&amp;"-"&amp;INT((MONTH(I9)+2)/3),67:67)</f>
        <v>94.47</v>
      </c>
      <c r="K9" s="88"/>
      <c r="L9" s="1744"/>
      <c r="M9" s="1641"/>
      <c r="N9" s="1641"/>
      <c r="O9" s="1641"/>
      <c r="P9" s="3717" t="s">
        <v>477</v>
      </c>
      <c r="Q9" s="3726"/>
      <c r="R9" s="1304" t="s">
        <v>5</v>
      </c>
      <c r="S9" s="1305">
        <f t="shared" ref="S9:S17" si="0">F9</f>
        <v>94.47</v>
      </c>
      <c r="T9" s="1304" t="s">
        <v>5</v>
      </c>
      <c r="U9" s="1305">
        <f t="shared" ref="U9:U17" si="1">H9</f>
        <v>94.47</v>
      </c>
      <c r="V9" s="1304" t="s">
        <v>5</v>
      </c>
      <c r="W9" s="1305">
        <f t="shared" ref="W9:W17" si="2">J9</f>
        <v>94.47</v>
      </c>
      <c r="X9" s="1306"/>
      <c r="Y9" s="3717" t="s">
        <v>477</v>
      </c>
      <c r="Z9" s="3718"/>
      <c r="AA9" s="997">
        <f>D9/F9</f>
        <v>1.0585371017254155</v>
      </c>
      <c r="AB9" s="997">
        <f>D9/H9</f>
        <v>1.0585371017254155</v>
      </c>
      <c r="AC9" s="997">
        <f>D9/J9</f>
        <v>1.0585371017254155</v>
      </c>
    </row>
    <row r="10" spans="1:29" s="1060" customFormat="1" ht="15.75" thickBot="1">
      <c r="A10" s="2211"/>
      <c r="B10" s="2218" t="s">
        <v>478</v>
      </c>
      <c r="C10" s="475" t="s">
        <v>479</v>
      </c>
      <c r="D10" s="471">
        <v>100</v>
      </c>
      <c r="E10" s="475" t="s">
        <v>3314</v>
      </c>
      <c r="F10" s="473">
        <f>SUMIF(69:69,E10,70:70)-SUMIF(69:69,C10,70:70)+100</f>
        <v>100</v>
      </c>
      <c r="G10" s="475" t="s">
        <v>3314</v>
      </c>
      <c r="H10" s="471">
        <f>SUMIF(69:69,G10,70:70)-SUMIF(69:69,C10,70:70)+100</f>
        <v>100</v>
      </c>
      <c r="I10" s="475" t="s">
        <v>3314</v>
      </c>
      <c r="J10" s="471">
        <f>SUMIF(69:69,I10,70:70)-SUMIF(69:69,C10,70:70)+100</f>
        <v>100</v>
      </c>
      <c r="K10" s="88"/>
      <c r="L10" s="1744"/>
      <c r="M10" s="1641"/>
      <c r="N10" s="1641"/>
      <c r="O10" s="1641"/>
      <c r="P10" s="3717" t="s">
        <v>480</v>
      </c>
      <c r="Q10" s="3718"/>
      <c r="R10" s="1304" t="s">
        <v>5</v>
      </c>
      <c r="S10" s="1305">
        <f t="shared" si="0"/>
        <v>100</v>
      </c>
      <c r="T10" s="1304" t="s">
        <v>5</v>
      </c>
      <c r="U10" s="1305">
        <f t="shared" si="1"/>
        <v>100</v>
      </c>
      <c r="V10" s="1304" t="s">
        <v>5</v>
      </c>
      <c r="W10" s="1305">
        <f t="shared" si="2"/>
        <v>100</v>
      </c>
      <c r="X10" s="1306"/>
      <c r="Y10" s="3717" t="s">
        <v>480</v>
      </c>
      <c r="Z10" s="3718"/>
      <c r="AA10" s="997">
        <f t="shared" ref="AA10:AA42" si="3">D10/F10</f>
        <v>1</v>
      </c>
      <c r="AB10" s="997">
        <f t="shared" ref="AB10:AB42" si="4">D10/H10</f>
        <v>1</v>
      </c>
      <c r="AC10" s="997">
        <f t="shared" ref="AC10:AC42" si="5">D10/J10</f>
        <v>1</v>
      </c>
    </row>
    <row r="11" spans="1:29" s="1060" customFormat="1" ht="15" hidden="1">
      <c r="A11" s="2212"/>
      <c r="B11" s="2219" t="s">
        <v>2036</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725" t="s">
        <v>482</v>
      </c>
      <c r="Q11" s="818" t="str">
        <f t="shared" ref="Q11:Q17" si="6">B11</f>
        <v>用途</v>
      </c>
      <c r="R11" s="1304" t="s">
        <v>5</v>
      </c>
      <c r="S11" s="1305">
        <f t="shared" si="0"/>
        <v>100</v>
      </c>
      <c r="T11" s="1304" t="s">
        <v>5</v>
      </c>
      <c r="U11" s="1305">
        <f t="shared" si="1"/>
        <v>100</v>
      </c>
      <c r="V11" s="1304" t="s">
        <v>5</v>
      </c>
      <c r="W11" s="1305">
        <f t="shared" si="2"/>
        <v>100</v>
      </c>
      <c r="X11" s="1306"/>
      <c r="Y11" s="3673" t="s">
        <v>483</v>
      </c>
      <c r="Z11" s="997" t="str">
        <f t="shared" ref="Z11:Z17" si="7">Q11</f>
        <v>用途</v>
      </c>
      <c r="AA11" s="997">
        <f t="shared" si="3"/>
        <v>1</v>
      </c>
      <c r="AB11" s="997">
        <f t="shared" si="4"/>
        <v>1</v>
      </c>
      <c r="AC11" s="997">
        <f t="shared" si="5"/>
        <v>1</v>
      </c>
    </row>
    <row r="12" spans="1:29" s="1133" customFormat="1" ht="27" hidden="1">
      <c r="A12" s="2213"/>
      <c r="B12" s="2218" t="s">
        <v>2037</v>
      </c>
      <c r="C12" s="478">
        <v>10</v>
      </c>
      <c r="D12" s="235">
        <v>100</v>
      </c>
      <c r="E12" s="478">
        <v>10</v>
      </c>
      <c r="F12" s="235">
        <f>ROUND(100/1,0)</f>
        <v>100</v>
      </c>
      <c r="G12" s="478">
        <v>10</v>
      </c>
      <c r="H12" s="235">
        <f>ROUND(100/1,0)</f>
        <v>100</v>
      </c>
      <c r="I12" s="478">
        <v>10</v>
      </c>
      <c r="J12" s="235">
        <f>ROUND(100/1,0)</f>
        <v>100</v>
      </c>
      <c r="K12" s="481"/>
      <c r="L12" s="1746"/>
      <c r="M12" s="1779"/>
      <c r="N12" s="1779"/>
      <c r="O12" s="1747"/>
      <c r="P12" s="3725"/>
      <c r="Q12" s="818" t="str">
        <f t="shared" si="6"/>
        <v>土地使用年限（年）</v>
      </c>
      <c r="R12" s="1304" t="s">
        <v>5</v>
      </c>
      <c r="S12" s="1305" t="s">
        <v>3351</v>
      </c>
      <c r="T12" s="1304" t="s">
        <v>5</v>
      </c>
      <c r="U12" s="1305">
        <f t="shared" si="1"/>
        <v>100</v>
      </c>
      <c r="V12" s="1304" t="s">
        <v>5</v>
      </c>
      <c r="W12" s="1305">
        <f t="shared" si="2"/>
        <v>100</v>
      </c>
      <c r="X12" s="1306"/>
      <c r="Y12" s="3673"/>
      <c r="Z12" s="997" t="str">
        <f t="shared" si="7"/>
        <v>土地使用年限（年）</v>
      </c>
      <c r="AA12" s="997">
        <f t="shared" si="3"/>
        <v>1</v>
      </c>
      <c r="AB12" s="997">
        <f t="shared" si="4"/>
        <v>1</v>
      </c>
      <c r="AC12" s="997">
        <f t="shared" si="5"/>
        <v>1</v>
      </c>
    </row>
    <row r="13" spans="1:29" ht="15" hidden="1">
      <c r="A13" s="2214"/>
      <c r="B13" s="2218" t="s">
        <v>2038</v>
      </c>
      <c r="C13" s="483">
        <v>1</v>
      </c>
      <c r="D13" s="235">
        <v>100</v>
      </c>
      <c r="E13" s="483">
        <v>1</v>
      </c>
      <c r="F13" s="235">
        <f>LOOKUP(E13,76:76,77:77)-LOOKUP(C13,76:76,77:77)+100</f>
        <v>100</v>
      </c>
      <c r="G13" s="483">
        <v>1</v>
      </c>
      <c r="H13" s="235">
        <f>LOOKUP(G13,76:76,77:77)-LOOKUP(C13,76:76,77:77)+100</f>
        <v>100</v>
      </c>
      <c r="I13" s="483">
        <v>1</v>
      </c>
      <c r="J13" s="235">
        <f>LOOKUP(I13,76:76,77:77)-LOOKUP(C13,76:76,77:77)+100</f>
        <v>100</v>
      </c>
      <c r="K13" s="485"/>
      <c r="L13" s="1748"/>
      <c r="M13" s="1743"/>
      <c r="N13" s="1743"/>
      <c r="O13" s="1749"/>
      <c r="P13" s="3725"/>
      <c r="Q13" s="818" t="str">
        <f t="shared" si="6"/>
        <v>容积率</v>
      </c>
      <c r="R13" s="1304" t="s">
        <v>5</v>
      </c>
      <c r="S13" s="1305">
        <f t="shared" si="0"/>
        <v>100</v>
      </c>
      <c r="T13" s="1304" t="s">
        <v>5</v>
      </c>
      <c r="U13" s="1305">
        <f t="shared" si="1"/>
        <v>100</v>
      </c>
      <c r="V13" s="1304" t="s">
        <v>5</v>
      </c>
      <c r="W13" s="1305">
        <f t="shared" si="2"/>
        <v>100</v>
      </c>
      <c r="X13" s="1306"/>
      <c r="Y13" s="3673"/>
      <c r="Z13" s="997" t="str">
        <f t="shared" si="7"/>
        <v>容积率</v>
      </c>
      <c r="AA13" s="997">
        <f t="shared" si="3"/>
        <v>1</v>
      </c>
      <c r="AB13" s="997">
        <f t="shared" si="4"/>
        <v>1</v>
      </c>
      <c r="AC13" s="997">
        <f t="shared" si="5"/>
        <v>1</v>
      </c>
    </row>
    <row r="14" spans="1:29" s="1060" customFormat="1" ht="27">
      <c r="A14" s="2215"/>
      <c r="B14" s="3408" t="s">
        <v>3330</v>
      </c>
      <c r="C14" s="3409" t="s">
        <v>3328</v>
      </c>
      <c r="D14" s="488">
        <v>100</v>
      </c>
      <c r="E14" s="3410" t="s">
        <v>3329</v>
      </c>
      <c r="F14" s="235">
        <f>SUMIF(78:78,E14,79:79)-SUMIF(78:78,C14,79:79)+100</f>
        <v>115</v>
      </c>
      <c r="G14" s="3410" t="s">
        <v>3329</v>
      </c>
      <c r="H14" s="235">
        <f>SUMIF(78:78,G14,79:79)-SUMIF(78:78,C14,79:79)+100</f>
        <v>115</v>
      </c>
      <c r="I14" s="3410" t="s">
        <v>3329</v>
      </c>
      <c r="J14" s="235">
        <f>SUMIF(78:78,I14,79:79)-SUMIF(78:78,C14,79:79)+100</f>
        <v>115</v>
      </c>
      <c r="K14" s="481">
        <v>15</v>
      </c>
      <c r="L14" s="1744"/>
      <c r="M14" s="1641"/>
      <c r="N14" s="1641"/>
      <c r="O14" s="1745"/>
      <c r="P14" s="3725"/>
      <c r="Q14" s="818" t="str">
        <f t="shared" si="6"/>
        <v>土地取得方式</v>
      </c>
      <c r="R14" s="1304" t="s">
        <v>5</v>
      </c>
      <c r="S14" s="1305">
        <f t="shared" si="0"/>
        <v>115</v>
      </c>
      <c r="T14" s="1304" t="s">
        <v>5</v>
      </c>
      <c r="U14" s="1305">
        <f t="shared" si="1"/>
        <v>115</v>
      </c>
      <c r="V14" s="1304" t="s">
        <v>5</v>
      </c>
      <c r="W14" s="1305">
        <f t="shared" si="2"/>
        <v>115</v>
      </c>
      <c r="X14" s="1306"/>
      <c r="Y14" s="3673"/>
      <c r="Z14" s="997" t="str">
        <f t="shared" si="7"/>
        <v>土地取得方式</v>
      </c>
      <c r="AA14" s="997">
        <f>D14/F14</f>
        <v>0.86956521739130432</v>
      </c>
      <c r="AB14" s="997">
        <f>D14/H14</f>
        <v>0.86956521739130432</v>
      </c>
      <c r="AC14" s="997">
        <f>D14/J14</f>
        <v>0.86956521739130432</v>
      </c>
    </row>
    <row r="15" spans="1:29" ht="15" hidden="1">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725"/>
      <c r="Q15" s="818">
        <f t="shared" si="6"/>
        <v>111</v>
      </c>
      <c r="R15" s="1304" t="s">
        <v>5</v>
      </c>
      <c r="S15" s="1305">
        <f t="shared" si="0"/>
        <v>100</v>
      </c>
      <c r="T15" s="1304" t="s">
        <v>5</v>
      </c>
      <c r="U15" s="1305">
        <f t="shared" si="1"/>
        <v>100</v>
      </c>
      <c r="V15" s="1304" t="s">
        <v>5</v>
      </c>
      <c r="W15" s="1305">
        <f t="shared" si="2"/>
        <v>100</v>
      </c>
      <c r="X15" s="1306"/>
      <c r="Y15" s="3673"/>
      <c r="Z15" s="997">
        <f t="shared" si="7"/>
        <v>111</v>
      </c>
      <c r="AA15" s="997">
        <f t="shared" si="3"/>
        <v>1</v>
      </c>
      <c r="AB15" s="997">
        <f t="shared" si="4"/>
        <v>1</v>
      </c>
      <c r="AC15" s="997">
        <f t="shared" si="5"/>
        <v>1</v>
      </c>
    </row>
    <row r="16" spans="1:29" ht="15.75" hidden="1"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725"/>
      <c r="Q16" s="818">
        <f t="shared" si="6"/>
        <v>111</v>
      </c>
      <c r="R16" s="1304" t="s">
        <v>5</v>
      </c>
      <c r="S16" s="1305">
        <f t="shared" si="0"/>
        <v>100</v>
      </c>
      <c r="T16" s="1304" t="s">
        <v>5</v>
      </c>
      <c r="U16" s="1305">
        <f t="shared" si="1"/>
        <v>100</v>
      </c>
      <c r="V16" s="1304" t="s">
        <v>5</v>
      </c>
      <c r="W16" s="1305">
        <f t="shared" si="2"/>
        <v>100</v>
      </c>
      <c r="X16" s="1306"/>
      <c r="Y16" s="3673"/>
      <c r="Z16" s="997">
        <f t="shared" si="7"/>
        <v>111</v>
      </c>
      <c r="AA16" s="997">
        <f t="shared" si="3"/>
        <v>1</v>
      </c>
      <c r="AB16" s="997">
        <f t="shared" si="4"/>
        <v>1</v>
      </c>
      <c r="AC16" s="997">
        <f t="shared" si="5"/>
        <v>1</v>
      </c>
    </row>
    <row r="17" spans="1:29" ht="57" hidden="1">
      <c r="A17" s="2208" t="s">
        <v>2034</v>
      </c>
      <c r="B17" s="150" t="s">
        <v>544</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727" t="s">
        <v>487</v>
      </c>
      <c r="Q17" s="1307" t="str">
        <f t="shared" si="6"/>
        <v>产业集聚程度</v>
      </c>
      <c r="R17" s="1308" t="s">
        <v>5</v>
      </c>
      <c r="S17" s="1309">
        <f t="shared" si="0"/>
        <v>100</v>
      </c>
      <c r="T17" s="1308" t="s">
        <v>5</v>
      </c>
      <c r="U17" s="1309">
        <f t="shared" si="1"/>
        <v>100</v>
      </c>
      <c r="V17" s="1308" t="s">
        <v>5</v>
      </c>
      <c r="W17" s="1309">
        <f t="shared" si="2"/>
        <v>100</v>
      </c>
      <c r="X17" s="1303"/>
      <c r="Y17" s="3727" t="s">
        <v>487</v>
      </c>
      <c r="Z17" s="1310" t="str">
        <f t="shared" si="7"/>
        <v>产业集聚程度</v>
      </c>
      <c r="AA17" s="1310">
        <f t="shared" si="3"/>
        <v>1</v>
      </c>
      <c r="AB17" s="1310">
        <f t="shared" si="4"/>
        <v>1</v>
      </c>
      <c r="AC17" s="1310">
        <f t="shared" si="5"/>
        <v>1</v>
      </c>
    </row>
    <row r="18" spans="1:29" ht="15" hidden="1">
      <c r="A18" s="482"/>
      <c r="B18" s="799"/>
      <c r="C18" s="526"/>
      <c r="D18" s="505"/>
      <c r="E18" s="504"/>
      <c r="F18" s="505"/>
      <c r="G18" s="504"/>
      <c r="H18" s="509"/>
      <c r="I18" s="504"/>
      <c r="J18" s="505"/>
      <c r="K18" s="481"/>
      <c r="L18" s="1750"/>
      <c r="M18" s="1743"/>
      <c r="N18" s="1743"/>
      <c r="O18" s="1749"/>
      <c r="P18" s="3728"/>
      <c r="Q18" s="1307"/>
      <c r="R18" s="1308"/>
      <c r="S18" s="1309"/>
      <c r="T18" s="1308"/>
      <c r="U18" s="1309"/>
      <c r="V18" s="1308"/>
      <c r="W18" s="1309"/>
      <c r="X18" s="1303"/>
      <c r="Y18" s="3728"/>
      <c r="Z18" s="1310"/>
      <c r="AA18" s="1310">
        <v>1</v>
      </c>
      <c r="AB18" s="1310">
        <v>1</v>
      </c>
      <c r="AC18" s="1310">
        <v>1</v>
      </c>
    </row>
    <row r="19" spans="1:29" ht="142.5">
      <c r="A19" s="482"/>
      <c r="B19" s="677" t="s">
        <v>490</v>
      </c>
      <c r="C19" s="801" t="str">
        <f>估价对象房地状况!G16</f>
        <v>地块临近村道，周边3公里范围内有高速公路——京藏高速、城市次干道——康张路，有880路等3条以下公交线路通过并设立站点，综合评价交通便捷度一般</v>
      </c>
      <c r="D19" s="509">
        <v>100</v>
      </c>
      <c r="E19" s="3403" t="s">
        <v>3388</v>
      </c>
      <c r="F19" s="515">
        <f>SUMIF(86:86,E20,87:87)-SUMIF(86:86,C20,87:87)+100</f>
        <v>99</v>
      </c>
      <c r="G19" s="3403" t="s">
        <v>3388</v>
      </c>
      <c r="H19" s="515">
        <f>SUMIF(86:86,G20,87:87)-SUMIF(86:86,C20,87:87)+100</f>
        <v>99</v>
      </c>
      <c r="I19" s="3403" t="s">
        <v>3388</v>
      </c>
      <c r="J19" s="509">
        <f>SUMIF(86:86,I20,87:87)-SUMIF(86:86,C20,87:87)+100</f>
        <v>99</v>
      </c>
      <c r="K19" s="485">
        <v>1</v>
      </c>
      <c r="L19" s="1750"/>
      <c r="M19" s="1743"/>
      <c r="N19" s="1743"/>
      <c r="O19" s="1749"/>
      <c r="P19" s="3728"/>
      <c r="Q19" s="1307" t="str">
        <f>B19</f>
        <v>交通便捷度</v>
      </c>
      <c r="R19" s="1308" t="s">
        <v>5</v>
      </c>
      <c r="S19" s="1309">
        <f>F19</f>
        <v>99</v>
      </c>
      <c r="T19" s="1308" t="s">
        <v>5</v>
      </c>
      <c r="U19" s="1309">
        <f>H19</f>
        <v>99</v>
      </c>
      <c r="V19" s="1308" t="s">
        <v>5</v>
      </c>
      <c r="W19" s="1309">
        <f>J19</f>
        <v>99</v>
      </c>
      <c r="X19" s="1303"/>
      <c r="Y19" s="3728"/>
      <c r="Z19" s="1310" t="str">
        <f>Q19</f>
        <v>交通便捷度</v>
      </c>
      <c r="AA19" s="1310">
        <f t="shared" si="3"/>
        <v>1.0101010101010102</v>
      </c>
      <c r="AB19" s="1310">
        <f t="shared" si="4"/>
        <v>1.0101010101010102</v>
      </c>
      <c r="AC19" s="1310">
        <f t="shared" si="5"/>
        <v>1.0101010101010102</v>
      </c>
    </row>
    <row r="20" spans="1:29" ht="15">
      <c r="A20" s="482"/>
      <c r="B20" s="844"/>
      <c r="C20" s="526" t="s">
        <v>3316</v>
      </c>
      <c r="D20" s="505"/>
      <c r="E20" s="506" t="s">
        <v>3315</v>
      </c>
      <c r="F20" s="505"/>
      <c r="G20" s="506" t="s">
        <v>3315</v>
      </c>
      <c r="H20" s="505"/>
      <c r="I20" s="508" t="s">
        <v>3315</v>
      </c>
      <c r="J20" s="505"/>
      <c r="K20" s="481"/>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7">
      <c r="A21" s="466"/>
      <c r="B21" s="677" t="s">
        <v>491</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728"/>
      <c r="Q21" s="1307" t="str">
        <f t="shared" ref="Q21:Q35" si="8">B21</f>
        <v>区域土地利用方向</v>
      </c>
      <c r="R21" s="1308" t="s">
        <v>5</v>
      </c>
      <c r="S21" s="1309">
        <f>F21</f>
        <v>100</v>
      </c>
      <c r="T21" s="1308" t="s">
        <v>5</v>
      </c>
      <c r="U21" s="1309">
        <f>H21</f>
        <v>100</v>
      </c>
      <c r="V21" s="1308" t="s">
        <v>5</v>
      </c>
      <c r="W21" s="1309">
        <f>J21</f>
        <v>100</v>
      </c>
      <c r="X21" s="1303"/>
      <c r="Y21" s="3728"/>
      <c r="Z21" s="1310" t="str">
        <f>Q21</f>
        <v>区域土地利用方向</v>
      </c>
      <c r="AA21" s="1310">
        <f t="shared" si="3"/>
        <v>1</v>
      </c>
      <c r="AB21" s="1310">
        <f t="shared" si="4"/>
        <v>1</v>
      </c>
      <c r="AC21" s="1310">
        <f t="shared" si="5"/>
        <v>1</v>
      </c>
    </row>
    <row r="22" spans="1:29" ht="15">
      <c r="A22" s="466"/>
      <c r="B22" s="544"/>
      <c r="C22" s="526" t="s">
        <v>3347</v>
      </c>
      <c r="D22" s="505"/>
      <c r="E22" s="506" t="s">
        <v>3347</v>
      </c>
      <c r="F22" s="507"/>
      <c r="G22" s="508" t="s">
        <v>3347</v>
      </c>
      <c r="H22" s="507"/>
      <c r="I22" s="508" t="s">
        <v>3347</v>
      </c>
      <c r="J22" s="507"/>
      <c r="K22" s="1142"/>
      <c r="L22" s="1750"/>
      <c r="M22" s="1743"/>
      <c r="N22" s="1743"/>
      <c r="O22" s="1749"/>
      <c r="P22" s="3728"/>
      <c r="Q22" s="1307"/>
      <c r="R22" s="1308"/>
      <c r="S22" s="1309"/>
      <c r="T22" s="1308"/>
      <c r="U22" s="1309"/>
      <c r="V22" s="1308"/>
      <c r="W22" s="1309"/>
      <c r="X22" s="1303"/>
      <c r="Y22" s="3728"/>
      <c r="Z22" s="1310"/>
      <c r="AA22" s="1310"/>
      <c r="AB22" s="1310"/>
      <c r="AC22" s="1310"/>
    </row>
    <row r="23" spans="1:29" ht="85.5">
      <c r="A23" s="466"/>
      <c r="B23" s="844" t="s">
        <v>545</v>
      </c>
      <c r="C23" s="801" t="str">
        <f>估价对象房地状况!G18</f>
        <v>周边无污染型企业，5公里范围内有八达岭长城自然风景区等自然和人文景观，环境状况较好</v>
      </c>
      <c r="D23" s="509">
        <v>100</v>
      </c>
      <c r="E23" s="3403" t="s">
        <v>3349</v>
      </c>
      <c r="F23" s="509">
        <f>SUMIF(90:90,E24,91:91)-SUMIF(90:90,C24,91:91)+100</f>
        <v>101</v>
      </c>
      <c r="G23" s="3403" t="s">
        <v>3349</v>
      </c>
      <c r="H23" s="509">
        <f>SUMIF(90:90,G24,91:91)-SUMIF(90:90,C24,91:91)+100</f>
        <v>101</v>
      </c>
      <c r="I23" s="3403" t="s">
        <v>3349</v>
      </c>
      <c r="J23" s="509">
        <f>SUMIF(90:90,I24,91:91)-SUMIF(90:90,C24,91:91)+100</f>
        <v>101</v>
      </c>
      <c r="K23" s="485">
        <v>1</v>
      </c>
      <c r="L23" s="1750"/>
      <c r="M23" s="1743"/>
      <c r="N23" s="1743"/>
      <c r="O23" s="1749"/>
      <c r="P23" s="3728"/>
      <c r="Q23" s="1307" t="str">
        <f t="shared" si="8"/>
        <v>环境状况</v>
      </c>
      <c r="R23" s="1308" t="s">
        <v>5</v>
      </c>
      <c r="S23" s="1309">
        <f>F23</f>
        <v>101</v>
      </c>
      <c r="T23" s="1308" t="s">
        <v>5</v>
      </c>
      <c r="U23" s="1309">
        <f>H23</f>
        <v>101</v>
      </c>
      <c r="V23" s="1308" t="s">
        <v>5</v>
      </c>
      <c r="W23" s="1309">
        <f>J23</f>
        <v>101</v>
      </c>
      <c r="X23" s="1303"/>
      <c r="Y23" s="3728"/>
      <c r="Z23" s="1310" t="str">
        <f>Q23</f>
        <v>环境状况</v>
      </c>
      <c r="AA23" s="1310">
        <f t="shared" si="3"/>
        <v>0.99009900990099009</v>
      </c>
      <c r="AB23" s="1310">
        <f t="shared" si="4"/>
        <v>0.99009900990099009</v>
      </c>
      <c r="AC23" s="1310">
        <f t="shared" si="5"/>
        <v>0.99009900990099009</v>
      </c>
    </row>
    <row r="24" spans="1:29" ht="15">
      <c r="A24" s="466"/>
      <c r="B24" s="544"/>
      <c r="C24" s="526" t="s">
        <v>3347</v>
      </c>
      <c r="D24" s="505"/>
      <c r="E24" s="504" t="s">
        <v>3350</v>
      </c>
      <c r="F24" s="505"/>
      <c r="G24" s="504" t="s">
        <v>3350</v>
      </c>
      <c r="H24" s="505"/>
      <c r="I24" s="504" t="s">
        <v>3350</v>
      </c>
      <c r="J24" s="505"/>
      <c r="K24" s="481"/>
      <c r="L24" s="1750"/>
      <c r="M24" s="1743"/>
      <c r="N24" s="1743"/>
      <c r="O24" s="1749"/>
      <c r="P24" s="3728"/>
      <c r="Q24" s="1307"/>
      <c r="R24" s="1308"/>
      <c r="S24" s="1309"/>
      <c r="T24" s="1308"/>
      <c r="U24" s="1309"/>
      <c r="V24" s="1308"/>
      <c r="W24" s="1309"/>
      <c r="X24" s="1303"/>
      <c r="Y24" s="3728"/>
      <c r="Z24" s="1310"/>
      <c r="AA24" s="1310">
        <v>1</v>
      </c>
      <c r="AB24" s="1310">
        <v>1</v>
      </c>
      <c r="AC24" s="1310">
        <v>1</v>
      </c>
    </row>
    <row r="25" spans="1:29" s="1060" customFormat="1" ht="42.75" hidden="1">
      <c r="A25" s="527"/>
      <c r="B25" s="2053"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728"/>
      <c r="Q25" s="818" t="str">
        <f t="shared" si="8"/>
        <v>公共配套设施</v>
      </c>
      <c r="R25" s="1304" t="s">
        <v>5</v>
      </c>
      <c r="S25" s="1305">
        <f>F25</f>
        <v>100</v>
      </c>
      <c r="T25" s="1304" t="s">
        <v>5</v>
      </c>
      <c r="U25" s="1305">
        <f>H25</f>
        <v>100</v>
      </c>
      <c r="V25" s="1304" t="s">
        <v>5</v>
      </c>
      <c r="W25" s="1305">
        <f>J25</f>
        <v>100</v>
      </c>
      <c r="X25" s="1306"/>
      <c r="Y25" s="3728"/>
      <c r="Z25" s="997" t="str">
        <f>Q25</f>
        <v>公共配套设施</v>
      </c>
      <c r="AA25" s="1310">
        <f>D25/F25</f>
        <v>1</v>
      </c>
      <c r="AB25" s="1310">
        <f>D25/H25</f>
        <v>1</v>
      </c>
      <c r="AC25" s="1310">
        <f>D25/J25</f>
        <v>1</v>
      </c>
    </row>
    <row r="26" spans="1:29" s="1060" customFormat="1" ht="15" hidden="1">
      <c r="A26" s="527"/>
      <c r="B26" s="544"/>
      <c r="C26" s="2052"/>
      <c r="D26" s="505"/>
      <c r="E26" s="504"/>
      <c r="F26" s="505"/>
      <c r="G26" s="504"/>
      <c r="H26" s="505"/>
      <c r="I26" s="526"/>
      <c r="J26" s="505"/>
      <c r="K26" s="481"/>
      <c r="L26" s="1744"/>
      <c r="M26" s="1641"/>
      <c r="N26" s="1641"/>
      <c r="O26" s="1745"/>
      <c r="P26" s="3728"/>
      <c r="Q26" s="818"/>
      <c r="R26" s="1304"/>
      <c r="S26" s="1305"/>
      <c r="T26" s="1304"/>
      <c r="U26" s="1305"/>
      <c r="V26" s="1304"/>
      <c r="W26" s="1305"/>
      <c r="X26" s="1306"/>
      <c r="Y26" s="3728"/>
      <c r="Z26" s="997"/>
      <c r="AA26" s="997">
        <v>1</v>
      </c>
      <c r="AB26" s="997">
        <v>1</v>
      </c>
      <c r="AC26" s="997">
        <v>1</v>
      </c>
    </row>
    <row r="27" spans="1:29" s="1060" customFormat="1" ht="28.5" hidden="1">
      <c r="A27" s="527"/>
      <c r="B27" s="2053"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728"/>
      <c r="Q27" s="818" t="str">
        <f>B27</f>
        <v>基础设施水平</v>
      </c>
      <c r="R27" s="1304" t="s">
        <v>5</v>
      </c>
      <c r="S27" s="1305">
        <f>F27</f>
        <v>100</v>
      </c>
      <c r="T27" s="1304" t="s">
        <v>5</v>
      </c>
      <c r="U27" s="1305">
        <f>H27</f>
        <v>100</v>
      </c>
      <c r="V27" s="1304" t="s">
        <v>5</v>
      </c>
      <c r="W27" s="1305">
        <f>J27</f>
        <v>100</v>
      </c>
      <c r="X27" s="1306"/>
      <c r="Y27" s="3728"/>
      <c r="Z27" s="997" t="str">
        <f>Q27</f>
        <v>基础设施水平</v>
      </c>
      <c r="AA27" s="1310">
        <f>D27/F27</f>
        <v>1</v>
      </c>
      <c r="AB27" s="1310">
        <f>D27/H27</f>
        <v>1</v>
      </c>
      <c r="AC27" s="1310">
        <f>D27/J27</f>
        <v>1</v>
      </c>
    </row>
    <row r="28" spans="1:29" s="1060" customFormat="1" ht="15" hidden="1">
      <c r="A28" s="527"/>
      <c r="B28" s="544"/>
      <c r="C28" s="2052"/>
      <c r="D28" s="505"/>
      <c r="E28" s="529"/>
      <c r="F28" s="505"/>
      <c r="G28" s="529"/>
      <c r="H28" s="505"/>
      <c r="I28" s="529"/>
      <c r="J28" s="505"/>
      <c r="K28" s="481"/>
      <c r="L28" s="1744"/>
      <c r="M28" s="1641"/>
      <c r="N28" s="1641"/>
      <c r="O28" s="1745"/>
      <c r="P28" s="3728"/>
      <c r="Q28" s="818"/>
      <c r="R28" s="1304"/>
      <c r="S28" s="1305"/>
      <c r="T28" s="1304"/>
      <c r="U28" s="1305"/>
      <c r="V28" s="1304"/>
      <c r="W28" s="1305"/>
      <c r="X28" s="1306"/>
      <c r="Y28" s="3728"/>
      <c r="Z28" s="997"/>
      <c r="AA28" s="997">
        <v>1</v>
      </c>
      <c r="AB28" s="997">
        <v>1</v>
      </c>
      <c r="AC28" s="997">
        <v>1</v>
      </c>
    </row>
    <row r="29" spans="1:29" ht="15.75" thickBot="1">
      <c r="A29" s="482"/>
      <c r="B29" s="544" t="s">
        <v>494</v>
      </c>
      <c r="C29" s="3406" t="str">
        <f>F96</f>
        <v>临村道</v>
      </c>
      <c r="D29" s="490">
        <v>100</v>
      </c>
      <c r="E29" s="3406" t="str">
        <f>C29</f>
        <v>临村道</v>
      </c>
      <c r="F29" s="490">
        <f>SUMIF(96:96,E29,97:97)-SUMIF(96:96,C29,97:97)+100</f>
        <v>100</v>
      </c>
      <c r="G29" s="3406" t="str">
        <f>C29</f>
        <v>临村道</v>
      </c>
      <c r="H29" s="490">
        <f>SUMIF(96:96,G29,97:97)-SUMIF(96:96,C29,97:97)+100</f>
        <v>100</v>
      </c>
      <c r="I29" s="3406" t="str">
        <f>C29</f>
        <v>临村道</v>
      </c>
      <c r="J29" s="490">
        <f>SUMIF(96:96,I29,97:97)-SUMIF(96:96,C29,97:97)+100</f>
        <v>100</v>
      </c>
      <c r="K29" s="485"/>
      <c r="L29" s="1750"/>
      <c r="M29" s="1743"/>
      <c r="N29" s="1743"/>
      <c r="O29" s="1749"/>
      <c r="P29" s="3728"/>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728"/>
      <c r="Z29" s="1310" t="str">
        <f t="shared" ref="Z29:Z42" si="12">Q29</f>
        <v>临街状况</v>
      </c>
      <c r="AA29" s="1310">
        <f t="shared" si="3"/>
        <v>1</v>
      </c>
      <c r="AB29" s="1310">
        <f t="shared" si="4"/>
        <v>1</v>
      </c>
      <c r="AC29" s="1310">
        <f t="shared" si="5"/>
        <v>1</v>
      </c>
    </row>
    <row r="30" spans="1:29" ht="27" hidden="1">
      <c r="A30" s="482"/>
      <c r="B30" s="844" t="s">
        <v>495</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728"/>
      <c r="Q30" s="1307" t="str">
        <f t="shared" si="8"/>
        <v>毗邻道路的类型与等级</v>
      </c>
      <c r="R30" s="1308" t="s">
        <v>5</v>
      </c>
      <c r="S30" s="1309">
        <f t="shared" si="9"/>
        <v>100</v>
      </c>
      <c r="T30" s="1308" t="s">
        <v>5</v>
      </c>
      <c r="U30" s="1309">
        <f t="shared" si="10"/>
        <v>100</v>
      </c>
      <c r="V30" s="1308" t="s">
        <v>5</v>
      </c>
      <c r="W30" s="1309">
        <f t="shared" si="11"/>
        <v>100</v>
      </c>
      <c r="X30" s="1303"/>
      <c r="Y30" s="3728"/>
      <c r="Z30" s="1310" t="str">
        <f t="shared" si="12"/>
        <v>毗邻道路的类型与等级</v>
      </c>
      <c r="AA30" s="1310">
        <f t="shared" si="3"/>
        <v>1</v>
      </c>
      <c r="AB30" s="1310">
        <f t="shared" si="4"/>
        <v>1</v>
      </c>
      <c r="AC30" s="1310">
        <f t="shared" si="5"/>
        <v>1</v>
      </c>
    </row>
    <row r="31" spans="1:29" ht="15" hidden="1">
      <c r="A31" s="482"/>
      <c r="B31" s="544"/>
      <c r="C31" s="526"/>
      <c r="D31" s="505"/>
      <c r="E31" s="526"/>
      <c r="F31" s="505"/>
      <c r="G31" s="526"/>
      <c r="H31" s="505"/>
      <c r="I31" s="526"/>
      <c r="J31" s="505"/>
      <c r="K31" s="531"/>
      <c r="L31" s="1750"/>
      <c r="M31" s="1743"/>
      <c r="N31" s="1743"/>
      <c r="O31" s="1749"/>
      <c r="P31" s="3728"/>
      <c r="Q31" s="1307"/>
      <c r="R31" s="1308"/>
      <c r="S31" s="1309"/>
      <c r="T31" s="1308"/>
      <c r="U31" s="1309"/>
      <c r="V31" s="1308"/>
      <c r="W31" s="1309"/>
      <c r="X31" s="1303"/>
      <c r="Y31" s="3728"/>
      <c r="Z31" s="1310"/>
      <c r="AA31" s="1310">
        <v>1</v>
      </c>
      <c r="AB31" s="1310">
        <v>1</v>
      </c>
      <c r="AC31" s="1310">
        <v>1</v>
      </c>
    </row>
    <row r="32" spans="1:29" ht="15" hidden="1">
      <c r="A32" s="482"/>
      <c r="B32" s="477" t="s">
        <v>496</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728"/>
      <c r="Q32" s="1307" t="str">
        <f t="shared" si="8"/>
        <v>土地级别</v>
      </c>
      <c r="R32" s="1308" t="s">
        <v>5</v>
      </c>
      <c r="S32" s="1309">
        <f t="shared" si="9"/>
        <v>100</v>
      </c>
      <c r="T32" s="1308" t="s">
        <v>5</v>
      </c>
      <c r="U32" s="1309">
        <f t="shared" si="10"/>
        <v>100</v>
      </c>
      <c r="V32" s="1308" t="s">
        <v>5</v>
      </c>
      <c r="W32" s="1309">
        <f t="shared" si="11"/>
        <v>100</v>
      </c>
      <c r="X32" s="1303"/>
      <c r="Y32" s="3728"/>
      <c r="Z32" s="1310" t="str">
        <f t="shared" si="12"/>
        <v>土地级别</v>
      </c>
      <c r="AA32" s="1310">
        <f t="shared" si="3"/>
        <v>1</v>
      </c>
      <c r="AB32" s="1310">
        <f t="shared" si="4"/>
        <v>1</v>
      </c>
      <c r="AC32" s="1310">
        <f t="shared" si="5"/>
        <v>1</v>
      </c>
    </row>
    <row r="33" spans="1:29" ht="15" hidden="1">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728"/>
      <c r="Q33" s="1307">
        <f t="shared" si="8"/>
        <v>111</v>
      </c>
      <c r="R33" s="1308" t="s">
        <v>5</v>
      </c>
      <c r="S33" s="1309">
        <f t="shared" si="9"/>
        <v>100</v>
      </c>
      <c r="T33" s="1308" t="s">
        <v>5</v>
      </c>
      <c r="U33" s="1309">
        <f t="shared" si="10"/>
        <v>100</v>
      </c>
      <c r="V33" s="1308" t="s">
        <v>5</v>
      </c>
      <c r="W33" s="1309">
        <f t="shared" si="11"/>
        <v>100</v>
      </c>
      <c r="X33" s="1303"/>
      <c r="Y33" s="3728"/>
      <c r="Z33" s="1310">
        <f t="shared" si="12"/>
        <v>111</v>
      </c>
      <c r="AA33" s="1310">
        <f t="shared" si="3"/>
        <v>1</v>
      </c>
      <c r="AB33" s="1310">
        <f t="shared" si="4"/>
        <v>1</v>
      </c>
      <c r="AC33" s="1310">
        <f t="shared" si="5"/>
        <v>1</v>
      </c>
    </row>
    <row r="34" spans="1:29" ht="15" hidden="1">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729" t="s">
        <v>497</v>
      </c>
      <c r="Q34" s="1307">
        <f t="shared" si="8"/>
        <v>111</v>
      </c>
      <c r="R34" s="1308" t="s">
        <v>5</v>
      </c>
      <c r="S34" s="1309">
        <f t="shared" si="9"/>
        <v>100</v>
      </c>
      <c r="T34" s="1308" t="s">
        <v>5</v>
      </c>
      <c r="U34" s="1309">
        <f t="shared" si="10"/>
        <v>100</v>
      </c>
      <c r="V34" s="1308" t="s">
        <v>5</v>
      </c>
      <c r="W34" s="1309">
        <f t="shared" si="11"/>
        <v>100</v>
      </c>
      <c r="X34" s="1303"/>
      <c r="Y34" s="3730" t="s">
        <v>497</v>
      </c>
      <c r="Z34" s="1310">
        <f t="shared" si="12"/>
        <v>111</v>
      </c>
      <c r="AA34" s="1310">
        <f t="shared" si="3"/>
        <v>1</v>
      </c>
      <c r="AB34" s="1310">
        <f t="shared" si="4"/>
        <v>1</v>
      </c>
      <c r="AC34" s="1310">
        <f t="shared" si="5"/>
        <v>1</v>
      </c>
    </row>
    <row r="35" spans="1:29" s="1134" customFormat="1" ht="15.75" hidden="1"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730"/>
      <c r="Q35" s="1307">
        <f t="shared" si="8"/>
        <v>111</v>
      </c>
      <c r="R35" s="1311" t="s">
        <v>5</v>
      </c>
      <c r="S35" s="1312">
        <f t="shared" si="9"/>
        <v>100</v>
      </c>
      <c r="T35" s="1311" t="s">
        <v>5</v>
      </c>
      <c r="U35" s="1312">
        <f t="shared" si="10"/>
        <v>100</v>
      </c>
      <c r="V35" s="1311" t="s">
        <v>5</v>
      </c>
      <c r="W35" s="1312">
        <f t="shared" si="11"/>
        <v>100</v>
      </c>
      <c r="X35" s="1313"/>
      <c r="Y35" s="3730"/>
      <c r="Z35" s="1314">
        <f t="shared" si="12"/>
        <v>111</v>
      </c>
      <c r="AA35" s="1310">
        <f t="shared" si="3"/>
        <v>1</v>
      </c>
      <c r="AB35" s="1310">
        <f t="shared" si="4"/>
        <v>1</v>
      </c>
      <c r="AC35" s="1310">
        <f t="shared" si="5"/>
        <v>1</v>
      </c>
    </row>
    <row r="36" spans="1:29" ht="15">
      <c r="A36" s="2205" t="s">
        <v>2035</v>
      </c>
      <c r="B36" s="544" t="s">
        <v>499</v>
      </c>
      <c r="C36" s="545">
        <v>230</v>
      </c>
      <c r="D36" s="546">
        <v>100</v>
      </c>
      <c r="E36" s="545">
        <v>57.11</v>
      </c>
      <c r="F36" s="546">
        <f>LOOKUP(E36,109:109,110:110)-LOOKUP(C36,109:109,110:110)+100</f>
        <v>97</v>
      </c>
      <c r="G36" s="545">
        <v>48.02</v>
      </c>
      <c r="H36" s="546">
        <f>LOOKUP(G36,109:109,110:110)-LOOKUP(C36,109:109,110:110)+100</f>
        <v>97</v>
      </c>
      <c r="I36" s="547">
        <v>12.2</v>
      </c>
      <c r="J36" s="546">
        <f>LOOKUP(I36,109:109,110:110)-LOOKUP(C36,109:109,110:110)+100</f>
        <v>96.5</v>
      </c>
      <c r="K36" s="531">
        <v>0.5</v>
      </c>
      <c r="L36" s="1750"/>
      <c r="M36" s="1743"/>
      <c r="N36" s="1743"/>
      <c r="O36" s="1749"/>
      <c r="P36" s="3730"/>
      <c r="Q36" s="1307" t="str">
        <f>B36</f>
        <v>宗地面积</v>
      </c>
      <c r="R36" s="1308" t="s">
        <v>5</v>
      </c>
      <c r="S36" s="1309">
        <f t="shared" si="9"/>
        <v>97</v>
      </c>
      <c r="T36" s="1308" t="s">
        <v>5</v>
      </c>
      <c r="U36" s="1309">
        <f t="shared" si="10"/>
        <v>97</v>
      </c>
      <c r="V36" s="1308" t="s">
        <v>5</v>
      </c>
      <c r="W36" s="1309">
        <f t="shared" si="11"/>
        <v>96.5</v>
      </c>
      <c r="X36" s="1303"/>
      <c r="Y36" s="3730"/>
      <c r="Z36" s="1310" t="str">
        <f t="shared" si="12"/>
        <v>宗地面积</v>
      </c>
      <c r="AA36" s="1310">
        <f t="shared" si="3"/>
        <v>1.0309278350515463</v>
      </c>
      <c r="AB36" s="1310">
        <f t="shared" si="4"/>
        <v>1.0309278350515463</v>
      </c>
      <c r="AC36" s="1310">
        <f t="shared" si="5"/>
        <v>1.0362694300518134</v>
      </c>
    </row>
    <row r="37" spans="1:29" ht="15">
      <c r="A37" s="543"/>
      <c r="B37" s="477" t="s">
        <v>500</v>
      </c>
      <c r="C37" s="548" t="s">
        <v>3318</v>
      </c>
      <c r="D37" s="490">
        <v>100</v>
      </c>
      <c r="E37" s="548" t="s">
        <v>3318</v>
      </c>
      <c r="F37" s="490">
        <f>SUMIF(111:111,E37,112:112)-SUMIF(111:111,C37,112:112)+100</f>
        <v>100</v>
      </c>
      <c r="G37" s="548" t="s">
        <v>3318</v>
      </c>
      <c r="H37" s="490">
        <f>SUMIF(111:111,G37,112:112)-SUMIF(111:111,C37,112:112)+100</f>
        <v>100</v>
      </c>
      <c r="I37" s="548" t="s">
        <v>3318</v>
      </c>
      <c r="J37" s="490">
        <f>SUMIF(111:111,I37,112:112)-SUMIF(111:111,C37,112:112)+100</f>
        <v>100</v>
      </c>
      <c r="K37" s="533"/>
      <c r="L37" s="1750"/>
      <c r="M37" s="1743"/>
      <c r="N37" s="1743"/>
      <c r="O37" s="1749"/>
      <c r="P37" s="3730"/>
      <c r="Q37" s="1307" t="str">
        <f t="shared" ref="Q37:Q42" si="13">B37</f>
        <v>宗地形状</v>
      </c>
      <c r="R37" s="1308" t="s">
        <v>5</v>
      </c>
      <c r="S37" s="1309">
        <f t="shared" si="9"/>
        <v>100</v>
      </c>
      <c r="T37" s="1308" t="s">
        <v>5</v>
      </c>
      <c r="U37" s="1309">
        <f t="shared" si="10"/>
        <v>100</v>
      </c>
      <c r="V37" s="1308" t="s">
        <v>5</v>
      </c>
      <c r="W37" s="1309">
        <f t="shared" si="11"/>
        <v>100</v>
      </c>
      <c r="X37" s="1303"/>
      <c r="Y37" s="3730"/>
      <c r="Z37" s="1310" t="str">
        <f t="shared" si="12"/>
        <v>宗地形状</v>
      </c>
      <c r="AA37" s="1310">
        <f t="shared" si="3"/>
        <v>1</v>
      </c>
      <c r="AB37" s="1310">
        <f t="shared" si="4"/>
        <v>1</v>
      </c>
      <c r="AC37" s="1310">
        <f t="shared" si="5"/>
        <v>1</v>
      </c>
    </row>
    <row r="38" spans="1:29" s="1060" customFormat="1" ht="15" hidden="1">
      <c r="A38" s="549"/>
      <c r="B38" s="1555"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730"/>
      <c r="Q38" s="1307" t="str">
        <f t="shared" si="13"/>
        <v>宗地开发程度</v>
      </c>
      <c r="R38" s="1304" t="s">
        <v>5</v>
      </c>
      <c r="S38" s="1305">
        <f t="shared" si="9"/>
        <v>100</v>
      </c>
      <c r="T38" s="1304" t="s">
        <v>5</v>
      </c>
      <c r="U38" s="1305">
        <f t="shared" si="10"/>
        <v>100</v>
      </c>
      <c r="V38" s="1304" t="s">
        <v>5</v>
      </c>
      <c r="W38" s="1305">
        <f t="shared" si="11"/>
        <v>100</v>
      </c>
      <c r="X38" s="1306"/>
      <c r="Y38" s="3730"/>
      <c r="Z38" s="997" t="str">
        <f t="shared" si="12"/>
        <v>宗地开发程度</v>
      </c>
      <c r="AA38" s="997">
        <f t="shared" si="3"/>
        <v>1</v>
      </c>
      <c r="AB38" s="997">
        <f t="shared" si="4"/>
        <v>1</v>
      </c>
      <c r="AC38" s="997">
        <f t="shared" si="5"/>
        <v>1</v>
      </c>
    </row>
    <row r="39" spans="1:29" ht="15">
      <c r="A39" s="543"/>
      <c r="B39" s="477" t="s">
        <v>502</v>
      </c>
      <c r="C39" s="548" t="s">
        <v>3316</v>
      </c>
      <c r="D39" s="490">
        <v>100</v>
      </c>
      <c r="E39" s="548" t="s">
        <v>3316</v>
      </c>
      <c r="F39" s="490">
        <f>SUMIF(115:115,E39,116:116)-SUMIF(115:115,C39,116:116)+100</f>
        <v>100</v>
      </c>
      <c r="G39" s="548" t="s">
        <v>3316</v>
      </c>
      <c r="H39" s="490">
        <f>SUMIF(115:115,G39,116:116)-SUMIF(115:115,C39,116:116)+100</f>
        <v>100</v>
      </c>
      <c r="I39" s="548" t="s">
        <v>3316</v>
      </c>
      <c r="J39" s="490">
        <f>SUMIF(115:115,I39,116:116)-SUMIF(115:115,C39,116:116)+100</f>
        <v>100</v>
      </c>
      <c r="K39" s="533"/>
      <c r="L39" s="1750"/>
      <c r="M39" s="1743"/>
      <c r="N39" s="1743"/>
      <c r="O39" s="1749"/>
      <c r="P39" s="3730" t="s">
        <v>547</v>
      </c>
      <c r="Q39" s="1307" t="str">
        <f t="shared" si="13"/>
        <v>工程地质条件</v>
      </c>
      <c r="R39" s="1308" t="s">
        <v>5</v>
      </c>
      <c r="S39" s="1309">
        <f t="shared" si="9"/>
        <v>100</v>
      </c>
      <c r="T39" s="1308" t="s">
        <v>5</v>
      </c>
      <c r="U39" s="1309">
        <f t="shared" si="10"/>
        <v>100</v>
      </c>
      <c r="V39" s="1308" t="s">
        <v>5</v>
      </c>
      <c r="W39" s="1309">
        <f t="shared" si="11"/>
        <v>100</v>
      </c>
      <c r="X39" s="1303"/>
      <c r="Y39" s="3730" t="s">
        <v>547</v>
      </c>
      <c r="Z39" s="1310" t="str">
        <f t="shared" si="12"/>
        <v>工程地质条件</v>
      </c>
      <c r="AA39" s="1310">
        <f t="shared" si="3"/>
        <v>1</v>
      </c>
      <c r="AB39" s="1310">
        <f t="shared" si="4"/>
        <v>1</v>
      </c>
      <c r="AC39" s="1310">
        <f t="shared" si="5"/>
        <v>1</v>
      </c>
    </row>
    <row r="40" spans="1:29" ht="15.75" thickBot="1">
      <c r="A40" s="543"/>
      <c r="B40" s="3402" t="s">
        <v>3311</v>
      </c>
      <c r="C40" s="3406" t="s">
        <v>3321</v>
      </c>
      <c r="D40" s="490">
        <v>100</v>
      </c>
      <c r="E40" s="3406" t="s">
        <v>3323</v>
      </c>
      <c r="F40" s="490">
        <f>SUMIF(117:117,E40,118:118)-SUMIF(117:117,C40,118:118)+100</f>
        <v>99.5</v>
      </c>
      <c r="G40" s="3406" t="s">
        <v>3323</v>
      </c>
      <c r="H40" s="490">
        <f>SUMIF(117:117,G40,118:118)-SUMIF(117:117,C40,118:118)+100</f>
        <v>99.5</v>
      </c>
      <c r="I40" s="3406" t="s">
        <v>3323</v>
      </c>
      <c r="J40" s="490">
        <f>SUMIF(117:117,I40,118:118)-SUMIF(117:117,C40,118:118)+100</f>
        <v>99.5</v>
      </c>
      <c r="K40" s="531">
        <v>0.5</v>
      </c>
      <c r="L40" s="1750"/>
      <c r="M40" s="1743"/>
      <c r="N40" s="1743"/>
      <c r="O40" s="1749"/>
      <c r="P40" s="3730"/>
      <c r="Q40" s="1307" t="str">
        <f t="shared" si="13"/>
        <v>地势</v>
      </c>
      <c r="R40" s="1308" t="s">
        <v>5</v>
      </c>
      <c r="S40" s="1309">
        <f t="shared" si="9"/>
        <v>99.5</v>
      </c>
      <c r="T40" s="1308" t="s">
        <v>5</v>
      </c>
      <c r="U40" s="1309">
        <f t="shared" si="10"/>
        <v>99.5</v>
      </c>
      <c r="V40" s="1308" t="s">
        <v>5</v>
      </c>
      <c r="W40" s="1309">
        <f t="shared" si="11"/>
        <v>99.5</v>
      </c>
      <c r="X40" s="1303"/>
      <c r="Y40" s="3730"/>
      <c r="Z40" s="1310" t="str">
        <f t="shared" si="12"/>
        <v>地势</v>
      </c>
      <c r="AA40" s="1310">
        <f t="shared" si="3"/>
        <v>1.0050251256281406</v>
      </c>
      <c r="AB40" s="1310">
        <f t="shared" si="4"/>
        <v>1.0050251256281406</v>
      </c>
      <c r="AC40" s="1310">
        <f t="shared" si="5"/>
        <v>1.0050251256281406</v>
      </c>
    </row>
    <row r="41" spans="1:29" ht="15" hidden="1">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730"/>
      <c r="Q41" s="1307">
        <f t="shared" si="13"/>
        <v>111</v>
      </c>
      <c r="R41" s="1308" t="s">
        <v>5</v>
      </c>
      <c r="S41" s="1309">
        <f t="shared" si="9"/>
        <v>100</v>
      </c>
      <c r="T41" s="1308" t="s">
        <v>5</v>
      </c>
      <c r="U41" s="1309">
        <f t="shared" si="10"/>
        <v>100</v>
      </c>
      <c r="V41" s="1308" t="s">
        <v>5</v>
      </c>
      <c r="W41" s="1309">
        <f t="shared" si="11"/>
        <v>100</v>
      </c>
      <c r="X41" s="1303"/>
      <c r="Y41" s="3730"/>
      <c r="Z41" s="1310">
        <f t="shared" si="12"/>
        <v>111</v>
      </c>
      <c r="AA41" s="1310">
        <f t="shared" si="3"/>
        <v>1</v>
      </c>
      <c r="AB41" s="1310">
        <f t="shared" si="4"/>
        <v>1</v>
      </c>
      <c r="AC41" s="1310">
        <f t="shared" si="5"/>
        <v>1</v>
      </c>
    </row>
    <row r="42" spans="1:29" s="1134" customFormat="1" ht="15.75" hidden="1"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730"/>
      <c r="Q42" s="1307">
        <f t="shared" si="13"/>
        <v>111</v>
      </c>
      <c r="R42" s="1311" t="s">
        <v>5</v>
      </c>
      <c r="S42" s="1312">
        <f t="shared" si="9"/>
        <v>100</v>
      </c>
      <c r="T42" s="1311" t="s">
        <v>5</v>
      </c>
      <c r="U42" s="1312">
        <f t="shared" si="10"/>
        <v>100</v>
      </c>
      <c r="V42" s="1311" t="s">
        <v>5</v>
      </c>
      <c r="W42" s="1312">
        <f t="shared" si="11"/>
        <v>100</v>
      </c>
      <c r="X42" s="1313"/>
      <c r="Y42" s="3730"/>
      <c r="Z42" s="1314">
        <f t="shared" si="12"/>
        <v>111</v>
      </c>
      <c r="AA42" s="1310">
        <f t="shared" si="3"/>
        <v>1</v>
      </c>
      <c r="AB42" s="1310">
        <f t="shared" si="4"/>
        <v>1</v>
      </c>
      <c r="AC42" s="1310">
        <f t="shared" si="5"/>
        <v>1</v>
      </c>
    </row>
    <row r="43" spans="1:29" ht="15">
      <c r="A43" s="556" t="s">
        <v>503</v>
      </c>
      <c r="B43" s="557" t="s">
        <v>2194</v>
      </c>
      <c r="C43" s="558" t="s">
        <v>0</v>
      </c>
      <c r="D43" s="559"/>
      <c r="E43" s="560">
        <v>40000</v>
      </c>
      <c r="F43" s="561"/>
      <c r="G43" s="562">
        <v>40000</v>
      </c>
      <c r="H43" s="563"/>
      <c r="I43" s="560">
        <v>36000</v>
      </c>
      <c r="J43" s="563"/>
      <c r="K43" s="1135"/>
      <c r="L43" s="1752"/>
      <c r="M43" s="1743"/>
      <c r="N43" s="1743"/>
      <c r="O43" s="1743"/>
      <c r="P43" s="3725" t="str">
        <f>A43</f>
        <v>成交单价</v>
      </c>
      <c r="Q43" s="3725"/>
      <c r="R43" s="3741">
        <f>E43</f>
        <v>40000</v>
      </c>
      <c r="S43" s="3741"/>
      <c r="T43" s="3741">
        <f>G43</f>
        <v>40000</v>
      </c>
      <c r="U43" s="3741"/>
      <c r="V43" s="3741">
        <f>I43</f>
        <v>36000</v>
      </c>
      <c r="W43" s="3741"/>
      <c r="X43" s="799"/>
      <c r="Y43" s="1315"/>
      <c r="Z43" s="799"/>
      <c r="AA43" s="799"/>
      <c r="AB43" s="799"/>
      <c r="AC43" s="799"/>
    </row>
    <row r="44" spans="1:29" ht="15.75" thickBot="1">
      <c r="A44" s="564" t="s">
        <v>1973</v>
      </c>
      <c r="B44" s="565"/>
      <c r="C44" s="566">
        <f>R45</f>
        <v>36940</v>
      </c>
      <c r="D44" s="2551" t="s">
        <v>2258</v>
      </c>
      <c r="E44" s="566">
        <f>R44</f>
        <v>38152</v>
      </c>
      <c r="F44" s="2552"/>
      <c r="G44" s="567">
        <f>T44</f>
        <v>38152</v>
      </c>
      <c r="H44" s="2552"/>
      <c r="I44" s="566">
        <f>V44</f>
        <v>34515</v>
      </c>
      <c r="J44" s="2552"/>
      <c r="K44" s="2553">
        <f>F44+H44+J44</f>
        <v>0</v>
      </c>
      <c r="L44" s="1752"/>
      <c r="M44" s="1743"/>
      <c r="N44" s="1743"/>
      <c r="O44" s="1743"/>
      <c r="P44" s="3725" t="str">
        <f>A44</f>
        <v>比较价格（元/平方米）</v>
      </c>
      <c r="Q44" s="3725"/>
      <c r="R44" s="3749">
        <f>ROUND(PRODUCT(R43,AA9:AA42),0)</f>
        <v>38152</v>
      </c>
      <c r="S44" s="3749"/>
      <c r="T44" s="3749">
        <f>ROUND(PRODUCT(T43,AB9:AB42),0)</f>
        <v>38152</v>
      </c>
      <c r="U44" s="3749"/>
      <c r="V44" s="3749">
        <f>ROUND(PRODUCT(V43,AC9:AC42),0)</f>
        <v>34515</v>
      </c>
      <c r="W44" s="3749"/>
      <c r="X44" s="799"/>
      <c r="Y44" s="799"/>
      <c r="Z44" s="799"/>
      <c r="AA44" s="799"/>
      <c r="AB44" s="799"/>
      <c r="AC44" s="799"/>
    </row>
    <row r="45" spans="1:29" ht="15.75" thickBot="1">
      <c r="A45" s="568" t="s">
        <v>2195</v>
      </c>
      <c r="B45" s="569"/>
      <c r="C45" s="570">
        <f>R45</f>
        <v>36940</v>
      </c>
      <c r="D45" s="570"/>
      <c r="E45" s="570"/>
      <c r="F45" s="570"/>
      <c r="G45" s="570"/>
      <c r="H45" s="570"/>
      <c r="I45" s="570"/>
      <c r="J45" s="570"/>
      <c r="K45" s="1136"/>
      <c r="L45" s="1752"/>
      <c r="M45" s="1743"/>
      <c r="N45" s="1743"/>
      <c r="O45" s="1743"/>
      <c r="P45" s="3731" t="str">
        <f>A45</f>
        <v>估价对象XX用房的比较价格（楼面单价，元/平方米）</v>
      </c>
      <c r="Q45" s="3732"/>
      <c r="R45" s="3754">
        <f>ROUND(IF(D44="简单平均",AVERAGE(R44:W44),R44*F44+T44*H44+V44*J44),0)</f>
        <v>36940</v>
      </c>
      <c r="S45" s="3754"/>
      <c r="T45" s="3754"/>
      <c r="U45" s="3754"/>
      <c r="V45" s="3754"/>
      <c r="W45" s="3754"/>
      <c r="X45" s="799"/>
      <c r="Y45" s="799"/>
      <c r="Z45" s="799"/>
      <c r="AA45" s="799"/>
      <c r="AB45" s="799"/>
      <c r="AC45" s="799"/>
    </row>
    <row r="46" spans="1:29">
      <c r="A46" s="2721"/>
      <c r="B46" s="3520" t="s">
        <v>3352</v>
      </c>
      <c r="C46" s="2721">
        <f>ROUND(C45*(1-1/(1+B48)^B47),0)</f>
        <v>34858</v>
      </c>
      <c r="D46" s="2721"/>
      <c r="E46" s="2721"/>
      <c r="F46" s="2721"/>
      <c r="G46" s="2723"/>
      <c r="H46" s="2721"/>
      <c r="I46" s="2721"/>
      <c r="J46" s="2721"/>
      <c r="K46" s="2724"/>
      <c r="L46" s="1756"/>
      <c r="M46" s="1743"/>
      <c r="N46" s="1743"/>
      <c r="O46" s="1743"/>
      <c r="P46" s="1743"/>
      <c r="Q46" s="1743"/>
      <c r="R46" s="1743"/>
      <c r="S46" s="1743"/>
      <c r="T46" s="1743"/>
      <c r="U46" s="1743"/>
      <c r="V46" s="1743"/>
      <c r="W46" s="1743"/>
      <c r="X46" s="1743"/>
      <c r="Y46" s="1743"/>
      <c r="Z46" s="1743"/>
      <c r="AA46" s="1743"/>
      <c r="AB46" s="1743"/>
      <c r="AC46" s="1743"/>
    </row>
    <row r="47" spans="1:29">
      <c r="A47" s="2721"/>
      <c r="B47" s="2721">
        <v>45</v>
      </c>
      <c r="C47" s="2721"/>
      <c r="D47" s="2721"/>
      <c r="E47" s="2721"/>
      <c r="F47" s="2721"/>
      <c r="G47" s="2721"/>
      <c r="H47" s="2721"/>
      <c r="I47" s="2721"/>
      <c r="J47" s="2721"/>
      <c r="K47" s="2724"/>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1"/>
      <c r="B48" s="3521">
        <v>6.6000000000000003E-2</v>
      </c>
      <c r="C48" s="571" t="s">
        <v>504</v>
      </c>
      <c r="D48" s="572"/>
      <c r="E48" s="573">
        <f>IF(E43&lt;E44,E44/E43-1,E43/E44-1)</f>
        <v>4.843782763682114E-2</v>
      </c>
      <c r="F48" s="574" t="str">
        <f>IF(OR(E48&gt;=0.3,E48&lt;=-0.3),"超过30%","")</f>
        <v/>
      </c>
      <c r="G48" s="573">
        <f>IF(G43&lt;G44,G44/G43-1,G43/G44-1)</f>
        <v>4.843782763682114E-2</v>
      </c>
      <c r="H48" s="574" t="str">
        <f>IF(OR(G48&gt;=0.3,G48&lt;=-0.3),"超过30%","")</f>
        <v/>
      </c>
      <c r="I48" s="573">
        <f>IF(I43&lt;I44,I44/I43-1,I43/I44-1)</f>
        <v>4.3024771838331199E-2</v>
      </c>
      <c r="J48" s="574" t="str">
        <f>IF(OR(I48&gt;=0.3,I48&lt;=-0.3),"超过30%","")</f>
        <v/>
      </c>
      <c r="K48" s="2724"/>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1"/>
      <c r="B49" s="2721"/>
      <c r="C49" s="571" t="s">
        <v>505</v>
      </c>
      <c r="D49" s="575"/>
      <c r="E49" s="573">
        <f>IF(E44&lt;G44,G44/E44-1,E44/G44-1)</f>
        <v>0</v>
      </c>
      <c r="F49" s="574" t="str">
        <f>IF(OR(E49&gt;=0.2,E49&lt;=-0.2),"超过20%","")</f>
        <v/>
      </c>
      <c r="G49" s="573">
        <f>IF(G44&lt;I44,I44/G44-1,G44/I44-1)</f>
        <v>0.10537447486600038</v>
      </c>
      <c r="H49" s="574" t="str">
        <f>IF(OR(G49&gt;=0.2,G49&lt;=-0.2),"超过20%","")</f>
        <v/>
      </c>
      <c r="I49" s="573">
        <f>IF(I44&lt;E44,E44/I44-1,I44/E44-1)</f>
        <v>0.10537447486600038</v>
      </c>
      <c r="J49" s="574" t="str">
        <f>IF(OR(I49&gt;=0.2,I49&lt;=-0.2),"超过20%","")</f>
        <v/>
      </c>
      <c r="K49" s="2724"/>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2"/>
      <c r="B50" s="2722"/>
      <c r="C50" s="571" t="s">
        <v>506</v>
      </c>
      <c r="D50" s="575"/>
      <c r="E50" s="573">
        <f>IF(E43&lt;G43,G43/E43-1,E43/G43-1)</f>
        <v>0</v>
      </c>
      <c r="F50" s="574" t="str">
        <f>IF(OR(E50&gt;=0.3,E50&lt;=-0.3),"超过30%","")</f>
        <v/>
      </c>
      <c r="G50" s="573">
        <f>IF(G43&lt;I43,I43/G43-1,G43/I43-1)</f>
        <v>0.11111111111111116</v>
      </c>
      <c r="H50" s="574" t="str">
        <f>IF(OR(G50&gt;=0.3,G50&lt;=-0.3),"超过30%","")</f>
        <v/>
      </c>
      <c r="I50" s="573">
        <f>IF(I43&lt;E43,E43/I43-1,I43/E43-1)</f>
        <v>0.11111111111111116</v>
      </c>
      <c r="J50" s="574" t="str">
        <f>IF(OR(I50&gt;=0.3,I50&lt;=-0.3),"超过30%","")</f>
        <v/>
      </c>
      <c r="K50" s="2725"/>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2"/>
      <c r="B51" s="2733"/>
      <c r="C51" s="1757"/>
      <c r="D51" s="1753"/>
      <c r="E51" s="1753"/>
      <c r="F51" s="1753"/>
      <c r="G51" s="1753"/>
      <c r="H51" s="1753"/>
      <c r="I51" s="1753"/>
      <c r="J51" s="1753"/>
      <c r="K51" s="2725"/>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507</v>
      </c>
      <c r="B52" s="577" t="s">
        <v>508</v>
      </c>
      <c r="C52" s="1301" t="s">
        <v>1251</v>
      </c>
      <c r="D52" s="1822" t="s">
        <v>1648</v>
      </c>
      <c r="E52" s="578" t="s">
        <v>509</v>
      </c>
      <c r="F52" s="1611" t="s">
        <v>510</v>
      </c>
      <c r="G52" s="3750" t="s">
        <v>1640</v>
      </c>
      <c r="H52" s="3751"/>
      <c r="I52" s="1612" t="s">
        <v>1463</v>
      </c>
      <c r="J52" s="1298">
        <f>项目基本情况!F41</f>
        <v>0</v>
      </c>
      <c r="K52" s="1760" t="s">
        <v>1250</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511</v>
      </c>
      <c r="B53" s="581">
        <f>C45</f>
        <v>36940</v>
      </c>
      <c r="C53" s="582">
        <v>1</v>
      </c>
      <c r="D53" s="1823">
        <v>1</v>
      </c>
      <c r="E53" s="582">
        <f>'数据-汇总表'!E8+'数据-汇总表'!E9</f>
        <v>153333.32999999999</v>
      </c>
      <c r="F53" s="1610">
        <f t="shared" ref="F53:F61" si="14">ROUND(B53*E53/10000,0)</f>
        <v>566413</v>
      </c>
      <c r="G53" s="3752"/>
      <c r="H53" s="3753"/>
      <c r="I53" s="1613">
        <v>1</v>
      </c>
      <c r="J53" s="1299">
        <v>1</v>
      </c>
      <c r="K53" s="2726"/>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512</v>
      </c>
      <c r="B54" s="585">
        <f>ROUND($C$45*C54*D54,0)</f>
        <v>0</v>
      </c>
      <c r="C54" s="348">
        <f t="shared" ref="C54:C61" si="15">IF($C$52="北京市系数",I54,J54)</f>
        <v>0</v>
      </c>
      <c r="D54" s="1824">
        <v>0.25</v>
      </c>
      <c r="E54" s="586"/>
      <c r="F54" s="1610">
        <f t="shared" si="14"/>
        <v>0</v>
      </c>
      <c r="G54" s="3030" t="s">
        <v>1641</v>
      </c>
      <c r="H54" s="1614">
        <f>项目基本情况!B43</f>
        <v>0</v>
      </c>
      <c r="I54" s="1613">
        <f>SUMIF(修正!$A$57:$A$68,H54,修正!B57:B68)</f>
        <v>0</v>
      </c>
      <c r="J54" s="1300"/>
      <c r="K54" s="2726"/>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513</v>
      </c>
      <c r="B55" s="585">
        <f t="shared" ref="B55:B61" si="16">ROUND($C$45*C55*D55,0)</f>
        <v>0</v>
      </c>
      <c r="C55" s="348">
        <f t="shared" si="15"/>
        <v>0</v>
      </c>
      <c r="D55" s="1824">
        <v>0.25</v>
      </c>
      <c r="E55" s="586"/>
      <c r="F55" s="1610">
        <f t="shared" si="14"/>
        <v>0</v>
      </c>
      <c r="G55" s="3031"/>
      <c r="H55" s="1615">
        <f>项目基本情况!B43</f>
        <v>0</v>
      </c>
      <c r="I55" s="1613">
        <f>SUMIF(修正!$A$57:$A$68,H55,修正!C57:C68)</f>
        <v>0</v>
      </c>
      <c r="J55" s="1300"/>
      <c r="K55" s="2726"/>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514</v>
      </c>
      <c r="B56" s="585">
        <f t="shared" si="16"/>
        <v>0</v>
      </c>
      <c r="C56" s="348">
        <f t="shared" si="15"/>
        <v>0</v>
      </c>
      <c r="D56" s="1824">
        <v>0.25</v>
      </c>
      <c r="E56" s="586"/>
      <c r="F56" s="1610">
        <f t="shared" si="14"/>
        <v>0</v>
      </c>
      <c r="G56" s="3031"/>
      <c r="H56" s="1615">
        <f>项目基本情况!B43</f>
        <v>0</v>
      </c>
      <c r="I56" s="1613">
        <f>SUMIF(修正!$A$57:$A$68,H56,修正!D57:D68)</f>
        <v>0</v>
      </c>
      <c r="J56" s="1300"/>
      <c r="K56" s="2726"/>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1683</v>
      </c>
      <c r="B57" s="585">
        <f t="shared" si="16"/>
        <v>0</v>
      </c>
      <c r="C57" s="348">
        <f t="shared" si="15"/>
        <v>0</v>
      </c>
      <c r="D57" s="1824">
        <v>0.25</v>
      </c>
      <c r="E57" s="588">
        <f>'数据-汇总表'!E11</f>
        <v>0</v>
      </c>
      <c r="F57" s="1610">
        <f t="shared" si="14"/>
        <v>0</v>
      </c>
      <c r="G57" s="1616" t="s">
        <v>1642</v>
      </c>
      <c r="H57" s="1615">
        <f>项目基本情况!C43</f>
        <v>0</v>
      </c>
      <c r="I57" s="1613">
        <f>SUMIF(修正!$A$57:$A$68,H57,修正!E57:E68)</f>
        <v>0</v>
      </c>
      <c r="J57" s="1300"/>
      <c r="K57" s="2726"/>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515</v>
      </c>
      <c r="B58" s="585">
        <f t="shared" si="16"/>
        <v>0</v>
      </c>
      <c r="C58" s="348">
        <f t="shared" si="15"/>
        <v>0</v>
      </c>
      <c r="D58" s="1824">
        <v>0.25</v>
      </c>
      <c r="E58" s="588">
        <f>'数据-汇总表'!E12</f>
        <v>0</v>
      </c>
      <c r="F58" s="1610">
        <f t="shared" si="14"/>
        <v>0</v>
      </c>
      <c r="G58" s="1606" t="s">
        <v>1210</v>
      </c>
      <c r="H58" s="1614">
        <f>IF(G58="商业",项目基本情况!B43,IF(G58="办公",项目基本情况!C43,IF(G58="住宅",项目基本情况!D43,项目基本情况!E43)))</f>
        <v>0</v>
      </c>
      <c r="I58" s="1613">
        <f>SUMIF(修正!$A$57:$A$68,H58,修正!F57:F68)</f>
        <v>0</v>
      </c>
      <c r="J58" s="1300"/>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516</v>
      </c>
      <c r="B59" s="585">
        <f t="shared" si="16"/>
        <v>0</v>
      </c>
      <c r="C59" s="348">
        <f t="shared" si="15"/>
        <v>0</v>
      </c>
      <c r="D59" s="1824">
        <v>0.25</v>
      </c>
      <c r="E59" s="588">
        <f>'数据-汇总表'!E13</f>
        <v>0</v>
      </c>
      <c r="F59" s="1610">
        <f t="shared" si="14"/>
        <v>0</v>
      </c>
      <c r="G59" s="1606" t="s">
        <v>849</v>
      </c>
      <c r="H59" s="1614">
        <f>IF(G59="商业",项目基本情况!B43,IF(G59="办公",项目基本情况!C43,IF(G59="住宅",项目基本情况!D43,项目基本情况!E43)))</f>
        <v>0</v>
      </c>
      <c r="I59" s="1613">
        <f>SUMIF(修正!$A$57:$A$68,H59,修正!G57:G68)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517</v>
      </c>
      <c r="B60" s="585">
        <f t="shared" si="16"/>
        <v>0</v>
      </c>
      <c r="C60" s="348">
        <f t="shared" si="15"/>
        <v>0</v>
      </c>
      <c r="D60" s="1824">
        <v>0.25</v>
      </c>
      <c r="E60" s="588">
        <f>'数据-汇总表'!E14</f>
        <v>0</v>
      </c>
      <c r="F60" s="1610">
        <f t="shared" si="14"/>
        <v>0</v>
      </c>
      <c r="G60" s="1616" t="s">
        <v>1641</v>
      </c>
      <c r="H60" s="1615">
        <f>项目基本情况!B43</f>
        <v>0</v>
      </c>
      <c r="I60" s="1613">
        <f>SUMIF(修正!$A$57:$A$68,H60,修正!G57:G68)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518</v>
      </c>
      <c r="B61" s="585">
        <f t="shared" si="16"/>
        <v>0</v>
      </c>
      <c r="C61" s="348">
        <f t="shared" si="15"/>
        <v>0</v>
      </c>
      <c r="D61" s="1824">
        <v>0.25</v>
      </c>
      <c r="E61" s="588">
        <f>'数据-汇总表'!E15</f>
        <v>0</v>
      </c>
      <c r="F61" s="1610">
        <f t="shared" si="14"/>
        <v>0</v>
      </c>
      <c r="G61" s="1617" t="s">
        <v>1642</v>
      </c>
      <c r="H61" s="1618">
        <f>项目基本情况!C43</f>
        <v>0</v>
      </c>
      <c r="I61" s="1613">
        <f>SUMIF(修正!$A$57:$A$68,H61,修正!G57:G68)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519</v>
      </c>
      <c r="B62" s="590" t="s">
        <v>11</v>
      </c>
      <c r="C62" s="590" t="s">
        <v>12</v>
      </c>
      <c r="D62" s="590" t="s">
        <v>1649</v>
      </c>
      <c r="E62" s="590">
        <f>IF(B43="楼面地价",SUM(E53:E61),'数据-汇总表'!D3)</f>
        <v>153333.32999999999</v>
      </c>
      <c r="F62" s="591">
        <f>IF(B43="楼面地价",SUM(F53:F61),ROUND(C45*E62/10000,0))</f>
        <v>566413</v>
      </c>
      <c r="G62" s="1762"/>
      <c r="H62" s="1762"/>
      <c r="I62" s="1762"/>
      <c r="J62" s="1762"/>
      <c r="K62" s="2734"/>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2014-8-1</v>
      </c>
      <c r="D64" s="2112">
        <f>EDATE(C64,-3)</f>
        <v>41760</v>
      </c>
      <c r="E64" s="2112">
        <f t="shared" ref="E64:N64" si="17">EDATE(D64,-3)</f>
        <v>41671</v>
      </c>
      <c r="F64" s="2112">
        <f t="shared" si="17"/>
        <v>41579</v>
      </c>
      <c r="G64" s="2112">
        <f t="shared" si="17"/>
        <v>41487</v>
      </c>
      <c r="H64" s="2112">
        <f t="shared" si="17"/>
        <v>41395</v>
      </c>
      <c r="I64" s="2112">
        <f t="shared" si="17"/>
        <v>41306</v>
      </c>
      <c r="J64" s="2112">
        <f t="shared" si="17"/>
        <v>41214</v>
      </c>
      <c r="K64" s="2112">
        <f t="shared" si="17"/>
        <v>41122</v>
      </c>
      <c r="L64" s="2112">
        <f t="shared" si="17"/>
        <v>41030</v>
      </c>
      <c r="M64" s="2112">
        <f t="shared" si="17"/>
        <v>40940</v>
      </c>
      <c r="N64" s="2112">
        <f t="shared" si="17"/>
        <v>40848</v>
      </c>
      <c r="O64" s="1743"/>
      <c r="P64" s="1743"/>
      <c r="Q64" s="1743"/>
      <c r="R64" s="1743"/>
      <c r="S64" s="1743"/>
      <c r="T64" s="1743"/>
      <c r="U64" s="1743"/>
      <c r="V64" s="1743"/>
      <c r="W64" s="1743"/>
      <c r="X64" s="1743"/>
      <c r="Y64" s="1743"/>
      <c r="Z64" s="1743"/>
      <c r="AA64" s="1743"/>
      <c r="AB64" s="1743"/>
      <c r="AC64" s="1743"/>
    </row>
    <row r="65" spans="1:29" ht="21.75" thickBot="1">
      <c r="A65" s="1318" t="s">
        <v>520</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1814</v>
      </c>
      <c r="B66" s="593"/>
      <c r="C66" s="155" t="str">
        <f>YEAR(C64)&amp;"-"&amp;ROUNDUP(MONTH(C64)/3,0)</f>
        <v>2014-3</v>
      </c>
      <c r="D66" s="155" t="str">
        <f t="shared" ref="D66:N66" si="18">YEAR(D64)&amp;"-"&amp;ROUNDUP(MONTH(D64)/3,0)</f>
        <v>2014-2</v>
      </c>
      <c r="E66" s="155" t="str">
        <f t="shared" si="18"/>
        <v>2014-1</v>
      </c>
      <c r="F66" s="155" t="str">
        <f t="shared" si="18"/>
        <v>2013-4</v>
      </c>
      <c r="G66" s="155" t="str">
        <f t="shared" si="18"/>
        <v>2013-3</v>
      </c>
      <c r="H66" s="155" t="str">
        <f t="shared" si="18"/>
        <v>2013-2</v>
      </c>
      <c r="I66" s="155" t="str">
        <f t="shared" si="18"/>
        <v>2013-1</v>
      </c>
      <c r="J66" s="155" t="str">
        <f t="shared" si="18"/>
        <v>2012-4</v>
      </c>
      <c r="K66" s="155" t="str">
        <f t="shared" si="18"/>
        <v>2012-3</v>
      </c>
      <c r="L66" s="155" t="str">
        <f t="shared" si="18"/>
        <v>2012-2</v>
      </c>
      <c r="M66" s="155" t="str">
        <f t="shared" si="18"/>
        <v>2012-1</v>
      </c>
      <c r="N66" s="155" t="str">
        <f t="shared" si="18"/>
        <v>2011-4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1929</v>
      </c>
      <c r="B67" s="448" t="str">
        <f>"北京市平均增长率"&amp;TEXT(基准地价!P28,"0.00%")</f>
        <v>北京市平均增长率1.20%</v>
      </c>
      <c r="C67" s="818">
        <v>100</v>
      </c>
      <c r="D67" s="79">
        <f>D133</f>
        <v>99.15</v>
      </c>
      <c r="E67" s="79">
        <f>E133</f>
        <v>97.87</v>
      </c>
      <c r="F67" s="79">
        <f t="shared" ref="F67:I67" si="19">F133</f>
        <v>96.6</v>
      </c>
      <c r="G67" s="79">
        <f t="shared" si="19"/>
        <v>95.74</v>
      </c>
      <c r="H67" s="79">
        <f t="shared" si="19"/>
        <v>94.89</v>
      </c>
      <c r="I67" s="79">
        <f t="shared" si="19"/>
        <v>94.47</v>
      </c>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521</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478</v>
      </c>
      <c r="B69" s="594"/>
      <c r="C69" s="604" t="s">
        <v>522</v>
      </c>
      <c r="D69" s="80"/>
      <c r="E69" s="80"/>
      <c r="F69" s="80"/>
      <c r="G69" s="80"/>
      <c r="H69" s="80"/>
      <c r="I69" s="80"/>
      <c r="J69" s="80"/>
      <c r="K69" s="80"/>
      <c r="L69" s="605"/>
      <c r="M69" s="606"/>
      <c r="N69" s="2735"/>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5"/>
      <c r="O70" s="1767"/>
      <c r="P70" s="1764"/>
      <c r="Q70" s="1764"/>
      <c r="R70" s="1641"/>
      <c r="S70" s="1641"/>
      <c r="T70" s="1641"/>
      <c r="U70" s="1641"/>
      <c r="V70" s="1641"/>
      <c r="W70" s="1641"/>
      <c r="X70" s="1641"/>
      <c r="Y70" s="1641"/>
      <c r="Z70" s="1641"/>
      <c r="AA70" s="1641"/>
      <c r="AB70" s="1641"/>
      <c r="AC70" s="1641"/>
    </row>
    <row r="71" spans="1:29">
      <c r="A71" s="607" t="s">
        <v>523</v>
      </c>
      <c r="B71" s="608" t="s">
        <v>481</v>
      </c>
      <c r="C71" s="547"/>
      <c r="D71" s="547"/>
      <c r="E71" s="547"/>
      <c r="F71" s="547"/>
      <c r="G71" s="547"/>
      <c r="H71" s="547"/>
      <c r="I71" s="547"/>
      <c r="J71" s="547"/>
      <c r="K71" s="609"/>
      <c r="L71" s="610"/>
      <c r="M71" s="611"/>
      <c r="N71" s="2736"/>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7"/>
      <c r="O72" s="1769"/>
      <c r="P72" s="1767"/>
      <c r="Q72" s="1764"/>
      <c r="R72" s="1743"/>
      <c r="S72" s="1743"/>
      <c r="T72" s="1743"/>
      <c r="U72" s="1743"/>
      <c r="V72" s="1743"/>
      <c r="W72" s="1743"/>
      <c r="X72" s="1743"/>
      <c r="Y72" s="1743"/>
      <c r="Z72" s="1743"/>
      <c r="AA72" s="1743"/>
      <c r="AB72" s="1743"/>
      <c r="AC72" s="1743"/>
    </row>
    <row r="73" spans="1:29" ht="27.75" thickTop="1">
      <c r="A73" s="482"/>
      <c r="B73" s="615" t="s">
        <v>484</v>
      </c>
      <c r="C73" s="616">
        <v>0</v>
      </c>
      <c r="D73" s="616">
        <v>10</v>
      </c>
      <c r="E73" s="616"/>
      <c r="F73" s="616"/>
      <c r="G73" s="616"/>
      <c r="H73" s="616"/>
      <c r="I73" s="616"/>
      <c r="J73" s="616"/>
      <c r="K73" s="617"/>
      <c r="L73" s="618"/>
      <c r="M73" s="619"/>
      <c r="N73" s="2736"/>
      <c r="O73" s="1768"/>
      <c r="P73" s="1767"/>
      <c r="Q73" s="1764"/>
      <c r="R73" s="1743"/>
      <c r="S73" s="1743"/>
      <c r="T73" s="1743"/>
      <c r="U73" s="1743"/>
      <c r="V73" s="1743"/>
      <c r="W73" s="1743"/>
      <c r="X73" s="1743"/>
      <c r="Y73" s="1743"/>
      <c r="Z73" s="1743"/>
      <c r="AA73" s="1743"/>
      <c r="AB73" s="1743"/>
      <c r="AC73" s="1743"/>
    </row>
    <row r="74" spans="1:29" ht="15.75" thickBot="1">
      <c r="A74" s="482"/>
      <c r="B74" s="620"/>
      <c r="C74" s="621">
        <v>100</v>
      </c>
      <c r="D74" s="621">
        <v>100</v>
      </c>
      <c r="E74" s="621"/>
      <c r="F74" s="621"/>
      <c r="G74" s="621"/>
      <c r="H74" s="621"/>
      <c r="I74" s="621"/>
      <c r="J74" s="621"/>
      <c r="K74" s="621"/>
      <c r="L74" s="621"/>
      <c r="M74" s="622"/>
      <c r="N74" s="2737"/>
      <c r="O74" s="1769"/>
      <c r="P74" s="1767"/>
      <c r="Q74" s="1764"/>
      <c r="R74" s="1743"/>
      <c r="S74" s="1743"/>
      <c r="T74" s="1743"/>
      <c r="U74" s="1743"/>
      <c r="V74" s="1743"/>
      <c r="W74" s="1743"/>
      <c r="X74" s="1743"/>
      <c r="Y74" s="1743"/>
      <c r="Z74" s="1743"/>
      <c r="AA74" s="1743"/>
      <c r="AB74" s="1743"/>
      <c r="AC74" s="1743"/>
    </row>
    <row r="75" spans="1:29" ht="15.75" thickTop="1">
      <c r="A75" s="482"/>
      <c r="B75" s="623" t="s">
        <v>485</v>
      </c>
      <c r="C75" s="624" t="str">
        <f>C76&amp;"（含）"&amp;"-"&amp;D76</f>
        <v>0（含）-1</v>
      </c>
      <c r="D75" s="624" t="str">
        <f t="shared" ref="D75:L75" si="20">D76&amp;"（含）"&amp;"-"&amp;E76</f>
        <v>1（含）-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7"/>
      <c r="O75" s="1769"/>
      <c r="P75" s="1767"/>
      <c r="Q75" s="1764"/>
      <c r="R75" s="1743"/>
      <c r="S75" s="1743"/>
      <c r="T75" s="1743"/>
      <c r="U75" s="1743"/>
      <c r="V75" s="1743"/>
      <c r="W75" s="1743"/>
      <c r="X75" s="1743"/>
      <c r="Y75" s="1743"/>
      <c r="Z75" s="1743"/>
      <c r="AA75" s="1743"/>
      <c r="AB75" s="1743"/>
      <c r="AC75" s="1743"/>
    </row>
    <row r="76" spans="1:29" ht="15">
      <c r="A76" s="482"/>
      <c r="B76" s="625"/>
      <c r="C76" s="491">
        <v>0</v>
      </c>
      <c r="D76" s="491">
        <v>1</v>
      </c>
      <c r="E76" s="491"/>
      <c r="F76" s="491"/>
      <c r="G76" s="491"/>
      <c r="H76" s="491"/>
      <c r="I76" s="491"/>
      <c r="J76" s="491"/>
      <c r="K76" s="626"/>
      <c r="L76" s="627"/>
      <c r="M76" s="628"/>
      <c r="N76" s="2736"/>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7"/>
      <c r="O77" s="1769"/>
      <c r="P77" s="1767"/>
      <c r="Q77" s="1764"/>
      <c r="R77" s="1743"/>
      <c r="S77" s="1743"/>
      <c r="T77" s="1743"/>
      <c r="U77" s="1743"/>
      <c r="V77" s="1743"/>
      <c r="W77" s="1743"/>
      <c r="X77" s="1743"/>
      <c r="Y77" s="1743"/>
      <c r="Z77" s="1743"/>
      <c r="AA77" s="1743"/>
      <c r="AB77" s="1743"/>
      <c r="AC77" s="1743"/>
    </row>
    <row r="78" spans="1:29" s="1134" customFormat="1" ht="27.75" thickTop="1">
      <c r="A78" s="629"/>
      <c r="B78" s="615" t="str">
        <f>B14</f>
        <v>土地取得方式</v>
      </c>
      <c r="C78" s="3411" t="s">
        <v>3329</v>
      </c>
      <c r="D78" s="3411" t="s">
        <v>3328</v>
      </c>
      <c r="E78" s="630"/>
      <c r="F78" s="630"/>
      <c r="G78" s="630"/>
      <c r="H78" s="631"/>
      <c r="I78" s="631"/>
      <c r="J78" s="631"/>
      <c r="K78" s="631"/>
      <c r="L78" s="632"/>
      <c r="M78" s="633"/>
      <c r="N78" s="2738"/>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f>D79+$K$14</f>
        <v>115</v>
      </c>
      <c r="D79" s="613">
        <v>100</v>
      </c>
      <c r="E79" s="613"/>
      <c r="F79" s="613"/>
      <c r="G79" s="613"/>
      <c r="H79" s="613"/>
      <c r="I79" s="613"/>
      <c r="J79" s="613"/>
      <c r="K79" s="613"/>
      <c r="L79" s="613"/>
      <c r="M79" s="614"/>
      <c r="N79" s="2737"/>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8"/>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8"/>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8"/>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8"/>
      <c r="O83" s="1770"/>
      <c r="P83" s="1770"/>
      <c r="Q83" s="1771"/>
      <c r="R83" s="1772"/>
      <c r="S83" s="1772"/>
      <c r="T83" s="1772"/>
      <c r="U83" s="1772"/>
      <c r="V83" s="1772"/>
      <c r="W83" s="1772"/>
      <c r="X83" s="1772"/>
      <c r="Y83" s="1772"/>
      <c r="Z83" s="1772"/>
      <c r="AA83" s="1772"/>
      <c r="AB83" s="1772"/>
      <c r="AC83" s="1772"/>
    </row>
    <row r="84" spans="1:29">
      <c r="A84" s="607" t="s">
        <v>486</v>
      </c>
      <c r="B84" s="608" t="s">
        <v>548</v>
      </c>
      <c r="C84" s="143" t="s">
        <v>525</v>
      </c>
      <c r="D84" s="143" t="s">
        <v>526</v>
      </c>
      <c r="E84" s="143" t="s">
        <v>527</v>
      </c>
      <c r="F84" s="143" t="s">
        <v>528</v>
      </c>
      <c r="G84" s="143" t="s">
        <v>529</v>
      </c>
      <c r="H84" s="645"/>
      <c r="I84" s="645"/>
      <c r="J84" s="645"/>
      <c r="K84" s="646"/>
      <c r="L84" s="647"/>
      <c r="M84" s="648"/>
      <c r="N84" s="2736"/>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9"/>
      <c r="P85" s="1767"/>
      <c r="Q85" s="1764"/>
      <c r="R85" s="1743"/>
      <c r="S85" s="1743"/>
      <c r="T85" s="1743"/>
      <c r="U85" s="1743"/>
      <c r="V85" s="1743"/>
      <c r="W85" s="1743"/>
      <c r="X85" s="1743"/>
      <c r="Y85" s="1743"/>
      <c r="Z85" s="1743"/>
      <c r="AA85" s="1743"/>
      <c r="AB85" s="1743"/>
      <c r="AC85" s="1743"/>
    </row>
    <row r="86" spans="1:29" ht="15.75" thickTop="1">
      <c r="A86" s="482"/>
      <c r="B86" s="615" t="s">
        <v>532</v>
      </c>
      <c r="C86" s="649" t="s">
        <v>525</v>
      </c>
      <c r="D86" s="649" t="s">
        <v>526</v>
      </c>
      <c r="E86" s="649" t="s">
        <v>527</v>
      </c>
      <c r="F86" s="649" t="s">
        <v>528</v>
      </c>
      <c r="G86" s="649" t="s">
        <v>529</v>
      </c>
      <c r="H86" s="616"/>
      <c r="I86" s="616"/>
      <c r="J86" s="616"/>
      <c r="K86" s="617"/>
      <c r="L86" s="618"/>
      <c r="M86" s="619"/>
      <c r="N86" s="2736"/>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99</v>
      </c>
      <c r="E87" s="621">
        <f>D87-$K19</f>
        <v>98</v>
      </c>
      <c r="F87" s="621">
        <f>E87-$K19</f>
        <v>97</v>
      </c>
      <c r="G87" s="621">
        <f>F87-$K19</f>
        <v>96</v>
      </c>
      <c r="H87" s="621"/>
      <c r="I87" s="621"/>
      <c r="J87" s="621"/>
      <c r="K87" s="621"/>
      <c r="L87" s="621"/>
      <c r="M87" s="622"/>
      <c r="N87" s="2737"/>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533</v>
      </c>
      <c r="C88" s="649" t="s">
        <v>525</v>
      </c>
      <c r="D88" s="649" t="s">
        <v>526</v>
      </c>
      <c r="E88" s="649" t="s">
        <v>527</v>
      </c>
      <c r="F88" s="649" t="s">
        <v>528</v>
      </c>
      <c r="G88" s="649" t="s">
        <v>529</v>
      </c>
      <c r="H88" s="649"/>
      <c r="I88" s="649"/>
      <c r="J88" s="649"/>
      <c r="K88" s="649"/>
      <c r="L88" s="650"/>
      <c r="M88" s="651"/>
      <c r="N88" s="2735"/>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534</v>
      </c>
      <c r="C90" s="143" t="s">
        <v>525</v>
      </c>
      <c r="D90" s="143" t="s">
        <v>526</v>
      </c>
      <c r="E90" s="143" t="s">
        <v>527</v>
      </c>
      <c r="F90" s="143" t="s">
        <v>528</v>
      </c>
      <c r="G90" s="143" t="s">
        <v>529</v>
      </c>
      <c r="H90" s="649"/>
      <c r="I90" s="649"/>
      <c r="J90" s="649"/>
      <c r="K90" s="649"/>
      <c r="L90" s="649"/>
      <c r="M90" s="651"/>
      <c r="N90" s="2735"/>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7"/>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1829</v>
      </c>
      <c r="C92" s="143" t="s">
        <v>525</v>
      </c>
      <c r="D92" s="143" t="s">
        <v>526</v>
      </c>
      <c r="E92" s="143" t="s">
        <v>527</v>
      </c>
      <c r="F92" s="143" t="s">
        <v>528</v>
      </c>
      <c r="G92" s="143" t="s">
        <v>529</v>
      </c>
      <c r="H92" s="653"/>
      <c r="I92" s="653"/>
      <c r="J92" s="653"/>
      <c r="K92" s="653"/>
      <c r="L92" s="654"/>
      <c r="M92" s="655"/>
      <c r="N92" s="2738"/>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1831</v>
      </c>
      <c r="C94" s="2058" t="s">
        <v>1832</v>
      </c>
      <c r="D94" s="2058" t="s">
        <v>1833</v>
      </c>
      <c r="E94" s="2058" t="s">
        <v>1834</v>
      </c>
      <c r="F94" s="2058" t="s">
        <v>1835</v>
      </c>
      <c r="G94" s="2058" t="s">
        <v>1836</v>
      </c>
      <c r="H94" s="653"/>
      <c r="I94" s="653"/>
      <c r="J94" s="653"/>
      <c r="K94" s="653"/>
      <c r="L94" s="653"/>
      <c r="M94" s="655"/>
      <c r="N94" s="2738"/>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8"/>
      <c r="O95" s="1770"/>
      <c r="P95" s="1770"/>
      <c r="Q95" s="1771"/>
      <c r="R95" s="1772"/>
      <c r="S95" s="1772"/>
      <c r="T95" s="1772"/>
      <c r="U95" s="1772"/>
      <c r="V95" s="1772"/>
      <c r="W95" s="1772"/>
      <c r="X95" s="1772"/>
      <c r="Y95" s="1772"/>
      <c r="Z95" s="1772"/>
      <c r="AA95" s="1772"/>
      <c r="AB95" s="1772"/>
      <c r="AC95" s="1772"/>
    </row>
    <row r="96" spans="1:29" ht="27.75" thickTop="1">
      <c r="A96" s="482"/>
      <c r="B96" s="615" t="str">
        <f>B29</f>
        <v>临街状况</v>
      </c>
      <c r="C96" s="3407" t="s">
        <v>3324</v>
      </c>
      <c r="D96" s="3407" t="s">
        <v>3325</v>
      </c>
      <c r="E96" s="3407" t="s">
        <v>3326</v>
      </c>
      <c r="F96" s="3407" t="s">
        <v>3327</v>
      </c>
      <c r="G96" s="616"/>
      <c r="H96" s="616"/>
      <c r="I96" s="616"/>
      <c r="J96" s="616"/>
      <c r="K96" s="617"/>
      <c r="L96" s="618"/>
      <c r="M96" s="619"/>
      <c r="N96" s="2736"/>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7"/>
      <c r="O97" s="1769"/>
      <c r="P97" s="1767"/>
      <c r="Q97" s="1764"/>
      <c r="R97" s="1743"/>
      <c r="S97" s="1743"/>
      <c r="T97" s="1743"/>
      <c r="U97" s="1743"/>
      <c r="V97" s="1743"/>
      <c r="W97" s="1743"/>
      <c r="X97" s="1743"/>
      <c r="Y97" s="1743"/>
      <c r="Z97" s="1743"/>
      <c r="AA97" s="1743"/>
      <c r="AB97" s="1743"/>
      <c r="AC97" s="1743"/>
    </row>
    <row r="98" spans="1:29" ht="27.75" thickTop="1">
      <c r="A98" s="482"/>
      <c r="B98" s="615" t="s">
        <v>495</v>
      </c>
      <c r="C98" s="630"/>
      <c r="D98" s="630"/>
      <c r="E98" s="630"/>
      <c r="F98" s="630"/>
      <c r="G98" s="630"/>
      <c r="H98" s="658"/>
      <c r="I98" s="658"/>
      <c r="J98" s="658"/>
      <c r="K98" s="659"/>
      <c r="L98" s="660"/>
      <c r="M98" s="661"/>
      <c r="N98" s="2736"/>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7"/>
      <c r="O99" s="1769"/>
      <c r="P99" s="1767"/>
      <c r="Q99" s="1764"/>
      <c r="R99" s="1743"/>
      <c r="S99" s="1743"/>
      <c r="T99" s="1743"/>
      <c r="U99" s="1743"/>
      <c r="V99" s="1743"/>
      <c r="W99" s="1743"/>
      <c r="X99" s="1743"/>
      <c r="Y99" s="1743"/>
      <c r="Z99" s="1743"/>
      <c r="AA99" s="1743"/>
      <c r="AB99" s="1743"/>
      <c r="AC99" s="1743"/>
    </row>
    <row r="100" spans="1:29" ht="15.75" thickTop="1">
      <c r="A100" s="482"/>
      <c r="B100" s="615" t="s">
        <v>496</v>
      </c>
      <c r="C100" s="658"/>
      <c r="D100" s="658"/>
      <c r="E100" s="658"/>
      <c r="F100" s="658"/>
      <c r="G100" s="658"/>
      <c r="H100" s="658"/>
      <c r="I100" s="658"/>
      <c r="J100" s="658"/>
      <c r="K100" s="659"/>
      <c r="L100" s="660"/>
      <c r="M100" s="661"/>
      <c r="N100" s="2736"/>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7"/>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6"/>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7"/>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6"/>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7"/>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8"/>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7"/>
      <c r="O107" s="1769"/>
      <c r="P107" s="1770"/>
      <c r="Q107" s="1771"/>
      <c r="R107" s="1772"/>
      <c r="S107" s="1772"/>
      <c r="T107" s="1772"/>
      <c r="U107" s="1772"/>
      <c r="V107" s="1772"/>
      <c r="W107" s="1772"/>
      <c r="X107" s="1772"/>
      <c r="Y107" s="1772"/>
      <c r="Z107" s="1772"/>
      <c r="AA107" s="1772"/>
      <c r="AB107" s="1772"/>
      <c r="AC107" s="1772"/>
    </row>
    <row r="108" spans="1:29">
      <c r="A108" s="607" t="s">
        <v>498</v>
      </c>
      <c r="B108" s="608" t="s">
        <v>539</v>
      </c>
      <c r="C108" s="645" t="str">
        <f t="shared" ref="C108:L108" si="25">C109&amp;"(含)"&amp;"-"&amp;D109</f>
        <v>0(含)-30</v>
      </c>
      <c r="D108" s="645" t="str">
        <f t="shared" si="25"/>
        <v>30(含)-60</v>
      </c>
      <c r="E108" s="645" t="str">
        <f t="shared" si="25"/>
        <v>60(含)-90</v>
      </c>
      <c r="F108" s="645" t="str">
        <f t="shared" si="25"/>
        <v>90(含)-120</v>
      </c>
      <c r="G108" s="645" t="str">
        <f t="shared" si="25"/>
        <v>120(含)-150</v>
      </c>
      <c r="H108" s="645" t="str">
        <f t="shared" si="25"/>
        <v>150(含)-180</v>
      </c>
      <c r="I108" s="645" t="str">
        <f t="shared" si="25"/>
        <v>180(含)-210</v>
      </c>
      <c r="J108" s="645" t="str">
        <f t="shared" si="25"/>
        <v>210(含)-</v>
      </c>
      <c r="K108" s="2349" t="str">
        <f t="shared" si="25"/>
        <v>(含)-</v>
      </c>
      <c r="L108" s="2350" t="str">
        <f t="shared" si="25"/>
        <v>(含)-</v>
      </c>
      <c r="M108" s="145" t="str">
        <f>M109&amp;"(含)"&amp;"-"&amp;P109</f>
        <v>(含)-</v>
      </c>
      <c r="N108" s="2736"/>
      <c r="O108" s="1768"/>
      <c r="P108" s="1767"/>
      <c r="Q108" s="1764"/>
      <c r="R108" s="1743"/>
      <c r="S108" s="1743"/>
      <c r="T108" s="1743"/>
      <c r="U108" s="1743"/>
      <c r="V108" s="1743"/>
      <c r="W108" s="1743"/>
      <c r="X108" s="1743"/>
      <c r="Y108" s="1743"/>
      <c r="Z108" s="1743"/>
      <c r="AA108" s="1743"/>
      <c r="AB108" s="1743"/>
      <c r="AC108" s="1743"/>
    </row>
    <row r="109" spans="1:29" ht="15">
      <c r="A109" s="482"/>
      <c r="B109" s="623"/>
      <c r="C109" s="79">
        <v>0</v>
      </c>
      <c r="D109" s="79">
        <v>30</v>
      </c>
      <c r="E109" s="79">
        <v>60</v>
      </c>
      <c r="F109" s="79">
        <v>90</v>
      </c>
      <c r="G109" s="79">
        <v>120</v>
      </c>
      <c r="H109" s="79">
        <v>150</v>
      </c>
      <c r="I109" s="79">
        <v>180</v>
      </c>
      <c r="J109" s="669">
        <v>210</v>
      </c>
      <c r="K109" s="669"/>
      <c r="L109" s="670"/>
      <c r="M109" s="671"/>
      <c r="N109" s="2736"/>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66">
        <f t="shared" ref="C110:H110" si="26">D110-$K$36</f>
        <v>96.5</v>
      </c>
      <c r="D110" s="666">
        <f t="shared" si="26"/>
        <v>97</v>
      </c>
      <c r="E110" s="666">
        <f t="shared" si="26"/>
        <v>97.5</v>
      </c>
      <c r="F110" s="666">
        <f t="shared" si="26"/>
        <v>98</v>
      </c>
      <c r="G110" s="666">
        <f t="shared" si="26"/>
        <v>98.5</v>
      </c>
      <c r="H110" s="666">
        <f t="shared" si="26"/>
        <v>99</v>
      </c>
      <c r="I110" s="666">
        <f>J110-$K$36</f>
        <v>99.5</v>
      </c>
      <c r="J110" s="666">
        <v>100</v>
      </c>
      <c r="K110" s="666"/>
      <c r="L110" s="666"/>
      <c r="M110" s="667"/>
      <c r="N110" s="2737"/>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540</v>
      </c>
      <c r="C111" s="3405" t="s">
        <v>3317</v>
      </c>
      <c r="D111" s="3405" t="s">
        <v>3319</v>
      </c>
      <c r="E111" s="3405" t="s">
        <v>3320</v>
      </c>
      <c r="F111" s="658"/>
      <c r="G111" s="658"/>
      <c r="H111" s="658"/>
      <c r="I111" s="658"/>
      <c r="J111" s="658"/>
      <c r="K111" s="659"/>
      <c r="L111" s="660"/>
      <c r="M111" s="661"/>
      <c r="N111" s="2736"/>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7">C112-$K37</f>
        <v>100</v>
      </c>
      <c r="E112" s="621">
        <f t="shared" si="27"/>
        <v>100</v>
      </c>
      <c r="F112" s="621">
        <f t="shared" si="27"/>
        <v>100</v>
      </c>
      <c r="G112" s="621">
        <f t="shared" si="27"/>
        <v>100</v>
      </c>
      <c r="H112" s="621">
        <f t="shared" si="27"/>
        <v>100</v>
      </c>
      <c r="I112" s="621">
        <f t="shared" si="27"/>
        <v>100</v>
      </c>
      <c r="J112" s="621">
        <f t="shared" si="27"/>
        <v>100</v>
      </c>
      <c r="K112" s="621">
        <f t="shared" si="27"/>
        <v>100</v>
      </c>
      <c r="L112" s="621">
        <f t="shared" si="27"/>
        <v>100</v>
      </c>
      <c r="M112" s="622">
        <f t="shared" si="27"/>
        <v>100</v>
      </c>
      <c r="N112" s="2737"/>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1775</v>
      </c>
      <c r="C113" s="1167"/>
      <c r="D113" s="1167"/>
      <c r="E113" s="1167"/>
      <c r="F113" s="1167"/>
      <c r="G113" s="1167"/>
      <c r="H113" s="658"/>
      <c r="I113" s="658"/>
      <c r="J113" s="658"/>
      <c r="K113" s="659"/>
      <c r="L113" s="660"/>
      <c r="M113" s="661"/>
      <c r="N113" s="2738"/>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8">C114-$K38</f>
        <v>100</v>
      </c>
      <c r="E114" s="621">
        <f t="shared" si="28"/>
        <v>100</v>
      </c>
      <c r="F114" s="621">
        <f t="shared" si="28"/>
        <v>100</v>
      </c>
      <c r="G114" s="621">
        <f t="shared" si="28"/>
        <v>100</v>
      </c>
      <c r="H114" s="621">
        <f t="shared" si="28"/>
        <v>100</v>
      </c>
      <c r="I114" s="621">
        <f t="shared" si="28"/>
        <v>100</v>
      </c>
      <c r="J114" s="621">
        <f t="shared" si="28"/>
        <v>100</v>
      </c>
      <c r="K114" s="621">
        <f t="shared" si="28"/>
        <v>100</v>
      </c>
      <c r="L114" s="621">
        <f t="shared" si="28"/>
        <v>100</v>
      </c>
      <c r="M114" s="622">
        <f t="shared" si="28"/>
        <v>100</v>
      </c>
      <c r="N114" s="2738"/>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542</v>
      </c>
      <c r="C115" s="649" t="s">
        <v>525</v>
      </c>
      <c r="D115" s="649" t="s">
        <v>526</v>
      </c>
      <c r="E115" s="649" t="s">
        <v>527</v>
      </c>
      <c r="F115" s="649" t="s">
        <v>528</v>
      </c>
      <c r="G115" s="649" t="s">
        <v>529</v>
      </c>
      <c r="H115" s="658"/>
      <c r="I115" s="658"/>
      <c r="J115" s="658"/>
      <c r="K115" s="659"/>
      <c r="L115" s="660"/>
      <c r="M115" s="661"/>
      <c r="N115" s="2736"/>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9">C116-$K39</f>
        <v>100</v>
      </c>
      <c r="E116" s="621">
        <f t="shared" si="29"/>
        <v>100</v>
      </c>
      <c r="F116" s="621">
        <f t="shared" si="29"/>
        <v>100</v>
      </c>
      <c r="G116" s="621">
        <f t="shared" si="29"/>
        <v>100</v>
      </c>
      <c r="H116" s="621">
        <f t="shared" si="29"/>
        <v>100</v>
      </c>
      <c r="I116" s="621">
        <f t="shared" si="29"/>
        <v>100</v>
      </c>
      <c r="J116" s="621">
        <f t="shared" si="29"/>
        <v>100</v>
      </c>
      <c r="K116" s="621">
        <f t="shared" si="29"/>
        <v>100</v>
      </c>
      <c r="L116" s="621">
        <f t="shared" si="29"/>
        <v>100</v>
      </c>
      <c r="M116" s="622">
        <f t="shared" si="29"/>
        <v>100</v>
      </c>
      <c r="N116" s="2737"/>
      <c r="O116" s="1769"/>
      <c r="P116" s="1767"/>
      <c r="Q116" s="1764"/>
      <c r="R116" s="1743"/>
      <c r="S116" s="1743"/>
      <c r="T116" s="1743"/>
      <c r="U116" s="1743"/>
      <c r="V116" s="1743"/>
      <c r="W116" s="1743"/>
      <c r="X116" s="1743"/>
      <c r="Y116" s="1743"/>
      <c r="Z116" s="1743"/>
      <c r="AA116" s="1743"/>
      <c r="AB116" s="1743"/>
      <c r="AC116" s="1743"/>
    </row>
    <row r="117" spans="1:29" ht="27.75" thickTop="1">
      <c r="A117" s="543"/>
      <c r="B117" s="615" t="str">
        <f>B40</f>
        <v>地势</v>
      </c>
      <c r="C117" s="3411" t="s">
        <v>3321</v>
      </c>
      <c r="D117" s="3411" t="s">
        <v>3322</v>
      </c>
      <c r="E117" s="630"/>
      <c r="F117" s="630"/>
      <c r="G117" s="630"/>
      <c r="H117" s="658"/>
      <c r="I117" s="658"/>
      <c r="J117" s="658"/>
      <c r="K117" s="659"/>
      <c r="L117" s="660"/>
      <c r="M117" s="661"/>
      <c r="N117" s="2736"/>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v>100</v>
      </c>
      <c r="D118" s="613">
        <f>C118-$K$40</f>
        <v>99.5</v>
      </c>
      <c r="E118" s="613"/>
      <c r="F118" s="613"/>
      <c r="G118" s="613"/>
      <c r="H118" s="613"/>
      <c r="I118" s="613"/>
      <c r="J118" s="613"/>
      <c r="K118" s="613"/>
      <c r="L118" s="613"/>
      <c r="M118" s="614"/>
      <c r="N118" s="2737"/>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6"/>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7"/>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8"/>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8"/>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t="s">
        <v>885</v>
      </c>
      <c r="D131" s="1780" t="s">
        <v>884</v>
      </c>
      <c r="E131" s="1780" t="s">
        <v>883</v>
      </c>
      <c r="F131" s="1780" t="s">
        <v>3341</v>
      </c>
      <c r="G131" s="1780" t="s">
        <v>3342</v>
      </c>
      <c r="H131" s="1780" t="s">
        <v>3343</v>
      </c>
      <c r="I131" s="1780" t="s">
        <v>3344</v>
      </c>
      <c r="J131" s="1780" t="s">
        <v>3345</v>
      </c>
      <c r="K131" s="1781" t="s">
        <v>3346</v>
      </c>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3518" t="s">
        <v>3340</v>
      </c>
      <c r="C132" s="1780">
        <f>ROUND('地价 (2)'!F36,0)</f>
        <v>235</v>
      </c>
      <c r="D132" s="1780">
        <f>ROUND('地价 (2)'!F37,0)</f>
        <v>233</v>
      </c>
      <c r="E132" s="1780">
        <f>ROUND('地价 (2)'!F38,0)</f>
        <v>230</v>
      </c>
      <c r="F132" s="1780">
        <f>ROUND('地价 (2)'!F39,0)</f>
        <v>227</v>
      </c>
      <c r="G132" s="1780">
        <f>ROUND('地价 (2)'!F40,0)</f>
        <v>225</v>
      </c>
      <c r="H132" s="1780">
        <f>ROUND('地价 (2)'!F41,0)</f>
        <v>223</v>
      </c>
      <c r="I132" s="1780">
        <f>ROUND('地价 (2)'!F42,0)</f>
        <v>222</v>
      </c>
      <c r="J132" s="1780"/>
      <c r="K132" s="1780"/>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f>100</f>
        <v>100</v>
      </c>
      <c r="D133" s="1780">
        <f>ROUND(D132*100/$C$132,2)</f>
        <v>99.15</v>
      </c>
      <c r="E133" s="1780">
        <f t="shared" ref="E133:I133" si="30">ROUND(E132*100/$C$132,2)</f>
        <v>97.87</v>
      </c>
      <c r="F133" s="1780">
        <f t="shared" si="30"/>
        <v>96.6</v>
      </c>
      <c r="G133" s="1780">
        <f t="shared" si="30"/>
        <v>95.74</v>
      </c>
      <c r="H133" s="1780">
        <f t="shared" si="30"/>
        <v>94.89</v>
      </c>
      <c r="I133" s="1780">
        <f t="shared" si="30"/>
        <v>94.47</v>
      </c>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G39 E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2D44-FD33-455A-8310-5DB8ABB5763F}">
  <dimension ref="A1:G15"/>
  <sheetViews>
    <sheetView workbookViewId="0">
      <selection activeCell="E12" sqref="E12:E14"/>
    </sheetView>
  </sheetViews>
  <sheetFormatPr defaultRowHeight="13.5"/>
  <cols>
    <col min="2" max="2" width="18.125" customWidth="1"/>
    <col min="3" max="3" width="53.125" customWidth="1"/>
  </cols>
  <sheetData>
    <row r="1" spans="1:7" s="3523" customFormat="1">
      <c r="A1" s="3523" t="s">
        <v>3361</v>
      </c>
      <c r="B1" s="3523" t="s">
        <v>3362</v>
      </c>
      <c r="C1" s="3524" t="s">
        <v>3363</v>
      </c>
      <c r="D1" s="3523" t="s">
        <v>3364</v>
      </c>
      <c r="E1" s="3525" t="s">
        <v>3365</v>
      </c>
      <c r="F1" s="3523" t="s">
        <v>3366</v>
      </c>
    </row>
    <row r="2" spans="1:7" s="3523" customFormat="1">
      <c r="A2" s="3523">
        <v>1</v>
      </c>
      <c r="B2" s="3526">
        <v>41361</v>
      </c>
      <c r="C2" s="3524" t="s">
        <v>3367</v>
      </c>
      <c r="D2" s="3527">
        <v>16.14</v>
      </c>
      <c r="E2" s="3528">
        <v>6</v>
      </c>
      <c r="F2" s="3523" t="s">
        <v>3368</v>
      </c>
      <c r="G2" s="3523" t="s">
        <v>3369</v>
      </c>
    </row>
    <row r="3" spans="1:7" s="3523" customFormat="1" ht="27">
      <c r="A3" s="3523">
        <v>2</v>
      </c>
      <c r="B3" s="3526">
        <v>45206</v>
      </c>
      <c r="C3" s="3524" t="s">
        <v>3370</v>
      </c>
      <c r="D3" s="3523">
        <v>6.9359999999999999</v>
      </c>
      <c r="E3" s="3523">
        <v>11.68</v>
      </c>
      <c r="F3" s="3523" t="s">
        <v>3371</v>
      </c>
    </row>
    <row r="4" spans="1:7" s="3523" customFormat="1" ht="27">
      <c r="A4" s="3523">
        <v>3</v>
      </c>
      <c r="B4" s="3526">
        <v>45226</v>
      </c>
      <c r="C4" s="3524" t="s">
        <v>3370</v>
      </c>
      <c r="D4" s="3523">
        <f>424251*3/2000</f>
        <v>636.37649999999996</v>
      </c>
      <c r="E4" s="3523">
        <f>7432.87752/D4</f>
        <v>11.680000000000001</v>
      </c>
      <c r="F4" s="3523" t="s">
        <v>3372</v>
      </c>
    </row>
    <row r="5" spans="1:7" s="3523" customFormat="1">
      <c r="A5" s="3523">
        <v>4</v>
      </c>
      <c r="B5" s="3526">
        <v>45275</v>
      </c>
      <c r="C5" s="3524" t="s">
        <v>3373</v>
      </c>
      <c r="D5" s="3523">
        <v>295.57</v>
      </c>
      <c r="E5" s="3523">
        <v>11.68</v>
      </c>
      <c r="F5" s="3523" t="s">
        <v>3374</v>
      </c>
    </row>
    <row r="6" spans="1:7" s="3523" customFormat="1">
      <c r="A6" s="3523">
        <v>5</v>
      </c>
      <c r="B6" s="3526">
        <v>44819</v>
      </c>
      <c r="C6" s="3524" t="s">
        <v>3375</v>
      </c>
      <c r="D6" s="3523">
        <v>409.25</v>
      </c>
      <c r="E6" s="3523">
        <v>11.68</v>
      </c>
      <c r="F6" s="3523" t="s">
        <v>3376</v>
      </c>
    </row>
    <row r="7" spans="1:7" s="3523" customFormat="1">
      <c r="A7" s="3523">
        <v>6</v>
      </c>
      <c r="B7" s="3526">
        <v>44306</v>
      </c>
      <c r="C7" s="3524" t="s">
        <v>3377</v>
      </c>
      <c r="D7" s="3523">
        <v>12.396000000000001</v>
      </c>
      <c r="E7" s="3523">
        <v>7</v>
      </c>
      <c r="F7" s="3523" t="s">
        <v>3378</v>
      </c>
    </row>
    <row r="8" spans="1:7" s="3523" customFormat="1">
      <c r="A8" s="3523">
        <v>7</v>
      </c>
      <c r="B8" s="3526">
        <v>44099</v>
      </c>
      <c r="C8" s="3524" t="s">
        <v>3379</v>
      </c>
      <c r="D8" s="3523">
        <v>8.016</v>
      </c>
      <c r="E8" s="3523">
        <v>7</v>
      </c>
      <c r="F8" s="3523" t="s">
        <v>3378</v>
      </c>
    </row>
    <row r="9" spans="1:7" s="3523" customFormat="1">
      <c r="A9" s="3523">
        <v>8</v>
      </c>
      <c r="B9" s="3526">
        <v>42830</v>
      </c>
      <c r="C9" s="3524" t="s">
        <v>3380</v>
      </c>
      <c r="D9" s="3523">
        <v>9.9600000000000009</v>
      </c>
      <c r="E9" s="3523">
        <v>27</v>
      </c>
      <c r="F9" s="3523" t="s">
        <v>3368</v>
      </c>
    </row>
    <row r="10" spans="1:7" s="3523" customFormat="1">
      <c r="A10" s="3523">
        <v>9</v>
      </c>
      <c r="B10" s="3526">
        <v>43255</v>
      </c>
      <c r="C10" s="3524" t="s">
        <v>3381</v>
      </c>
      <c r="D10" s="3523">
        <v>441.92</v>
      </c>
      <c r="E10" s="3523">
        <v>7</v>
      </c>
      <c r="F10" s="3523" t="s">
        <v>3378</v>
      </c>
    </row>
    <row r="11" spans="1:7" s="3523" customFormat="1">
      <c r="A11" s="3523">
        <v>10</v>
      </c>
      <c r="B11" s="3526">
        <v>43255</v>
      </c>
      <c r="C11" s="3524" t="s">
        <v>3382</v>
      </c>
      <c r="D11" s="3523">
        <v>469.87</v>
      </c>
      <c r="E11" s="3525">
        <v>7</v>
      </c>
      <c r="F11" s="3523" t="s">
        <v>3378</v>
      </c>
    </row>
    <row r="12" spans="1:7" s="3529" customFormat="1">
      <c r="A12" s="3529">
        <v>11</v>
      </c>
      <c r="B12" s="3530">
        <v>41344</v>
      </c>
      <c r="C12" s="3531" t="s">
        <v>3383</v>
      </c>
      <c r="D12" s="3532">
        <v>57.11</v>
      </c>
      <c r="E12" s="3533">
        <v>10</v>
      </c>
      <c r="F12" s="3529" t="s">
        <v>3368</v>
      </c>
      <c r="G12" s="3762" t="s">
        <v>3384</v>
      </c>
    </row>
    <row r="13" spans="1:7" s="3529" customFormat="1">
      <c r="A13" s="3529">
        <v>12</v>
      </c>
      <c r="B13" s="3530">
        <v>41344</v>
      </c>
      <c r="C13" s="3531" t="s">
        <v>3385</v>
      </c>
      <c r="D13" s="3532">
        <v>48.02</v>
      </c>
      <c r="E13" s="3534">
        <v>10</v>
      </c>
      <c r="F13" s="3529" t="s">
        <v>3368</v>
      </c>
      <c r="G13" s="3762"/>
    </row>
    <row r="14" spans="1:7" s="3529" customFormat="1">
      <c r="A14" s="3529">
        <v>13</v>
      </c>
      <c r="B14" s="3530">
        <v>41339</v>
      </c>
      <c r="C14" s="3531" t="s">
        <v>3383</v>
      </c>
      <c r="D14" s="3532">
        <v>12.2</v>
      </c>
      <c r="E14" s="3535">
        <v>9</v>
      </c>
      <c r="F14" s="3529" t="s">
        <v>3368</v>
      </c>
      <c r="G14" s="3762"/>
    </row>
    <row r="15" spans="1:7" s="3523" customFormat="1">
      <c r="A15" s="3523">
        <v>14</v>
      </c>
      <c r="B15" s="3526">
        <v>41296</v>
      </c>
      <c r="C15" s="3524" t="s">
        <v>3386</v>
      </c>
      <c r="D15" s="3523">
        <v>8.01</v>
      </c>
      <c r="E15" s="3523">
        <v>8.99</v>
      </c>
      <c r="F15" s="3523" t="s">
        <v>3368</v>
      </c>
    </row>
  </sheetData>
  <mergeCells count="1">
    <mergeCell ref="G12:G14"/>
  </mergeCells>
  <phoneticPr fontId="22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3ED8-EA08-42D6-AB45-5C074630731D}">
  <dimension ref="A1:AF121"/>
  <sheetViews>
    <sheetView zoomScale="80" zoomScaleNormal="80" workbookViewId="0">
      <selection activeCell="D35" sqref="D35"/>
    </sheetView>
  </sheetViews>
  <sheetFormatPr defaultColWidth="8.875" defaultRowHeight="12.75"/>
  <cols>
    <col min="1" max="6" width="8.875" style="3116"/>
    <col min="7" max="7" width="8.875" style="3450"/>
    <col min="8" max="8" width="8.875" style="3116"/>
    <col min="9" max="12" width="9" style="3116" customWidth="1"/>
    <col min="13" max="13" width="2.25" style="3116" customWidth="1"/>
    <col min="14" max="14" width="9" style="3450" customWidth="1"/>
    <col min="15" max="17" width="9" style="3116" customWidth="1"/>
    <col min="18" max="18" width="2.375" style="3116" customWidth="1"/>
    <col min="19" max="19" width="7.125" style="3450" customWidth="1"/>
    <col min="20" max="22" width="7.125" style="3116" customWidth="1"/>
    <col min="23" max="23" width="2.5" style="3116" customWidth="1"/>
    <col min="24" max="16384" width="8.875" style="3116"/>
  </cols>
  <sheetData>
    <row r="1" spans="1:32" s="2441" customFormat="1">
      <c r="A1" s="3412" t="s">
        <v>3331</v>
      </c>
      <c r="C1" s="3413"/>
      <c r="D1" s="3413"/>
      <c r="F1" s="3413"/>
    </row>
    <row r="2" spans="1:32" s="2441" customFormat="1" ht="13.5" thickBot="1">
      <c r="B2" s="3413" t="s">
        <v>1856</v>
      </c>
      <c r="C2" s="3413"/>
      <c r="D2" s="3413"/>
      <c r="F2" s="3413"/>
      <c r="G2" s="3766" t="s">
        <v>1857</v>
      </c>
      <c r="H2" s="3766"/>
      <c r="I2" s="3766"/>
      <c r="J2" s="3766"/>
      <c r="K2" s="3766"/>
      <c r="L2" s="3766"/>
      <c r="N2" s="3767" t="s">
        <v>1858</v>
      </c>
      <c r="O2" s="3767"/>
      <c r="P2" s="3767"/>
      <c r="Q2" s="3767"/>
      <c r="S2" s="3767" t="s">
        <v>1859</v>
      </c>
      <c r="T2" s="3767"/>
      <c r="U2" s="3767"/>
      <c r="V2" s="3767"/>
    </row>
    <row r="3" spans="1:32" s="2441" customFormat="1" ht="14.25">
      <c r="B3" s="3414" t="s">
        <v>1860</v>
      </c>
      <c r="C3" s="3414" t="s">
        <v>1921</v>
      </c>
      <c r="D3" s="3415" t="s">
        <v>3332</v>
      </c>
      <c r="E3" s="3415" t="s">
        <v>3333</v>
      </c>
      <c r="F3" s="3414" t="s">
        <v>1922</v>
      </c>
      <c r="G3" s="3401" t="s">
        <v>3334</v>
      </c>
      <c r="H3" s="3401" t="s">
        <v>3335</v>
      </c>
      <c r="I3" s="3416" t="s">
        <v>1860</v>
      </c>
      <c r="J3" s="3416" t="s">
        <v>3336</v>
      </c>
      <c r="K3" s="3415" t="s">
        <v>3333</v>
      </c>
      <c r="L3" s="3416" t="s">
        <v>1922</v>
      </c>
      <c r="N3" s="3416" t="s">
        <v>1860</v>
      </c>
      <c r="O3" s="3416" t="s">
        <v>3336</v>
      </c>
      <c r="P3" s="3415" t="s">
        <v>3333</v>
      </c>
      <c r="Q3" s="3416" t="s">
        <v>1922</v>
      </c>
      <c r="S3" s="3416" t="s">
        <v>1860</v>
      </c>
      <c r="T3" s="3416" t="s">
        <v>3336</v>
      </c>
      <c r="U3" s="3415" t="s">
        <v>3333</v>
      </c>
      <c r="V3" s="3416" t="s">
        <v>1922</v>
      </c>
    </row>
    <row r="4" spans="1:32" s="3417" customFormat="1" ht="14.25">
      <c r="A4" s="2428" t="s">
        <v>2225</v>
      </c>
      <c r="B4" s="2429"/>
      <c r="C4" s="2429"/>
      <c r="D4" s="2430"/>
      <c r="E4" s="2430"/>
      <c r="F4" s="2429"/>
      <c r="G4" s="2434"/>
      <c r="H4" s="2434"/>
      <c r="I4" s="2433">
        <f>ROUND(AVERAGE($I5:$I38),2)</f>
        <v>1.64</v>
      </c>
      <c r="J4" s="2433">
        <f>ROUND(AVERAGE($J5:$J38),2)</f>
        <v>1.03</v>
      </c>
      <c r="K4" s="2433">
        <f>ROUND(AVERAGE($K5:$K38),2)</f>
        <v>1.81</v>
      </c>
      <c r="L4" s="2433">
        <f>ROUND(AVERAGE($L5:$L38),2)</f>
        <v>1.2</v>
      </c>
      <c r="N4" s="3418"/>
      <c r="O4" s="3418"/>
      <c r="P4" s="2430"/>
      <c r="Q4" s="3418"/>
      <c r="S4" s="3418"/>
      <c r="T4" s="3418"/>
      <c r="U4" s="2430"/>
      <c r="V4" s="3418"/>
      <c r="X4" s="2434"/>
    </row>
    <row r="5" spans="1:32" s="2441" customFormat="1" ht="14.25">
      <c r="B5" s="2437"/>
      <c r="C5" s="2437"/>
      <c r="D5" s="2438"/>
      <c r="E5" s="2438"/>
      <c r="F5" s="2437"/>
      <c r="G5" s="3401"/>
      <c r="H5" s="3401"/>
      <c r="I5" s="3419"/>
      <c r="J5" s="3419"/>
      <c r="K5" s="3420"/>
      <c r="L5" s="3419"/>
      <c r="N5" s="3421"/>
      <c r="O5" s="3421"/>
      <c r="P5" s="2438"/>
      <c r="Q5" s="3421"/>
      <c r="S5" s="3421"/>
      <c r="T5" s="3421"/>
      <c r="U5" s="2438"/>
      <c r="V5" s="3421"/>
    </row>
    <row r="6" spans="1:32" s="3428" customFormat="1" ht="13.5" thickBot="1">
      <c r="A6" s="3422" t="s">
        <v>3337</v>
      </c>
      <c r="B6" s="3423">
        <f t="shared" ref="B6:C21" si="0">B7*(1+N6)</f>
        <v>510.07089659554606</v>
      </c>
      <c r="C6" s="3423">
        <f t="shared" si="0"/>
        <v>352.55593185737411</v>
      </c>
      <c r="D6" s="3423">
        <f t="shared" ref="D6:D69" si="1">C6</f>
        <v>352.55593185737411</v>
      </c>
      <c r="E6" s="3423">
        <f t="shared" ref="E6:F21" si="2">E7*(1+P6)</f>
        <v>737.27992463403655</v>
      </c>
      <c r="F6" s="3423">
        <f t="shared" si="2"/>
        <v>335.88319198297864</v>
      </c>
      <c r="G6" s="3424">
        <v>2022</v>
      </c>
      <c r="H6" s="3425">
        <v>1</v>
      </c>
      <c r="I6" s="3426">
        <v>0</v>
      </c>
      <c r="J6" s="3426">
        <v>0</v>
      </c>
      <c r="K6" s="3426">
        <v>0</v>
      </c>
      <c r="L6" s="3427">
        <v>0</v>
      </c>
      <c r="N6" s="3429">
        <f t="shared" ref="N6:Q21" si="3">I6/100</f>
        <v>0</v>
      </c>
      <c r="O6" s="3430">
        <f t="shared" si="3"/>
        <v>0</v>
      </c>
      <c r="P6" s="3430">
        <f t="shared" si="3"/>
        <v>0</v>
      </c>
      <c r="Q6" s="3430">
        <f t="shared" si="3"/>
        <v>0</v>
      </c>
      <c r="S6" s="3431">
        <f>B6/B7-1</f>
        <v>0</v>
      </c>
      <c r="T6" s="3432">
        <f>C6/C7-1</f>
        <v>0</v>
      </c>
      <c r="U6" s="3432">
        <f>E6/E7-1</f>
        <v>0</v>
      </c>
      <c r="V6" s="3432">
        <f>F6/F7-1</f>
        <v>0</v>
      </c>
      <c r="X6" s="3433" t="s">
        <v>3338</v>
      </c>
      <c r="Y6" s="3434"/>
      <c r="Z6" s="3434"/>
      <c r="AA6" s="3434"/>
    </row>
    <row r="7" spans="1:32">
      <c r="A7" s="3390" t="s">
        <v>2288</v>
      </c>
      <c r="B7" s="2455">
        <f t="shared" si="0"/>
        <v>510.07089659554606</v>
      </c>
      <c r="C7" s="2455">
        <f t="shared" si="0"/>
        <v>352.55593185737411</v>
      </c>
      <c r="D7" s="2455">
        <f t="shared" si="1"/>
        <v>352.55593185737411</v>
      </c>
      <c r="E7" s="2455">
        <f t="shared" si="2"/>
        <v>737.27992463403655</v>
      </c>
      <c r="F7" s="2456">
        <f t="shared" si="2"/>
        <v>335.88319198297864</v>
      </c>
      <c r="G7" s="3435">
        <v>2021</v>
      </c>
      <c r="H7" s="2421">
        <v>4</v>
      </c>
      <c r="I7" s="2421">
        <v>1.03</v>
      </c>
      <c r="J7" s="2421">
        <v>0.24</v>
      </c>
      <c r="K7" s="2421">
        <v>1.17</v>
      </c>
      <c r="L7" s="2422">
        <v>0.55000000000000004</v>
      </c>
      <c r="N7" s="3106">
        <f t="shared" si="3"/>
        <v>1.03E-2</v>
      </c>
      <c r="O7" s="3107">
        <f t="shared" si="3"/>
        <v>2.3999999999999998E-3</v>
      </c>
      <c r="P7" s="3107">
        <f t="shared" si="3"/>
        <v>1.1699999999999999E-2</v>
      </c>
      <c r="Q7" s="3107">
        <f t="shared" si="3"/>
        <v>5.5000000000000005E-3</v>
      </c>
      <c r="R7" s="3436"/>
      <c r="S7" s="3437"/>
      <c r="T7" s="3438"/>
      <c r="U7" s="3438"/>
      <c r="V7" s="3438"/>
      <c r="AC7" s="3439"/>
      <c r="AD7" s="3439"/>
      <c r="AE7" s="3439"/>
      <c r="AF7" s="3439"/>
    </row>
    <row r="8" spans="1:32">
      <c r="A8" s="3390" t="s">
        <v>2287</v>
      </c>
      <c r="B8" s="3440">
        <f t="shared" si="0"/>
        <v>504.87072809615569</v>
      </c>
      <c r="C8" s="3440">
        <f t="shared" si="0"/>
        <v>351.71182348101968</v>
      </c>
      <c r="D8" s="3440">
        <f t="shared" si="1"/>
        <v>351.71182348101968</v>
      </c>
      <c r="E8" s="3440">
        <f t="shared" si="2"/>
        <v>728.75350858360832</v>
      </c>
      <c r="F8" s="3440">
        <f t="shared" si="2"/>
        <v>334.04593931673656</v>
      </c>
      <c r="G8" s="3435">
        <v>2021</v>
      </c>
      <c r="H8" s="2421">
        <v>3</v>
      </c>
      <c r="I8" s="2421">
        <v>0.47</v>
      </c>
      <c r="J8" s="2421">
        <v>0.41</v>
      </c>
      <c r="K8" s="2421">
        <v>0.48</v>
      </c>
      <c r="L8" s="2422">
        <v>0.48</v>
      </c>
      <c r="N8" s="3106">
        <f t="shared" si="3"/>
        <v>4.6999999999999993E-3</v>
      </c>
      <c r="O8" s="3107">
        <f t="shared" si="3"/>
        <v>4.0999999999999995E-3</v>
      </c>
      <c r="P8" s="3107">
        <f t="shared" si="3"/>
        <v>4.7999999999999996E-3</v>
      </c>
      <c r="Q8" s="3107">
        <f t="shared" si="3"/>
        <v>4.7999999999999996E-3</v>
      </c>
      <c r="R8" s="3436"/>
      <c r="S8" s="3437"/>
      <c r="T8" s="3438"/>
      <c r="U8" s="3438"/>
      <c r="V8" s="3438"/>
      <c r="AC8" s="3439"/>
      <c r="AD8" s="3439"/>
      <c r="AE8" s="3439"/>
      <c r="AF8" s="3439"/>
    </row>
    <row r="9" spans="1:32">
      <c r="A9" s="3390" t="s">
        <v>2286</v>
      </c>
      <c r="B9" s="3440">
        <f t="shared" si="0"/>
        <v>502.50893609650217</v>
      </c>
      <c r="C9" s="3440">
        <f t="shared" si="0"/>
        <v>350.27569313914915</v>
      </c>
      <c r="D9" s="3440">
        <f t="shared" si="1"/>
        <v>350.27569313914915</v>
      </c>
      <c r="E9" s="3440">
        <f t="shared" si="2"/>
        <v>725.27220201394141</v>
      </c>
      <c r="F9" s="3440">
        <f t="shared" si="2"/>
        <v>332.45017846012797</v>
      </c>
      <c r="G9" s="3435">
        <v>2021</v>
      </c>
      <c r="H9" s="2421">
        <v>2</v>
      </c>
      <c r="I9" s="2421">
        <v>0.92</v>
      </c>
      <c r="J9" s="2421">
        <v>0.72</v>
      </c>
      <c r="K9" s="2421">
        <v>0.95</v>
      </c>
      <c r="L9" s="2422">
        <v>1.01</v>
      </c>
      <c r="N9" s="3106">
        <f t="shared" si="3"/>
        <v>9.1999999999999998E-3</v>
      </c>
      <c r="O9" s="3107">
        <f t="shared" si="3"/>
        <v>7.1999999999999998E-3</v>
      </c>
      <c r="P9" s="3107">
        <f t="shared" si="3"/>
        <v>9.4999999999999998E-3</v>
      </c>
      <c r="Q9" s="3107">
        <f t="shared" si="3"/>
        <v>1.01E-2</v>
      </c>
      <c r="R9" s="3436"/>
      <c r="S9" s="3437"/>
      <c r="T9" s="3438"/>
      <c r="U9" s="3438"/>
      <c r="V9" s="3438"/>
      <c r="AC9" s="3439"/>
      <c r="AD9" s="3439"/>
      <c r="AE9" s="3439"/>
      <c r="AF9" s="3439"/>
    </row>
    <row r="10" spans="1:32" ht="13.5" thickBot="1">
      <c r="A10" s="3390" t="s">
        <v>2285</v>
      </c>
      <c r="B10" s="3440">
        <f t="shared" si="0"/>
        <v>497.92799851020823</v>
      </c>
      <c r="C10" s="3440">
        <f t="shared" si="0"/>
        <v>347.77173663537445</v>
      </c>
      <c r="D10" s="3440">
        <f t="shared" si="1"/>
        <v>347.77173663537445</v>
      </c>
      <c r="E10" s="3440">
        <f t="shared" si="2"/>
        <v>718.44695593258189</v>
      </c>
      <c r="F10" s="3440">
        <f t="shared" si="2"/>
        <v>329.12600580153247</v>
      </c>
      <c r="G10" s="3435">
        <v>2021</v>
      </c>
      <c r="H10" s="2421">
        <v>1</v>
      </c>
      <c r="I10" s="2421">
        <v>0.97</v>
      </c>
      <c r="J10" s="2421">
        <v>0.16</v>
      </c>
      <c r="K10" s="2421">
        <v>1.1100000000000001</v>
      </c>
      <c r="L10" s="2422">
        <v>0.36</v>
      </c>
      <c r="N10" s="3106">
        <f t="shared" si="3"/>
        <v>9.7000000000000003E-3</v>
      </c>
      <c r="O10" s="3107">
        <f t="shared" si="3"/>
        <v>1.6000000000000001E-3</v>
      </c>
      <c r="P10" s="3107">
        <f t="shared" si="3"/>
        <v>1.11E-2</v>
      </c>
      <c r="Q10" s="3107">
        <f t="shared" si="3"/>
        <v>3.5999999999999999E-3</v>
      </c>
      <c r="R10" s="3436"/>
      <c r="S10" s="3437">
        <f>B10/B11-1</f>
        <v>9.7000000000000419E-3</v>
      </c>
      <c r="T10" s="3438">
        <f>C10/C11-1</f>
        <v>1.6000000000000458E-3</v>
      </c>
      <c r="U10" s="3438">
        <f>E10/E11-1</f>
        <v>1.110000000000011E-2</v>
      </c>
      <c r="V10" s="3438">
        <f>F10/F11-1</f>
        <v>3.6000000000000476E-3</v>
      </c>
      <c r="AC10" s="3439"/>
      <c r="AD10" s="3439"/>
      <c r="AE10" s="3439"/>
      <c r="AF10" s="3439"/>
    </row>
    <row r="11" spans="1:32">
      <c r="A11" s="3390" t="s">
        <v>2282</v>
      </c>
      <c r="B11" s="2455">
        <f t="shared" si="0"/>
        <v>493.14449689037161</v>
      </c>
      <c r="C11" s="2455">
        <f t="shared" si="0"/>
        <v>347.21619073020611</v>
      </c>
      <c r="D11" s="2455">
        <f t="shared" si="1"/>
        <v>347.21619073020611</v>
      </c>
      <c r="E11" s="2455">
        <f t="shared" si="2"/>
        <v>710.55974278763904</v>
      </c>
      <c r="F11" s="2456">
        <f t="shared" si="2"/>
        <v>327.94540235306141</v>
      </c>
      <c r="G11" s="3435">
        <v>2020</v>
      </c>
      <c r="H11" s="2421">
        <v>4</v>
      </c>
      <c r="I11" s="2421">
        <v>2.0699999999999998</v>
      </c>
      <c r="J11" s="2421">
        <v>0.37</v>
      </c>
      <c r="K11" s="2421">
        <v>2.35</v>
      </c>
      <c r="L11" s="2422">
        <v>2.69</v>
      </c>
      <c r="N11" s="3106">
        <f t="shared" si="3"/>
        <v>2.07E-2</v>
      </c>
      <c r="O11" s="3107">
        <f t="shared" si="3"/>
        <v>3.7000000000000002E-3</v>
      </c>
      <c r="P11" s="3107">
        <f t="shared" si="3"/>
        <v>2.35E-2</v>
      </c>
      <c r="Q11" s="3107">
        <f t="shared" si="3"/>
        <v>2.69E-2</v>
      </c>
      <c r="R11" s="3436"/>
      <c r="S11" s="3437"/>
      <c r="T11" s="3438"/>
      <c r="U11" s="3438"/>
      <c r="V11" s="3438"/>
      <c r="AC11" s="3439"/>
      <c r="AD11" s="3439"/>
      <c r="AE11" s="3439"/>
      <c r="AF11" s="3439"/>
    </row>
    <row r="12" spans="1:32">
      <c r="A12" s="3390" t="s">
        <v>2281</v>
      </c>
      <c r="B12" s="3440">
        <f t="shared" si="0"/>
        <v>483.1434279321756</v>
      </c>
      <c r="C12" s="3440">
        <f t="shared" si="0"/>
        <v>345.93622669144776</v>
      </c>
      <c r="D12" s="3440">
        <f t="shared" si="1"/>
        <v>345.93622669144776</v>
      </c>
      <c r="E12" s="3440">
        <f t="shared" si="2"/>
        <v>694.24498562544113</v>
      </c>
      <c r="F12" s="3440">
        <f t="shared" si="2"/>
        <v>319.35475932716082</v>
      </c>
      <c r="G12" s="3435">
        <v>2020</v>
      </c>
      <c r="H12" s="2421">
        <v>3</v>
      </c>
      <c r="I12" s="2421">
        <v>0.36</v>
      </c>
      <c r="J12" s="2421">
        <v>-0.39</v>
      </c>
      <c r="K12" s="2421">
        <v>0.49</v>
      </c>
      <c r="L12" s="2422">
        <v>7.0000000000000007E-2</v>
      </c>
      <c r="N12" s="3106">
        <f t="shared" si="3"/>
        <v>3.5999999999999999E-3</v>
      </c>
      <c r="O12" s="3107">
        <f t="shared" si="3"/>
        <v>-3.9000000000000003E-3</v>
      </c>
      <c r="P12" s="3107">
        <f t="shared" si="3"/>
        <v>4.8999999999999998E-3</v>
      </c>
      <c r="Q12" s="3107">
        <f t="shared" si="3"/>
        <v>7.000000000000001E-4</v>
      </c>
      <c r="R12" s="3436"/>
      <c r="S12" s="3437"/>
      <c r="T12" s="3438"/>
      <c r="U12" s="3438"/>
      <c r="V12" s="3438"/>
      <c r="AC12" s="3439"/>
      <c r="AD12" s="3439"/>
      <c r="AE12" s="3439"/>
      <c r="AF12" s="3439"/>
    </row>
    <row r="13" spans="1:32">
      <c r="A13" s="3390" t="s">
        <v>2250</v>
      </c>
      <c r="B13" s="3440">
        <f t="shared" si="0"/>
        <v>481.4103506697644</v>
      </c>
      <c r="C13" s="3440">
        <f t="shared" si="0"/>
        <v>347.29066026648707</v>
      </c>
      <c r="D13" s="3440">
        <f t="shared" si="1"/>
        <v>347.29066026648707</v>
      </c>
      <c r="E13" s="3440">
        <f t="shared" si="2"/>
        <v>690.85977273901995</v>
      </c>
      <c r="F13" s="3440">
        <f t="shared" si="2"/>
        <v>319.13136737000184</v>
      </c>
      <c r="G13" s="3435">
        <v>2020</v>
      </c>
      <c r="H13" s="2421">
        <v>2</v>
      </c>
      <c r="I13" s="2421">
        <v>0.31</v>
      </c>
      <c r="J13" s="2421">
        <v>-0.78</v>
      </c>
      <c r="K13" s="2421">
        <v>0.5</v>
      </c>
      <c r="L13" s="2422">
        <v>0.47</v>
      </c>
      <c r="N13" s="3106">
        <f t="shared" si="3"/>
        <v>3.0999999999999999E-3</v>
      </c>
      <c r="O13" s="3107">
        <f t="shared" si="3"/>
        <v>-7.8000000000000005E-3</v>
      </c>
      <c r="P13" s="3107">
        <f t="shared" si="3"/>
        <v>5.0000000000000001E-3</v>
      </c>
      <c r="Q13" s="3107">
        <f t="shared" si="3"/>
        <v>4.6999999999999993E-3</v>
      </c>
      <c r="R13" s="3436"/>
      <c r="S13" s="3437"/>
      <c r="T13" s="3438"/>
      <c r="U13" s="3438"/>
      <c r="V13" s="3438"/>
      <c r="AC13" s="3439"/>
      <c r="AD13" s="3439"/>
      <c r="AE13" s="3439"/>
      <c r="AF13" s="3439"/>
    </row>
    <row r="14" spans="1:32" ht="13.5" thickBot="1">
      <c r="A14" s="3390" t="s">
        <v>2248</v>
      </c>
      <c r="B14" s="3440">
        <f t="shared" si="0"/>
        <v>479.92259063878413</v>
      </c>
      <c r="C14" s="3440">
        <f t="shared" si="0"/>
        <v>350.02082268341775</v>
      </c>
      <c r="D14" s="3440">
        <f t="shared" si="1"/>
        <v>350.02082268341775</v>
      </c>
      <c r="E14" s="3440">
        <f t="shared" si="2"/>
        <v>687.42265944181099</v>
      </c>
      <c r="F14" s="3440">
        <f t="shared" si="2"/>
        <v>317.63846657708956</v>
      </c>
      <c r="G14" s="3435">
        <v>2020</v>
      </c>
      <c r="H14" s="2421">
        <v>1</v>
      </c>
      <c r="I14" s="2421">
        <v>0.12</v>
      </c>
      <c r="J14" s="2421">
        <v>-0.4</v>
      </c>
      <c r="K14" s="2421">
        <v>0.21</v>
      </c>
      <c r="L14" s="2422">
        <v>0.27</v>
      </c>
      <c r="N14" s="3106">
        <f t="shared" si="3"/>
        <v>1.1999999999999999E-3</v>
      </c>
      <c r="O14" s="3107">
        <f t="shared" si="3"/>
        <v>-4.0000000000000001E-3</v>
      </c>
      <c r="P14" s="3107">
        <f t="shared" si="3"/>
        <v>2.0999999999999999E-3</v>
      </c>
      <c r="Q14" s="3107">
        <f t="shared" si="3"/>
        <v>2.7000000000000001E-3</v>
      </c>
      <c r="R14" s="3436"/>
      <c r="S14" s="3437">
        <f>B14/B15-1</f>
        <v>1.2000000000000899E-3</v>
      </c>
      <c r="T14" s="3438">
        <f>C14/C15-1</f>
        <v>-4.0000000000000036E-3</v>
      </c>
      <c r="U14" s="3438">
        <f>E14/E15-1</f>
        <v>2.0999999999999908E-3</v>
      </c>
      <c r="V14" s="3438">
        <f>F14/F15-1</f>
        <v>2.6999999999999247E-3</v>
      </c>
      <c r="AC14" s="3439"/>
      <c r="AD14" s="3439"/>
      <c r="AE14" s="3439"/>
      <c r="AF14" s="3439"/>
    </row>
    <row r="15" spans="1:32" ht="13.5" thickBot="1">
      <c r="A15" s="3390" t="s">
        <v>2246</v>
      </c>
      <c r="B15" s="2455">
        <f t="shared" si="0"/>
        <v>479.34737379023579</v>
      </c>
      <c r="C15" s="2455">
        <f t="shared" si="0"/>
        <v>351.4265287986122</v>
      </c>
      <c r="D15" s="2455">
        <f t="shared" si="1"/>
        <v>351.4265287986122</v>
      </c>
      <c r="E15" s="2455">
        <f t="shared" si="2"/>
        <v>685.98209703803116</v>
      </c>
      <c r="F15" s="2456">
        <f t="shared" si="2"/>
        <v>316.78315206651001</v>
      </c>
      <c r="G15" s="3435">
        <v>2019</v>
      </c>
      <c r="H15" s="2421">
        <v>4</v>
      </c>
      <c r="I15" s="2421">
        <v>0.45</v>
      </c>
      <c r="J15" s="2421">
        <v>-0.12</v>
      </c>
      <c r="K15" s="2421">
        <v>0.54</v>
      </c>
      <c r="L15" s="3441">
        <v>0.48</v>
      </c>
      <c r="N15" s="3106">
        <f t="shared" si="3"/>
        <v>4.5000000000000005E-3</v>
      </c>
      <c r="O15" s="3107">
        <f t="shared" si="3"/>
        <v>-1.1999999999999999E-3</v>
      </c>
      <c r="P15" s="3107">
        <f t="shared" si="3"/>
        <v>5.4000000000000003E-3</v>
      </c>
      <c r="Q15" s="3107">
        <f t="shared" si="3"/>
        <v>4.7999999999999996E-3</v>
      </c>
      <c r="R15" s="3436"/>
      <c r="S15" s="3437"/>
      <c r="T15" s="3438"/>
      <c r="U15" s="3438"/>
      <c r="V15" s="3438"/>
      <c r="AC15" s="3439"/>
      <c r="AD15" s="3439"/>
      <c r="AE15" s="3439"/>
      <c r="AF15" s="3439"/>
    </row>
    <row r="16" spans="1:32" ht="13.5" thickBot="1">
      <c r="A16" s="3390" t="s">
        <v>2245</v>
      </c>
      <c r="B16" s="3440">
        <f t="shared" si="0"/>
        <v>477.19997390765138</v>
      </c>
      <c r="C16" s="3440">
        <f t="shared" si="0"/>
        <v>351.84874729536665</v>
      </c>
      <c r="D16" s="3440">
        <f t="shared" si="1"/>
        <v>351.84874729536665</v>
      </c>
      <c r="E16" s="3440">
        <f t="shared" si="2"/>
        <v>682.29768951465201</v>
      </c>
      <c r="F16" s="3440">
        <f t="shared" si="2"/>
        <v>315.26985675409043</v>
      </c>
      <c r="G16" s="3435">
        <v>2019</v>
      </c>
      <c r="H16" s="2421">
        <v>3</v>
      </c>
      <c r="I16" s="2421">
        <v>0.61</v>
      </c>
      <c r="J16" s="2421">
        <v>0.67</v>
      </c>
      <c r="K16" s="2421">
        <v>0.6</v>
      </c>
      <c r="L16" s="3441">
        <v>1.03</v>
      </c>
      <c r="N16" s="3106">
        <f t="shared" si="3"/>
        <v>6.0999999999999995E-3</v>
      </c>
      <c r="O16" s="3107">
        <f t="shared" si="3"/>
        <v>6.7000000000000002E-3</v>
      </c>
      <c r="P16" s="3107">
        <f t="shared" si="3"/>
        <v>6.0000000000000001E-3</v>
      </c>
      <c r="Q16" s="3107">
        <f t="shared" si="3"/>
        <v>1.03E-2</v>
      </c>
      <c r="R16" s="3436"/>
      <c r="S16" s="3437"/>
      <c r="T16" s="3438"/>
      <c r="U16" s="3438"/>
      <c r="V16" s="3438"/>
      <c r="AC16" s="3439"/>
      <c r="AD16" s="3439"/>
      <c r="AE16" s="3439"/>
      <c r="AF16" s="3439"/>
    </row>
    <row r="17" spans="1:32">
      <c r="A17" s="3390" t="s">
        <v>2243</v>
      </c>
      <c r="B17" s="3440">
        <f t="shared" si="0"/>
        <v>474.30670301923408</v>
      </c>
      <c r="C17" s="3440">
        <f t="shared" si="0"/>
        <v>349.50705005996491</v>
      </c>
      <c r="D17" s="3440">
        <f t="shared" si="1"/>
        <v>349.50705005996491</v>
      </c>
      <c r="E17" s="3440">
        <f t="shared" si="2"/>
        <v>678.22831959706957</v>
      </c>
      <c r="F17" s="3440">
        <f t="shared" si="2"/>
        <v>312.0556832169558</v>
      </c>
      <c r="G17" s="3435">
        <v>2019</v>
      </c>
      <c r="H17" s="3442">
        <v>2</v>
      </c>
      <c r="I17" s="3442">
        <v>1.53</v>
      </c>
      <c r="J17" s="3442">
        <v>1.01</v>
      </c>
      <c r="K17" s="3442">
        <v>1.62</v>
      </c>
      <c r="L17" s="3441">
        <v>1.25</v>
      </c>
      <c r="N17" s="3106">
        <f t="shared" si="3"/>
        <v>1.5300000000000001E-2</v>
      </c>
      <c r="O17" s="3107">
        <f t="shared" si="3"/>
        <v>1.01E-2</v>
      </c>
      <c r="P17" s="3107">
        <f t="shared" si="3"/>
        <v>1.6200000000000003E-2</v>
      </c>
      <c r="Q17" s="3107">
        <f t="shared" si="3"/>
        <v>1.2500000000000001E-2</v>
      </c>
      <c r="R17" s="3436"/>
      <c r="S17" s="3437"/>
      <c r="T17" s="3438"/>
      <c r="U17" s="3438"/>
      <c r="V17" s="3438"/>
      <c r="AC17" s="3439"/>
      <c r="AD17" s="3439"/>
      <c r="AE17" s="3439"/>
      <c r="AF17" s="3439"/>
    </row>
    <row r="18" spans="1:32" ht="13.5" thickBot="1">
      <c r="A18" s="3390" t="s">
        <v>2242</v>
      </c>
      <c r="B18" s="3440">
        <f t="shared" si="0"/>
        <v>467.15916775261894</v>
      </c>
      <c r="C18" s="3440">
        <f t="shared" si="0"/>
        <v>346.01232557169084</v>
      </c>
      <c r="D18" s="3440">
        <f t="shared" si="1"/>
        <v>346.01232557169084</v>
      </c>
      <c r="E18" s="3440">
        <f t="shared" si="2"/>
        <v>667.41617752122568</v>
      </c>
      <c r="F18" s="3440">
        <f t="shared" si="2"/>
        <v>308.20314391798104</v>
      </c>
      <c r="G18" s="3435">
        <v>2019</v>
      </c>
      <c r="H18" s="2421">
        <v>1</v>
      </c>
      <c r="I18" s="2421">
        <v>0.6</v>
      </c>
      <c r="J18" s="2421">
        <v>0.37</v>
      </c>
      <c r="K18" s="2421">
        <v>0.63</v>
      </c>
      <c r="L18" s="2422">
        <v>1.1299999999999999</v>
      </c>
      <c r="N18" s="3106">
        <f t="shared" si="3"/>
        <v>6.0000000000000001E-3</v>
      </c>
      <c r="O18" s="3107">
        <f t="shared" si="3"/>
        <v>3.7000000000000002E-3</v>
      </c>
      <c r="P18" s="3107">
        <f t="shared" si="3"/>
        <v>6.3E-3</v>
      </c>
      <c r="Q18" s="3107">
        <f t="shared" si="3"/>
        <v>1.1299999999999999E-2</v>
      </c>
      <c r="R18" s="3436"/>
      <c r="S18" s="3437">
        <f>B18/B19-1</f>
        <v>6.0000000000000053E-3</v>
      </c>
      <c r="T18" s="3438">
        <f>C18/C19-1</f>
        <v>3.7000000000000366E-3</v>
      </c>
      <c r="U18" s="3438">
        <f>E18/E19-1</f>
        <v>6.2999999999999723E-3</v>
      </c>
      <c r="V18" s="3438">
        <f>F18/F19-1</f>
        <v>1.1300000000000088E-2</v>
      </c>
      <c r="AC18" s="3439"/>
      <c r="AD18" s="3439"/>
      <c r="AE18" s="3439"/>
      <c r="AF18" s="3439"/>
    </row>
    <row r="19" spans="1:32">
      <c r="A19" s="3390" t="s">
        <v>2241</v>
      </c>
      <c r="B19" s="2455">
        <f t="shared" si="0"/>
        <v>464.37293017158942</v>
      </c>
      <c r="C19" s="2455">
        <f t="shared" si="0"/>
        <v>344.73679941385956</v>
      </c>
      <c r="D19" s="2455">
        <f t="shared" si="1"/>
        <v>344.73679941385956</v>
      </c>
      <c r="E19" s="2455">
        <f t="shared" si="2"/>
        <v>663.2377795103107</v>
      </c>
      <c r="F19" s="2456">
        <f t="shared" si="2"/>
        <v>304.75936311478398</v>
      </c>
      <c r="G19" s="3764">
        <v>2018</v>
      </c>
      <c r="H19" s="3442">
        <v>4</v>
      </c>
      <c r="I19" s="3442">
        <v>0.96</v>
      </c>
      <c r="J19" s="3442">
        <v>1.03</v>
      </c>
      <c r="K19" s="3442">
        <v>0.92</v>
      </c>
      <c r="L19" s="3441">
        <v>1.29</v>
      </c>
      <c r="N19" s="3106">
        <f t="shared" si="3"/>
        <v>9.5999999999999992E-3</v>
      </c>
      <c r="O19" s="3107">
        <f t="shared" si="3"/>
        <v>1.03E-2</v>
      </c>
      <c r="P19" s="3107">
        <f t="shared" si="3"/>
        <v>9.1999999999999998E-3</v>
      </c>
      <c r="Q19" s="3107">
        <f t="shared" si="3"/>
        <v>1.29E-2</v>
      </c>
      <c r="R19" s="3436"/>
      <c r="S19" s="3443"/>
      <c r="T19" s="3439"/>
      <c r="U19" s="3439"/>
      <c r="V19" s="3439"/>
      <c r="AC19" s="3439"/>
      <c r="AD19" s="3439"/>
      <c r="AE19" s="3439"/>
      <c r="AF19" s="3439"/>
    </row>
    <row r="20" spans="1:32" s="2441" customFormat="1" ht="14.45" customHeight="1">
      <c r="A20" s="3390" t="s">
        <v>2234</v>
      </c>
      <c r="B20" s="3440">
        <f t="shared" si="0"/>
        <v>459.95733971036987</v>
      </c>
      <c r="C20" s="3440">
        <f t="shared" si="0"/>
        <v>341.22221064422405</v>
      </c>
      <c r="D20" s="3440">
        <f t="shared" si="1"/>
        <v>341.22221064422405</v>
      </c>
      <c r="E20" s="3440">
        <f t="shared" si="2"/>
        <v>657.19161663724799</v>
      </c>
      <c r="F20" s="3440">
        <f t="shared" si="2"/>
        <v>300.87803644464805</v>
      </c>
      <c r="G20" s="3764"/>
      <c r="H20" s="2421">
        <v>3</v>
      </c>
      <c r="I20" s="2421">
        <v>1.51</v>
      </c>
      <c r="J20" s="2421">
        <v>1.41</v>
      </c>
      <c r="K20" s="2421">
        <v>1.52</v>
      </c>
      <c r="L20" s="2422">
        <v>1.74</v>
      </c>
      <c r="N20" s="3106">
        <f t="shared" si="3"/>
        <v>1.5100000000000001E-2</v>
      </c>
      <c r="O20" s="3107">
        <f t="shared" si="3"/>
        <v>1.41E-2</v>
      </c>
      <c r="P20" s="3107">
        <f t="shared" si="3"/>
        <v>1.52E-2</v>
      </c>
      <c r="Q20" s="3107">
        <f t="shared" si="3"/>
        <v>1.7399999999999999E-2</v>
      </c>
      <c r="S20" s="3437"/>
      <c r="T20" s="3438"/>
      <c r="U20" s="3438"/>
      <c r="V20" s="3438"/>
    </row>
    <row r="21" spans="1:32" s="2441" customFormat="1" ht="14.45" customHeight="1">
      <c r="A21" s="3390" t="s">
        <v>2235</v>
      </c>
      <c r="B21" s="3440">
        <f t="shared" si="0"/>
        <v>453.11529869999993</v>
      </c>
      <c r="C21" s="3440">
        <f t="shared" si="0"/>
        <v>336.47787264000004</v>
      </c>
      <c r="D21" s="3440">
        <f t="shared" si="1"/>
        <v>336.47787264000004</v>
      </c>
      <c r="E21" s="3440">
        <f t="shared" si="2"/>
        <v>647.35186823999993</v>
      </c>
      <c r="F21" s="3440">
        <f t="shared" si="2"/>
        <v>295.73229452000004</v>
      </c>
      <c r="G21" s="3764"/>
      <c r="H21" s="3444">
        <v>2</v>
      </c>
      <c r="I21" s="3444">
        <v>1.49</v>
      </c>
      <c r="J21" s="3444">
        <v>0.96</v>
      </c>
      <c r="K21" s="3444">
        <v>1.58</v>
      </c>
      <c r="L21" s="3445">
        <v>2.44</v>
      </c>
      <c r="N21" s="3106">
        <f t="shared" si="3"/>
        <v>1.49E-2</v>
      </c>
      <c r="O21" s="3107">
        <f t="shared" si="3"/>
        <v>9.5999999999999992E-3</v>
      </c>
      <c r="P21" s="3107">
        <f t="shared" si="3"/>
        <v>1.5800000000000002E-2</v>
      </c>
      <c r="Q21" s="3107">
        <f t="shared" si="3"/>
        <v>2.4399999999999998E-2</v>
      </c>
      <c r="S21" s="3437"/>
      <c r="T21" s="3438"/>
      <c r="U21" s="3438"/>
      <c r="V21" s="3438"/>
    </row>
    <row r="22" spans="1:32" s="2441" customFormat="1" ht="15" customHeight="1" thickBot="1">
      <c r="A22" s="3390" t="s">
        <v>2231</v>
      </c>
      <c r="B22" s="3440">
        <f t="shared" ref="B22:C26" si="4">B23*(1+N22)</f>
        <v>446.46299999999997</v>
      </c>
      <c r="C22" s="3440">
        <f t="shared" si="4"/>
        <v>333.27840000000003</v>
      </c>
      <c r="D22" s="3440">
        <f t="shared" si="1"/>
        <v>333.27840000000003</v>
      </c>
      <c r="E22" s="3440">
        <f t="shared" ref="E22:F22" si="5">E23*(1+P22)</f>
        <v>637.28279999999995</v>
      </c>
      <c r="F22" s="3440">
        <f t="shared" si="5"/>
        <v>288.68830000000003</v>
      </c>
      <c r="G22" s="3768"/>
      <c r="H22" s="2421">
        <v>1</v>
      </c>
      <c r="I22" s="2421">
        <v>1.7</v>
      </c>
      <c r="J22" s="2421">
        <v>1.92</v>
      </c>
      <c r="K22" s="2421">
        <v>1.64</v>
      </c>
      <c r="L22" s="2422">
        <v>2.0099999999999998</v>
      </c>
      <c r="N22" s="3106">
        <f t="shared" ref="N22:Q37" si="6">I22/100</f>
        <v>1.7000000000000001E-2</v>
      </c>
      <c r="O22" s="3107">
        <f t="shared" si="6"/>
        <v>1.9199999999999998E-2</v>
      </c>
      <c r="P22" s="3107">
        <f t="shared" si="6"/>
        <v>1.6399999999999998E-2</v>
      </c>
      <c r="Q22" s="3107">
        <f t="shared" si="6"/>
        <v>2.0099999999999996E-2</v>
      </c>
      <c r="S22" s="3437">
        <f>B22/B23-1</f>
        <v>1.6999999999999904E-2</v>
      </c>
      <c r="T22" s="3438">
        <f>C22/C23-1</f>
        <v>1.9200000000000106E-2</v>
      </c>
      <c r="U22" s="3438">
        <f>E22/E23-1</f>
        <v>1.639999999999997E-2</v>
      </c>
      <c r="V22" s="3438">
        <f>F22/F23-1</f>
        <v>2.0100000000000007E-2</v>
      </c>
    </row>
    <row r="23" spans="1:32">
      <c r="A23" s="3390" t="s">
        <v>2224</v>
      </c>
      <c r="B23" s="2455">
        <v>439</v>
      </c>
      <c r="C23" s="2455">
        <v>327</v>
      </c>
      <c r="D23" s="2455">
        <f t="shared" si="1"/>
        <v>327</v>
      </c>
      <c r="E23" s="2455">
        <v>627</v>
      </c>
      <c r="F23" s="2456">
        <v>283</v>
      </c>
      <c r="G23" s="3769">
        <v>2017</v>
      </c>
      <c r="H23" s="3442">
        <v>4</v>
      </c>
      <c r="I23" s="3442">
        <v>1.71</v>
      </c>
      <c r="J23" s="3442">
        <v>1.78</v>
      </c>
      <c r="K23" s="3442">
        <v>1.71</v>
      </c>
      <c r="L23" s="3441">
        <v>1.43</v>
      </c>
      <c r="N23" s="3106">
        <f t="shared" si="6"/>
        <v>1.7100000000000001E-2</v>
      </c>
      <c r="O23" s="3107">
        <f t="shared" si="6"/>
        <v>1.78E-2</v>
      </c>
      <c r="P23" s="3107">
        <f t="shared" si="6"/>
        <v>1.7100000000000001E-2</v>
      </c>
      <c r="Q23" s="3107">
        <f t="shared" si="6"/>
        <v>1.43E-2</v>
      </c>
      <c r="R23" s="3436"/>
      <c r="S23" s="3443"/>
      <c r="T23" s="3439"/>
      <c r="U23" s="3439"/>
      <c r="V23" s="3439"/>
      <c r="AC23" s="3439"/>
      <c r="AD23" s="3439"/>
      <c r="AE23" s="3439"/>
      <c r="AF23" s="3439"/>
    </row>
    <row r="24" spans="1:32" s="2441" customFormat="1" ht="14.45" customHeight="1">
      <c r="A24" s="3390" t="s">
        <v>2226</v>
      </c>
      <c r="B24" s="3440">
        <f t="shared" si="4"/>
        <v>431.80730811680002</v>
      </c>
      <c r="C24" s="3440">
        <f t="shared" si="4"/>
        <v>320.57880516480003</v>
      </c>
      <c r="D24" s="3440">
        <f t="shared" si="1"/>
        <v>320.57880516480003</v>
      </c>
      <c r="E24" s="3440">
        <f t="shared" ref="E24:F26" si="7">E25*(1+P24)</f>
        <v>615.96110553196797</v>
      </c>
      <c r="F24" s="3440">
        <f t="shared" si="7"/>
        <v>279.46777300108801</v>
      </c>
      <c r="G24" s="3764"/>
      <c r="H24" s="2421">
        <v>3</v>
      </c>
      <c r="I24" s="2421">
        <v>2.98</v>
      </c>
      <c r="J24" s="2421">
        <v>2.11</v>
      </c>
      <c r="K24" s="2421">
        <v>3.24</v>
      </c>
      <c r="L24" s="2422">
        <v>1.72</v>
      </c>
      <c r="N24" s="3106">
        <f t="shared" si="6"/>
        <v>2.98E-2</v>
      </c>
      <c r="O24" s="3107">
        <f t="shared" si="6"/>
        <v>2.1099999999999997E-2</v>
      </c>
      <c r="P24" s="3107">
        <f t="shared" si="6"/>
        <v>3.2400000000000005E-2</v>
      </c>
      <c r="Q24" s="3107">
        <f t="shared" si="6"/>
        <v>1.72E-2</v>
      </c>
      <c r="S24" s="3102"/>
    </row>
    <row r="25" spans="1:32" s="2441" customFormat="1" ht="14.45" customHeight="1">
      <c r="A25" s="3390" t="s">
        <v>1861</v>
      </c>
      <c r="B25" s="3440">
        <f t="shared" si="4"/>
        <v>419.31181600000002</v>
      </c>
      <c r="C25" s="3440">
        <f t="shared" si="4"/>
        <v>313.95436800000004</v>
      </c>
      <c r="D25" s="3440">
        <f t="shared" si="1"/>
        <v>313.95436800000004</v>
      </c>
      <c r="E25" s="3440">
        <f t="shared" si="7"/>
        <v>596.63028431999999</v>
      </c>
      <c r="F25" s="3440">
        <f t="shared" si="7"/>
        <v>274.74220703999998</v>
      </c>
      <c r="G25" s="3764"/>
      <c r="H25" s="3444">
        <v>2</v>
      </c>
      <c r="I25" s="3444">
        <v>3.4</v>
      </c>
      <c r="J25" s="3444">
        <v>2</v>
      </c>
      <c r="K25" s="3444">
        <v>3.82</v>
      </c>
      <c r="L25" s="3445">
        <v>1.68</v>
      </c>
      <c r="N25" s="3106">
        <f t="shared" si="6"/>
        <v>3.4000000000000002E-2</v>
      </c>
      <c r="O25" s="3107">
        <f t="shared" si="6"/>
        <v>0.02</v>
      </c>
      <c r="P25" s="3107">
        <f t="shared" si="6"/>
        <v>3.8199999999999998E-2</v>
      </c>
      <c r="Q25" s="3107">
        <f t="shared" si="6"/>
        <v>1.6799999999999999E-2</v>
      </c>
      <c r="S25" s="3102"/>
    </row>
    <row r="26" spans="1:32" s="2441" customFormat="1" ht="15" customHeight="1" thickBot="1">
      <c r="A26" s="3390" t="s">
        <v>1862</v>
      </c>
      <c r="B26" s="3440">
        <f t="shared" si="4"/>
        <v>405.524</v>
      </c>
      <c r="C26" s="3440">
        <f t="shared" si="4"/>
        <v>307.79840000000002</v>
      </c>
      <c r="D26" s="3440">
        <f t="shared" si="1"/>
        <v>307.79840000000002</v>
      </c>
      <c r="E26" s="3440">
        <f t="shared" si="7"/>
        <v>574.67759999999998</v>
      </c>
      <c r="F26" s="3440">
        <f t="shared" si="7"/>
        <v>270.20280000000002</v>
      </c>
      <c r="G26" s="3768"/>
      <c r="H26" s="2421">
        <v>1</v>
      </c>
      <c r="I26" s="2421">
        <v>3.45</v>
      </c>
      <c r="J26" s="2421">
        <v>1.92</v>
      </c>
      <c r="K26" s="2421">
        <v>3.92</v>
      </c>
      <c r="L26" s="2422">
        <v>1.58</v>
      </c>
      <c r="N26" s="3106">
        <f>I26/100</f>
        <v>3.4500000000000003E-2</v>
      </c>
      <c r="O26" s="3107">
        <f t="shared" si="6"/>
        <v>1.9199999999999998E-2</v>
      </c>
      <c r="P26" s="3107">
        <f t="shared" si="6"/>
        <v>3.9199999999999999E-2</v>
      </c>
      <c r="Q26" s="3107">
        <f t="shared" si="6"/>
        <v>1.5800000000000002E-2</v>
      </c>
      <c r="S26" s="3437">
        <f>B26/B27-1</f>
        <v>3.4499999999999975E-2</v>
      </c>
      <c r="T26" s="3438">
        <f>C26/C27-1</f>
        <v>1.9200000000000106E-2</v>
      </c>
      <c r="U26" s="3438">
        <f>E26/E27-1</f>
        <v>3.9199999999999902E-2</v>
      </c>
      <c r="V26" s="3438">
        <f>F26/F27-1</f>
        <v>1.5800000000000036E-2</v>
      </c>
    </row>
    <row r="27" spans="1:32">
      <c r="A27" s="3390" t="s">
        <v>893</v>
      </c>
      <c r="B27" s="2455">
        <v>392</v>
      </c>
      <c r="C27" s="2455">
        <v>302</v>
      </c>
      <c r="D27" s="2455">
        <f t="shared" si="1"/>
        <v>302</v>
      </c>
      <c r="E27" s="2455">
        <v>553</v>
      </c>
      <c r="F27" s="2456">
        <v>266</v>
      </c>
      <c r="G27" s="3769">
        <v>2016</v>
      </c>
      <c r="H27" s="3442">
        <v>4</v>
      </c>
      <c r="I27" s="3442">
        <v>4.5599999999999996</v>
      </c>
      <c r="J27" s="3442">
        <v>2.15</v>
      </c>
      <c r="K27" s="3442">
        <v>5.32</v>
      </c>
      <c r="L27" s="3441">
        <v>1.57</v>
      </c>
      <c r="N27" s="3106">
        <f>I27/100</f>
        <v>4.5599999999999995E-2</v>
      </c>
      <c r="O27" s="3107">
        <f t="shared" si="6"/>
        <v>2.1499999999999998E-2</v>
      </c>
      <c r="P27" s="3107">
        <f t="shared" si="6"/>
        <v>5.3200000000000004E-2</v>
      </c>
      <c r="Q27" s="3107">
        <f t="shared" si="6"/>
        <v>1.5700000000000002E-2</v>
      </c>
      <c r="R27" s="3436"/>
      <c r="S27" s="3443"/>
      <c r="T27" s="3439"/>
      <c r="U27" s="3439"/>
      <c r="V27" s="3439"/>
      <c r="AC27" s="3439"/>
      <c r="AD27" s="3439"/>
      <c r="AE27" s="3439"/>
      <c r="AF27" s="3439"/>
    </row>
    <row r="28" spans="1:32">
      <c r="A28" s="3390" t="s">
        <v>892</v>
      </c>
      <c r="B28" s="3440">
        <f t="shared" ref="B28:C30" si="8">B27/(1+N27)</f>
        <v>374.90436113236416</v>
      </c>
      <c r="C28" s="3440">
        <f t="shared" si="8"/>
        <v>295.64366128242779</v>
      </c>
      <c r="D28" s="3440">
        <f t="shared" si="1"/>
        <v>295.64366128242779</v>
      </c>
      <c r="E28" s="3440">
        <f t="shared" ref="E28:F30" si="9">E27/(1+P27)</f>
        <v>525.06646410938095</v>
      </c>
      <c r="F28" s="3440">
        <f t="shared" si="9"/>
        <v>261.88835286009646</v>
      </c>
      <c r="G28" s="3764"/>
      <c r="H28" s="2421">
        <v>3</v>
      </c>
      <c r="I28" s="2421">
        <v>4.12</v>
      </c>
      <c r="J28" s="2421">
        <v>2</v>
      </c>
      <c r="K28" s="2421">
        <v>4.79</v>
      </c>
      <c r="L28" s="2422">
        <v>1.97</v>
      </c>
      <c r="N28" s="3106">
        <f t="shared" ref="N28:Q62" si="10">I28/100</f>
        <v>4.1200000000000001E-2</v>
      </c>
      <c r="O28" s="3107">
        <f t="shared" si="6"/>
        <v>0.02</v>
      </c>
      <c r="P28" s="3107">
        <f t="shared" si="6"/>
        <v>4.7899999999999998E-2</v>
      </c>
      <c r="Q28" s="3107">
        <f t="shared" si="6"/>
        <v>1.9699999999999999E-2</v>
      </c>
      <c r="R28" s="3436"/>
      <c r="S28" s="3106"/>
      <c r="T28" s="3107"/>
      <c r="U28" s="3107"/>
      <c r="V28" s="3107"/>
    </row>
    <row r="29" spans="1:32">
      <c r="A29" s="3390" t="s">
        <v>882</v>
      </c>
      <c r="B29" s="3440">
        <f t="shared" si="8"/>
        <v>360.06949782209392</v>
      </c>
      <c r="C29" s="3440">
        <f t="shared" si="8"/>
        <v>289.84672674747821</v>
      </c>
      <c r="D29" s="3440">
        <f t="shared" si="1"/>
        <v>289.84672674747821</v>
      </c>
      <c r="E29" s="3440">
        <f t="shared" si="9"/>
        <v>501.06543001181495</v>
      </c>
      <c r="F29" s="3440">
        <f t="shared" si="9"/>
        <v>256.82882500744967</v>
      </c>
      <c r="G29" s="3764"/>
      <c r="H29" s="3444">
        <v>2</v>
      </c>
      <c r="I29" s="3444">
        <v>3.85</v>
      </c>
      <c r="J29" s="3444">
        <v>1.95</v>
      </c>
      <c r="K29" s="3444">
        <v>4.4800000000000004</v>
      </c>
      <c r="L29" s="3445">
        <v>1.41</v>
      </c>
      <c r="N29" s="3106">
        <f t="shared" si="10"/>
        <v>3.85E-2</v>
      </c>
      <c r="O29" s="3107">
        <f t="shared" si="6"/>
        <v>1.95E-2</v>
      </c>
      <c r="P29" s="3107">
        <f t="shared" si="6"/>
        <v>4.4800000000000006E-2</v>
      </c>
      <c r="Q29" s="3107">
        <f t="shared" si="6"/>
        <v>1.41E-2</v>
      </c>
      <c r="R29" s="3436"/>
      <c r="S29" s="3106"/>
      <c r="T29" s="3107"/>
      <c r="U29" s="3107"/>
      <c r="V29" s="3107"/>
    </row>
    <row r="30" spans="1:32" ht="13.5" thickBot="1">
      <c r="A30" s="3390" t="s">
        <v>891</v>
      </c>
      <c r="B30" s="3440">
        <f t="shared" si="8"/>
        <v>346.720748986128</v>
      </c>
      <c r="C30" s="3440">
        <f t="shared" si="8"/>
        <v>284.30282172386285</v>
      </c>
      <c r="D30" s="3440">
        <f t="shared" si="1"/>
        <v>284.30282172386285</v>
      </c>
      <c r="E30" s="3440">
        <f t="shared" si="9"/>
        <v>479.58023546306947</v>
      </c>
      <c r="F30" s="3440">
        <f t="shared" si="9"/>
        <v>253.25788877571213</v>
      </c>
      <c r="G30" s="3765"/>
      <c r="H30" s="2421">
        <v>1</v>
      </c>
      <c r="I30" s="2421">
        <v>4.09</v>
      </c>
      <c r="J30" s="2421">
        <v>2.93</v>
      </c>
      <c r="K30" s="2421">
        <v>4.54</v>
      </c>
      <c r="L30" s="2422">
        <v>1.48</v>
      </c>
      <c r="N30" s="3106">
        <f t="shared" si="10"/>
        <v>4.0899999999999999E-2</v>
      </c>
      <c r="O30" s="3107">
        <f t="shared" si="6"/>
        <v>2.9300000000000003E-2</v>
      </c>
      <c r="P30" s="3107">
        <f t="shared" si="6"/>
        <v>4.5400000000000003E-2</v>
      </c>
      <c r="Q30" s="3107">
        <f t="shared" si="6"/>
        <v>1.4800000000000001E-2</v>
      </c>
      <c r="R30" s="3436"/>
      <c r="S30" s="3437">
        <f>B30/B31-1</f>
        <v>4.1203450408792808E-2</v>
      </c>
      <c r="T30" s="3438">
        <f>C30/C31-1</f>
        <v>2.6363977342465095E-2</v>
      </c>
      <c r="U30" s="3438">
        <f>E30/E31-1</f>
        <v>4.4837114298626357E-2</v>
      </c>
      <c r="V30" s="3438">
        <f>F30/F31-1</f>
        <v>1.7099954922538574E-2</v>
      </c>
      <c r="AC30" s="3107"/>
      <c r="AD30" s="3107"/>
      <c r="AE30" s="3107"/>
      <c r="AF30" s="3107"/>
    </row>
    <row r="31" spans="1:32" ht="13.5" thickBot="1">
      <c r="A31" s="3390" t="s">
        <v>890</v>
      </c>
      <c r="B31" s="2455">
        <v>333</v>
      </c>
      <c r="C31" s="2455">
        <v>277</v>
      </c>
      <c r="D31" s="2455">
        <f t="shared" si="1"/>
        <v>277</v>
      </c>
      <c r="E31" s="2455">
        <v>459</v>
      </c>
      <c r="F31" s="2456">
        <v>249</v>
      </c>
      <c r="G31" s="3763">
        <v>2015</v>
      </c>
      <c r="H31" s="3446">
        <v>4</v>
      </c>
      <c r="I31" s="3446">
        <v>1.63</v>
      </c>
      <c r="J31" s="3446">
        <v>1.1100000000000001</v>
      </c>
      <c r="K31" s="3446">
        <v>1.77</v>
      </c>
      <c r="L31" s="3447">
        <v>1.89</v>
      </c>
      <c r="N31" s="3448">
        <f t="shared" si="10"/>
        <v>1.6299999999999999E-2</v>
      </c>
      <c r="O31" s="3449">
        <f t="shared" si="6"/>
        <v>1.11E-2</v>
      </c>
      <c r="P31" s="3449">
        <f t="shared" si="6"/>
        <v>1.77E-2</v>
      </c>
      <c r="Q31" s="3449">
        <f t="shared" si="6"/>
        <v>1.89E-2</v>
      </c>
      <c r="R31" s="3436"/>
      <c r="AC31" s="3439"/>
      <c r="AD31" s="3439"/>
      <c r="AE31" s="3439"/>
      <c r="AF31" s="3439"/>
    </row>
    <row r="32" spans="1:32">
      <c r="A32" s="3390" t="s">
        <v>889</v>
      </c>
      <c r="B32" s="3440">
        <f t="shared" ref="B32:C34" si="11">B31/(1+N31)</f>
        <v>327.65915576109415</v>
      </c>
      <c r="C32" s="3440">
        <f t="shared" si="11"/>
        <v>273.95905449510434</v>
      </c>
      <c r="D32" s="3440">
        <f t="shared" si="1"/>
        <v>273.95905449510434</v>
      </c>
      <c r="E32" s="3440">
        <f t="shared" ref="E32:F34" si="12">E31/(1+P31)</f>
        <v>451.01699911565294</v>
      </c>
      <c r="F32" s="3440">
        <f t="shared" si="12"/>
        <v>244.38119540681129</v>
      </c>
      <c r="G32" s="3764"/>
      <c r="H32" s="3451">
        <v>3</v>
      </c>
      <c r="I32" s="3451">
        <v>1.65</v>
      </c>
      <c r="J32" s="3451">
        <v>0.92</v>
      </c>
      <c r="K32" s="3451">
        <v>1.88</v>
      </c>
      <c r="L32" s="3452">
        <v>1.26</v>
      </c>
      <c r="N32" s="3106">
        <f t="shared" si="10"/>
        <v>1.6500000000000001E-2</v>
      </c>
      <c r="O32" s="3107">
        <f t="shared" si="6"/>
        <v>9.1999999999999998E-3</v>
      </c>
      <c r="P32" s="3107">
        <f t="shared" si="6"/>
        <v>1.8799999999999997E-2</v>
      </c>
      <c r="Q32" s="3107">
        <f t="shared" si="6"/>
        <v>1.26E-2</v>
      </c>
      <c r="R32" s="3436"/>
      <c r="S32" s="3106"/>
      <c r="T32" s="3107"/>
      <c r="U32" s="3107"/>
      <c r="V32" s="3107"/>
    </row>
    <row r="33" spans="1:32">
      <c r="A33" s="3390" t="s">
        <v>888</v>
      </c>
      <c r="B33" s="3440">
        <f t="shared" si="11"/>
        <v>322.34053690220776</v>
      </c>
      <c r="C33" s="3440">
        <f t="shared" si="11"/>
        <v>271.46160770422546</v>
      </c>
      <c r="D33" s="3440">
        <f t="shared" si="1"/>
        <v>271.46160770422546</v>
      </c>
      <c r="E33" s="3440">
        <f t="shared" si="12"/>
        <v>442.69434542172456</v>
      </c>
      <c r="F33" s="3440">
        <f t="shared" si="12"/>
        <v>241.34030753190925</v>
      </c>
      <c r="G33" s="3764"/>
      <c r="H33" s="3444">
        <v>2</v>
      </c>
      <c r="I33" s="3444">
        <v>0.77</v>
      </c>
      <c r="J33" s="3444">
        <v>0.69</v>
      </c>
      <c r="K33" s="3444">
        <v>0.8</v>
      </c>
      <c r="L33" s="3445">
        <v>0.88</v>
      </c>
      <c r="N33" s="3106">
        <f t="shared" si="10"/>
        <v>7.7000000000000002E-3</v>
      </c>
      <c r="O33" s="3107">
        <f t="shared" si="6"/>
        <v>6.8999999999999999E-3</v>
      </c>
      <c r="P33" s="3107">
        <f t="shared" si="6"/>
        <v>8.0000000000000002E-3</v>
      </c>
      <c r="Q33" s="3107">
        <f t="shared" si="6"/>
        <v>8.8000000000000005E-3</v>
      </c>
      <c r="R33" s="3436"/>
      <c r="S33" s="3106"/>
      <c r="T33" s="3107"/>
      <c r="U33" s="3107"/>
      <c r="V33" s="3107"/>
    </row>
    <row r="34" spans="1:32">
      <c r="A34" s="3390" t="s">
        <v>887</v>
      </c>
      <c r="B34" s="3440">
        <f t="shared" si="11"/>
        <v>319.87748030386797</v>
      </c>
      <c r="C34" s="3440">
        <f t="shared" si="11"/>
        <v>269.60135833173649</v>
      </c>
      <c r="D34" s="3440">
        <f t="shared" si="1"/>
        <v>269.60135833173649</v>
      </c>
      <c r="E34" s="3440">
        <f t="shared" si="12"/>
        <v>439.18089823583784</v>
      </c>
      <c r="F34" s="3440">
        <f t="shared" si="12"/>
        <v>239.23503918706311</v>
      </c>
      <c r="G34" s="3765"/>
      <c r="H34" s="2421">
        <v>1</v>
      </c>
      <c r="I34" s="2421">
        <v>0.51</v>
      </c>
      <c r="J34" s="2421">
        <v>0.54</v>
      </c>
      <c r="K34" s="2421">
        <v>0.48</v>
      </c>
      <c r="L34" s="2422">
        <v>0.93</v>
      </c>
      <c r="N34" s="3437">
        <f t="shared" si="10"/>
        <v>5.1000000000000004E-3</v>
      </c>
      <c r="O34" s="3438">
        <f t="shared" si="6"/>
        <v>5.4000000000000003E-3</v>
      </c>
      <c r="P34" s="3438">
        <f t="shared" si="6"/>
        <v>4.7999999999999996E-3</v>
      </c>
      <c r="Q34" s="3438">
        <f t="shared" si="6"/>
        <v>9.300000000000001E-3</v>
      </c>
      <c r="R34" s="3436"/>
      <c r="S34" s="3437">
        <f>B34/B35-1</f>
        <v>5.9040261127922822E-3</v>
      </c>
      <c r="T34" s="3438">
        <f>C34/C35-1</f>
        <v>5.9752176557332781E-3</v>
      </c>
      <c r="U34" s="3438">
        <f>E34/E35-1</f>
        <v>4.9906138119859556E-3</v>
      </c>
      <c r="V34" s="3438">
        <f>F34/F35-1</f>
        <v>9.4305450930933787E-3</v>
      </c>
      <c r="AC34" s="3107"/>
      <c r="AD34" s="3107"/>
      <c r="AE34" s="3107"/>
      <c r="AF34" s="3107"/>
    </row>
    <row r="35" spans="1:32" ht="13.5" thickBot="1">
      <c r="A35" s="3390" t="s">
        <v>886</v>
      </c>
      <c r="B35" s="3453">
        <v>318</v>
      </c>
      <c r="C35" s="3453">
        <v>268</v>
      </c>
      <c r="D35" s="3453">
        <f t="shared" si="1"/>
        <v>268</v>
      </c>
      <c r="E35" s="3453">
        <v>437</v>
      </c>
      <c r="F35" s="3454">
        <v>237</v>
      </c>
      <c r="G35" s="3763">
        <v>2014</v>
      </c>
      <c r="H35" s="3446">
        <v>4</v>
      </c>
      <c r="I35" s="3446">
        <v>0.21</v>
      </c>
      <c r="J35" s="3446">
        <v>0.41</v>
      </c>
      <c r="K35" s="3446">
        <v>0.12</v>
      </c>
      <c r="L35" s="3447">
        <v>0.89</v>
      </c>
      <c r="N35" s="3106">
        <f t="shared" si="10"/>
        <v>2.0999999999999999E-3</v>
      </c>
      <c r="O35" s="3107">
        <f t="shared" si="6"/>
        <v>4.0999999999999995E-3</v>
      </c>
      <c r="P35" s="3107">
        <f t="shared" si="6"/>
        <v>1.1999999999999999E-3</v>
      </c>
      <c r="Q35" s="3107">
        <f t="shared" si="6"/>
        <v>8.8999999999999999E-3</v>
      </c>
      <c r="R35" s="3436"/>
      <c r="S35" s="3443"/>
      <c r="T35" s="3439"/>
      <c r="U35" s="3439"/>
      <c r="V35" s="3439"/>
      <c r="AC35" s="3439"/>
      <c r="AD35" s="3439"/>
      <c r="AE35" s="3439"/>
      <c r="AF35" s="3439"/>
    </row>
    <row r="36" spans="1:32">
      <c r="A36" s="3390" t="s">
        <v>885</v>
      </c>
      <c r="B36" s="3440">
        <f t="shared" ref="B36:C38" si="13">B35/(1+N35)</f>
        <v>317.33359944117353</v>
      </c>
      <c r="C36" s="3440">
        <f t="shared" si="13"/>
        <v>266.90568668459315</v>
      </c>
      <c r="D36" s="3440">
        <f t="shared" si="1"/>
        <v>266.90568668459315</v>
      </c>
      <c r="E36" s="3440">
        <f t="shared" ref="E36:F38" si="14">E35/(1+P35)</f>
        <v>436.47622852576905</v>
      </c>
      <c r="F36" s="3440">
        <f t="shared" si="14"/>
        <v>234.90930716622066</v>
      </c>
      <c r="G36" s="3764"/>
      <c r="H36" s="3455">
        <v>3</v>
      </c>
      <c r="I36" s="3455">
        <v>0.83</v>
      </c>
      <c r="J36" s="3455">
        <v>1.47</v>
      </c>
      <c r="K36" s="3455">
        <v>0.65</v>
      </c>
      <c r="L36" s="3456">
        <v>0.72</v>
      </c>
      <c r="N36" s="3106">
        <f t="shared" si="10"/>
        <v>8.3000000000000001E-3</v>
      </c>
      <c r="O36" s="3107">
        <f t="shared" si="6"/>
        <v>1.47E-2</v>
      </c>
      <c r="P36" s="3107">
        <f t="shared" si="6"/>
        <v>6.5000000000000006E-3</v>
      </c>
      <c r="Q36" s="3107">
        <f t="shared" si="6"/>
        <v>7.1999999999999998E-3</v>
      </c>
      <c r="R36" s="3436"/>
      <c r="S36" s="3106"/>
      <c r="T36" s="3107"/>
      <c r="U36" s="3107"/>
      <c r="V36" s="3107"/>
    </row>
    <row r="37" spans="1:32" ht="13.5" thickBot="1">
      <c r="A37" s="3390" t="s">
        <v>884</v>
      </c>
      <c r="B37" s="3440">
        <f t="shared" si="13"/>
        <v>314.72141172386546</v>
      </c>
      <c r="C37" s="3440">
        <f t="shared" si="13"/>
        <v>263.03901319069001</v>
      </c>
      <c r="D37" s="3440">
        <f t="shared" si="1"/>
        <v>263.03901319069001</v>
      </c>
      <c r="E37" s="3440">
        <f t="shared" si="14"/>
        <v>433.65745506782821</v>
      </c>
      <c r="F37" s="3440">
        <f t="shared" si="14"/>
        <v>233.23005080045735</v>
      </c>
      <c r="G37" s="3764"/>
      <c r="H37" s="3446">
        <v>2</v>
      </c>
      <c r="I37" s="3446">
        <v>2.4</v>
      </c>
      <c r="J37" s="3446">
        <v>2.0299999999999998</v>
      </c>
      <c r="K37" s="3446">
        <v>2.59</v>
      </c>
      <c r="L37" s="3447">
        <v>1.52</v>
      </c>
      <c r="N37" s="3106">
        <f t="shared" si="10"/>
        <v>2.4E-2</v>
      </c>
      <c r="O37" s="3107">
        <f t="shared" si="6"/>
        <v>2.0299999999999999E-2</v>
      </c>
      <c r="P37" s="3107">
        <f t="shared" si="6"/>
        <v>2.5899999999999999E-2</v>
      </c>
      <c r="Q37" s="3107">
        <f t="shared" si="6"/>
        <v>1.52E-2</v>
      </c>
      <c r="R37" s="3436"/>
      <c r="S37" s="3106"/>
      <c r="T37" s="3107"/>
      <c r="U37" s="3107"/>
      <c r="V37" s="3107"/>
    </row>
    <row r="38" spans="1:32" s="3461" customFormat="1" ht="13.5" thickBot="1">
      <c r="A38" s="3457" t="s">
        <v>883</v>
      </c>
      <c r="B38" s="3458">
        <f t="shared" si="13"/>
        <v>307.34512863658733</v>
      </c>
      <c r="C38" s="3458">
        <f t="shared" si="13"/>
        <v>257.80556031626975</v>
      </c>
      <c r="D38" s="3458">
        <f t="shared" si="1"/>
        <v>257.80556031626975</v>
      </c>
      <c r="E38" s="3458">
        <f t="shared" si="14"/>
        <v>422.70928459677179</v>
      </c>
      <c r="F38" s="3458">
        <f t="shared" si="14"/>
        <v>229.73803270336617</v>
      </c>
      <c r="G38" s="3765"/>
      <c r="H38" s="3459">
        <v>1</v>
      </c>
      <c r="I38" s="3459">
        <v>2.97</v>
      </c>
      <c r="J38" s="3459">
        <v>2.34</v>
      </c>
      <c r="K38" s="3459">
        <v>3.28</v>
      </c>
      <c r="L38" s="3460">
        <v>1.36</v>
      </c>
      <c r="N38" s="3462">
        <f t="shared" si="10"/>
        <v>2.9700000000000001E-2</v>
      </c>
      <c r="O38" s="3463">
        <f t="shared" si="10"/>
        <v>2.3399999999999997E-2</v>
      </c>
      <c r="P38" s="3463">
        <f t="shared" si="10"/>
        <v>3.2799999999999996E-2</v>
      </c>
      <c r="Q38" s="3463">
        <f t="shared" si="10"/>
        <v>1.3600000000000001E-2</v>
      </c>
      <c r="R38" s="3464"/>
      <c r="S38" s="3465">
        <f>B38/B39-1</f>
        <v>2.7910129219355539E-2</v>
      </c>
      <c r="T38" s="3466">
        <f>C38/C39-1</f>
        <v>2.3037937762975247E-2</v>
      </c>
      <c r="U38" s="3466">
        <f>E38/E39-1</f>
        <v>3.3519033243940788E-2</v>
      </c>
      <c r="V38" s="3466">
        <f>F38/F39-1</f>
        <v>1.2061818076502862E-2</v>
      </c>
      <c r="AC38" s="3463"/>
      <c r="AD38" s="3463"/>
      <c r="AE38" s="3463"/>
      <c r="AF38" s="3463"/>
    </row>
    <row r="39" spans="1:32" ht="13.5" thickBot="1">
      <c r="A39" s="3390" t="s">
        <v>1863</v>
      </c>
      <c r="B39" s="2455">
        <v>299</v>
      </c>
      <c r="C39" s="2455">
        <v>252</v>
      </c>
      <c r="D39" s="2455">
        <f t="shared" si="1"/>
        <v>252</v>
      </c>
      <c r="E39" s="2455">
        <v>409</v>
      </c>
      <c r="F39" s="2456">
        <v>227</v>
      </c>
      <c r="G39" s="3770">
        <v>2013</v>
      </c>
      <c r="H39" s="3467">
        <v>4</v>
      </c>
      <c r="I39" s="3467">
        <v>1.83</v>
      </c>
      <c r="J39" s="3467">
        <v>1.68</v>
      </c>
      <c r="K39" s="3467">
        <v>1.97</v>
      </c>
      <c r="L39" s="3468">
        <v>0.87</v>
      </c>
      <c r="N39" s="3448">
        <f t="shared" si="10"/>
        <v>1.83E-2</v>
      </c>
      <c r="O39" s="3449">
        <f t="shared" si="10"/>
        <v>1.6799999999999999E-2</v>
      </c>
      <c r="P39" s="3449">
        <f t="shared" si="10"/>
        <v>1.9699999999999999E-2</v>
      </c>
      <c r="Q39" s="3449">
        <f t="shared" si="10"/>
        <v>8.6999999999999994E-3</v>
      </c>
      <c r="R39" s="3436"/>
      <c r="S39" s="3443"/>
      <c r="T39" s="3439"/>
      <c r="U39" s="3439"/>
      <c r="V39" s="3439"/>
      <c r="AC39" s="3439"/>
      <c r="AD39" s="3439"/>
      <c r="AE39" s="3439"/>
      <c r="AF39" s="3439"/>
    </row>
    <row r="40" spans="1:32">
      <c r="A40" s="3390" t="s">
        <v>1864</v>
      </c>
      <c r="B40" s="3440">
        <f t="shared" ref="B40:C42" si="15">B39/(1+N39)</f>
        <v>293.62663262299913</v>
      </c>
      <c r="C40" s="3440">
        <f t="shared" si="15"/>
        <v>247.83634933123525</v>
      </c>
      <c r="D40" s="3440">
        <f t="shared" si="1"/>
        <v>247.83634933123525</v>
      </c>
      <c r="E40" s="3440">
        <f t="shared" ref="E40:F42" si="16">E39/(1+P39)</f>
        <v>401.09836226341076</v>
      </c>
      <c r="F40" s="3440">
        <f t="shared" si="16"/>
        <v>225.04213343908003</v>
      </c>
      <c r="G40" s="3771"/>
      <c r="H40" s="3451">
        <v>3</v>
      </c>
      <c r="I40" s="3451">
        <v>1.86</v>
      </c>
      <c r="J40" s="3451">
        <v>1.72</v>
      </c>
      <c r="K40" s="3451">
        <v>1.98</v>
      </c>
      <c r="L40" s="3452">
        <v>0.88</v>
      </c>
      <c r="N40" s="3106">
        <f t="shared" si="10"/>
        <v>1.8600000000000002E-2</v>
      </c>
      <c r="O40" s="3107">
        <f t="shared" si="10"/>
        <v>1.72E-2</v>
      </c>
      <c r="P40" s="3107">
        <f t="shared" si="10"/>
        <v>1.9799999999999998E-2</v>
      </c>
      <c r="Q40" s="3107">
        <f t="shared" si="10"/>
        <v>8.8000000000000005E-3</v>
      </c>
      <c r="R40" s="3436"/>
      <c r="S40" s="3106"/>
      <c r="T40" s="3107"/>
      <c r="U40" s="3107"/>
      <c r="V40" s="3107"/>
    </row>
    <row r="41" spans="1:32">
      <c r="A41" s="3390" t="s">
        <v>1865</v>
      </c>
      <c r="B41" s="3440">
        <f t="shared" si="15"/>
        <v>288.2649053828776</v>
      </c>
      <c r="C41" s="3440">
        <f t="shared" si="15"/>
        <v>243.64564425013293</v>
      </c>
      <c r="D41" s="3440">
        <f t="shared" si="1"/>
        <v>243.64564425013293</v>
      </c>
      <c r="E41" s="3440">
        <f t="shared" si="16"/>
        <v>393.31080825986544</v>
      </c>
      <c r="F41" s="3440">
        <f t="shared" si="16"/>
        <v>223.07903790551154</v>
      </c>
      <c r="G41" s="3771"/>
      <c r="H41" s="3444">
        <v>2</v>
      </c>
      <c r="I41" s="3444">
        <v>2.04</v>
      </c>
      <c r="J41" s="3444">
        <v>2.33</v>
      </c>
      <c r="K41" s="3444">
        <v>2.0699999999999998</v>
      </c>
      <c r="L41" s="3445">
        <v>0.69</v>
      </c>
      <c r="N41" s="3106">
        <f t="shared" si="10"/>
        <v>2.0400000000000001E-2</v>
      </c>
      <c r="O41" s="3107">
        <f t="shared" si="10"/>
        <v>2.3300000000000001E-2</v>
      </c>
      <c r="P41" s="3107">
        <f t="shared" si="10"/>
        <v>2.07E-2</v>
      </c>
      <c r="Q41" s="3107">
        <f t="shared" si="10"/>
        <v>6.8999999999999999E-3</v>
      </c>
      <c r="R41" s="3436"/>
      <c r="S41" s="3106"/>
      <c r="T41" s="3107"/>
      <c r="U41" s="3107"/>
      <c r="V41" s="3107"/>
    </row>
    <row r="42" spans="1:32">
      <c r="A42" s="3390" t="s">
        <v>1866</v>
      </c>
      <c r="B42" s="3440">
        <f t="shared" si="15"/>
        <v>282.50186729015837</v>
      </c>
      <c r="C42" s="3440">
        <f t="shared" si="15"/>
        <v>238.09796174155468</v>
      </c>
      <c r="D42" s="3440">
        <f t="shared" si="1"/>
        <v>238.09796174155468</v>
      </c>
      <c r="E42" s="3440">
        <f t="shared" si="16"/>
        <v>385.33438646014054</v>
      </c>
      <c r="F42" s="3440">
        <f t="shared" si="16"/>
        <v>221.55034055567739</v>
      </c>
      <c r="G42" s="3772"/>
      <c r="H42" s="2421">
        <v>1</v>
      </c>
      <c r="I42" s="2421">
        <v>1.67</v>
      </c>
      <c r="J42" s="2421">
        <v>1.31</v>
      </c>
      <c r="K42" s="2421">
        <v>1.85</v>
      </c>
      <c r="L42" s="2422">
        <v>0.96</v>
      </c>
      <c r="N42" s="3437">
        <f t="shared" si="10"/>
        <v>1.67E-2</v>
      </c>
      <c r="O42" s="3438">
        <f t="shared" si="10"/>
        <v>1.3100000000000001E-2</v>
      </c>
      <c r="P42" s="3438">
        <f t="shared" si="10"/>
        <v>1.8500000000000003E-2</v>
      </c>
      <c r="Q42" s="3438">
        <f t="shared" si="10"/>
        <v>9.5999999999999992E-3</v>
      </c>
      <c r="R42" s="3436"/>
      <c r="S42" s="3437">
        <f>B42/B43-1</f>
        <v>1.6193767230785472E-2</v>
      </c>
      <c r="T42" s="3438">
        <f>C42/C43-1</f>
        <v>1.7512657015190891E-2</v>
      </c>
      <c r="U42" s="3438">
        <f>E42/E43-1</f>
        <v>1.6713420739157048E-2</v>
      </c>
      <c r="V42" s="3438">
        <f>F42/F43-1</f>
        <v>7.0470025258062563E-3</v>
      </c>
      <c r="AC42" s="3107"/>
      <c r="AD42" s="3107"/>
      <c r="AE42" s="3107"/>
      <c r="AF42" s="3107"/>
    </row>
    <row r="43" spans="1:32" ht="13.5" thickBot="1">
      <c r="A43" s="3390" t="s">
        <v>1867</v>
      </c>
      <c r="B43" s="3469">
        <v>278</v>
      </c>
      <c r="C43" s="3469">
        <v>234</v>
      </c>
      <c r="D43" s="3469">
        <f t="shared" si="1"/>
        <v>234</v>
      </c>
      <c r="E43" s="3469">
        <v>379</v>
      </c>
      <c r="F43" s="3470">
        <v>220</v>
      </c>
      <c r="G43" s="3763">
        <v>2012</v>
      </c>
      <c r="H43" s="3446">
        <v>4</v>
      </c>
      <c r="I43" s="3446">
        <v>0.91</v>
      </c>
      <c r="J43" s="3446">
        <v>0.68</v>
      </c>
      <c r="K43" s="3446">
        <v>0.98</v>
      </c>
      <c r="L43" s="3447">
        <v>0.9</v>
      </c>
      <c r="N43" s="3106">
        <f t="shared" si="10"/>
        <v>9.1000000000000004E-3</v>
      </c>
      <c r="O43" s="3107">
        <f t="shared" si="10"/>
        <v>6.8000000000000005E-3</v>
      </c>
      <c r="P43" s="3107">
        <f t="shared" si="10"/>
        <v>9.7999999999999997E-3</v>
      </c>
      <c r="Q43" s="3107">
        <f t="shared" si="10"/>
        <v>9.0000000000000011E-3</v>
      </c>
      <c r="R43" s="3436"/>
      <c r="S43" s="3443"/>
      <c r="T43" s="3439"/>
      <c r="U43" s="3439"/>
      <c r="V43" s="3439"/>
      <c r="AC43" s="3439"/>
      <c r="AD43" s="3439"/>
      <c r="AE43" s="3439"/>
      <c r="AF43" s="3439"/>
    </row>
    <row r="44" spans="1:32">
      <c r="A44" s="3390" t="s">
        <v>1868</v>
      </c>
      <c r="B44" s="3440">
        <f>B43/(1+N43)</f>
        <v>275.49301357645425</v>
      </c>
      <c r="C44" s="3440">
        <f>C43/(1+O43)</f>
        <v>232.41954707985698</v>
      </c>
      <c r="D44" s="3440">
        <f t="shared" si="1"/>
        <v>232.41954707985698</v>
      </c>
      <c r="E44" s="3440">
        <f t="shared" ref="E44:F46" si="17">E43/(1+P43)</f>
        <v>375.32184591008121</v>
      </c>
      <c r="F44" s="3440">
        <f t="shared" si="17"/>
        <v>218.03766105054513</v>
      </c>
      <c r="G44" s="3764"/>
      <c r="H44" s="3451">
        <v>3</v>
      </c>
      <c r="I44" s="3451">
        <v>0.09</v>
      </c>
      <c r="J44" s="3451">
        <v>0.28999999999999998</v>
      </c>
      <c r="K44" s="3451">
        <v>-0.01</v>
      </c>
      <c r="L44" s="3452">
        <v>0.57999999999999996</v>
      </c>
      <c r="N44" s="3106">
        <f t="shared" si="10"/>
        <v>8.9999999999999998E-4</v>
      </c>
      <c r="O44" s="3107">
        <f t="shared" si="10"/>
        <v>2.8999999999999998E-3</v>
      </c>
      <c r="P44" s="3107">
        <f t="shared" si="10"/>
        <v>-1E-4</v>
      </c>
      <c r="Q44" s="3107">
        <f t="shared" si="10"/>
        <v>5.7999999999999996E-3</v>
      </c>
      <c r="R44" s="3436"/>
      <c r="S44" s="3106"/>
      <c r="T44" s="3107"/>
      <c r="U44" s="3107"/>
      <c r="V44" s="3107"/>
    </row>
    <row r="45" spans="1:32">
      <c r="A45" s="3390" t="s">
        <v>1869</v>
      </c>
      <c r="B45" s="3440">
        <f>B44/(1+N44)</f>
        <v>275.24529281292263</v>
      </c>
      <c r="C45" s="3440">
        <f>C44/(1+O44)</f>
        <v>231.74747938962707</v>
      </c>
      <c r="D45" s="3440">
        <f t="shared" si="1"/>
        <v>231.74747938962707</v>
      </c>
      <c r="E45" s="3440">
        <f t="shared" si="17"/>
        <v>375.35938184826603</v>
      </c>
      <c r="F45" s="3440">
        <f t="shared" si="17"/>
        <v>216.78033510692495</v>
      </c>
      <c r="G45" s="3764"/>
      <c r="H45" s="3444">
        <v>2</v>
      </c>
      <c r="I45" s="3444">
        <v>0.02</v>
      </c>
      <c r="J45" s="3444">
        <v>0.12</v>
      </c>
      <c r="K45" s="3444">
        <v>-0.08</v>
      </c>
      <c r="L45" s="3445">
        <v>1.24</v>
      </c>
      <c r="N45" s="3106">
        <f t="shared" si="10"/>
        <v>2.0000000000000001E-4</v>
      </c>
      <c r="O45" s="3107">
        <f t="shared" si="10"/>
        <v>1.1999999999999999E-3</v>
      </c>
      <c r="P45" s="3107">
        <f t="shared" si="10"/>
        <v>-8.0000000000000004E-4</v>
      </c>
      <c r="Q45" s="3107">
        <f t="shared" si="10"/>
        <v>1.24E-2</v>
      </c>
      <c r="R45" s="3436"/>
      <c r="S45" s="3106"/>
      <c r="T45" s="3107"/>
      <c r="U45" s="3107"/>
      <c r="V45" s="3107"/>
    </row>
    <row r="46" spans="1:32" ht="13.5" thickBot="1">
      <c r="A46" s="3390" t="s">
        <v>1870</v>
      </c>
      <c r="B46" s="3440">
        <f>B45/(1+N45)</f>
        <v>275.19025476197027</v>
      </c>
      <c r="C46" s="3471">
        <v>232</v>
      </c>
      <c r="D46" s="3471">
        <f t="shared" si="1"/>
        <v>232</v>
      </c>
      <c r="E46" s="3440">
        <f t="shared" si="17"/>
        <v>375.65990977608692</v>
      </c>
      <c r="F46" s="3440">
        <f t="shared" si="17"/>
        <v>214.12518283971252</v>
      </c>
      <c r="G46" s="3765"/>
      <c r="H46" s="2421">
        <v>1</v>
      </c>
      <c r="I46" s="2421">
        <v>0.02</v>
      </c>
      <c r="J46" s="2421">
        <v>0.13</v>
      </c>
      <c r="K46" s="2421">
        <v>-0.04</v>
      </c>
      <c r="L46" s="2422">
        <v>0.46</v>
      </c>
      <c r="N46" s="3106">
        <f t="shared" si="10"/>
        <v>2.0000000000000001E-4</v>
      </c>
      <c r="O46" s="3107">
        <f t="shared" si="10"/>
        <v>1.2999999999999999E-3</v>
      </c>
      <c r="P46" s="3107">
        <f t="shared" si="10"/>
        <v>-4.0000000000000002E-4</v>
      </c>
      <c r="Q46" s="3107">
        <f t="shared" si="10"/>
        <v>4.5999999999999999E-3</v>
      </c>
      <c r="R46" s="3436"/>
      <c r="S46" s="3437">
        <f>B46/B47-1</f>
        <v>6.9183549807361189E-4</v>
      </c>
      <c r="T46" s="3438">
        <f>C46/C47-1</f>
        <v>0</v>
      </c>
      <c r="U46" s="3438">
        <f>E46/E47-1</f>
        <v>-9.0449527636460303E-4</v>
      </c>
      <c r="V46" s="3438">
        <f>F46/F47-1</f>
        <v>5.2825485432512753E-3</v>
      </c>
      <c r="AC46" s="3107"/>
      <c r="AD46" s="3107"/>
      <c r="AE46" s="3107"/>
      <c r="AF46" s="3107"/>
    </row>
    <row r="47" spans="1:32" ht="13.5" thickBot="1">
      <c r="A47" s="3390" t="s">
        <v>1871</v>
      </c>
      <c r="B47" s="2455">
        <v>275</v>
      </c>
      <c r="C47" s="2455">
        <v>232</v>
      </c>
      <c r="D47" s="2455">
        <f t="shared" si="1"/>
        <v>232</v>
      </c>
      <c r="E47" s="2455">
        <v>376</v>
      </c>
      <c r="F47" s="2456">
        <v>213</v>
      </c>
      <c r="G47" s="3763">
        <v>2011</v>
      </c>
      <c r="H47" s="3446">
        <v>4</v>
      </c>
      <c r="I47" s="3446">
        <v>-0.2</v>
      </c>
      <c r="J47" s="3446">
        <v>0.04</v>
      </c>
      <c r="K47" s="3446">
        <v>-0.34</v>
      </c>
      <c r="L47" s="3447">
        <v>0.46</v>
      </c>
      <c r="N47" s="3448">
        <f t="shared" si="10"/>
        <v>-2E-3</v>
      </c>
      <c r="O47" s="3449">
        <f t="shared" si="10"/>
        <v>4.0000000000000002E-4</v>
      </c>
      <c r="P47" s="3449">
        <f t="shared" si="10"/>
        <v>-3.4000000000000002E-3</v>
      </c>
      <c r="Q47" s="3449">
        <f t="shared" si="10"/>
        <v>4.5999999999999999E-3</v>
      </c>
      <c r="R47" s="3436"/>
      <c r="S47" s="3443"/>
      <c r="T47" s="3439"/>
      <c r="U47" s="3439"/>
      <c r="V47" s="3439"/>
      <c r="AC47" s="3439"/>
      <c r="AD47" s="3439"/>
      <c r="AE47" s="3439"/>
      <c r="AF47" s="3439"/>
    </row>
    <row r="48" spans="1:32">
      <c r="A48" s="3390" t="s">
        <v>1872</v>
      </c>
      <c r="B48" s="3440">
        <f t="shared" ref="B48:C50" si="18">B47/(1+N47)</f>
        <v>275.55110220440883</v>
      </c>
      <c r="C48" s="3440">
        <f t="shared" si="18"/>
        <v>231.90723710515795</v>
      </c>
      <c r="D48" s="3440">
        <f t="shared" si="1"/>
        <v>231.90723710515795</v>
      </c>
      <c r="E48" s="3440">
        <f t="shared" ref="E48:F50" si="19">E47/(1+P47)</f>
        <v>377.28276138872161</v>
      </c>
      <c r="F48" s="3440">
        <f t="shared" si="19"/>
        <v>212.02468644236512</v>
      </c>
      <c r="G48" s="3764">
        <v>2011</v>
      </c>
      <c r="H48" s="3451">
        <v>3</v>
      </c>
      <c r="I48" s="3451">
        <v>0.13</v>
      </c>
      <c r="J48" s="3451">
        <v>0.75</v>
      </c>
      <c r="K48" s="3451">
        <v>-0.08</v>
      </c>
      <c r="L48" s="3452">
        <v>0.53</v>
      </c>
      <c r="N48" s="3106">
        <f t="shared" si="10"/>
        <v>1.2999999999999999E-3</v>
      </c>
      <c r="O48" s="3107">
        <f t="shared" si="10"/>
        <v>7.4999999999999997E-3</v>
      </c>
      <c r="P48" s="3107">
        <f t="shared" si="10"/>
        <v>-8.0000000000000004E-4</v>
      </c>
      <c r="Q48" s="3107">
        <f t="shared" si="10"/>
        <v>5.3E-3</v>
      </c>
      <c r="R48" s="3436"/>
      <c r="S48" s="3106"/>
      <c r="T48" s="3107"/>
      <c r="U48" s="3107"/>
      <c r="V48" s="3107"/>
    </row>
    <row r="49" spans="1:32">
      <c r="A49" s="3390" t="s">
        <v>1873</v>
      </c>
      <c r="B49" s="3440">
        <f t="shared" si="18"/>
        <v>275.19335084830601</v>
      </c>
      <c r="C49" s="3440">
        <f t="shared" si="18"/>
        <v>230.18088050139744</v>
      </c>
      <c r="D49" s="3440">
        <f t="shared" si="1"/>
        <v>230.18088050139744</v>
      </c>
      <c r="E49" s="3440">
        <f t="shared" si="19"/>
        <v>377.58482925212331</v>
      </c>
      <c r="F49" s="3440">
        <f t="shared" si="19"/>
        <v>210.90687997847917</v>
      </c>
      <c r="G49" s="3764">
        <v>2011</v>
      </c>
      <c r="H49" s="3444">
        <v>2</v>
      </c>
      <c r="I49" s="3444">
        <v>-0.4</v>
      </c>
      <c r="J49" s="3444">
        <v>0.17</v>
      </c>
      <c r="K49" s="3444">
        <v>-0.57999999999999996</v>
      </c>
      <c r="L49" s="3445">
        <v>-0.2</v>
      </c>
      <c r="N49" s="3106">
        <f t="shared" si="10"/>
        <v>-4.0000000000000001E-3</v>
      </c>
      <c r="O49" s="3107">
        <f t="shared" si="10"/>
        <v>1.7000000000000001E-3</v>
      </c>
      <c r="P49" s="3107">
        <f t="shared" si="10"/>
        <v>-5.7999999999999996E-3</v>
      </c>
      <c r="Q49" s="3107">
        <f t="shared" si="10"/>
        <v>-2E-3</v>
      </c>
      <c r="R49" s="3436"/>
      <c r="S49" s="3106"/>
      <c r="T49" s="3107"/>
      <c r="U49" s="3107"/>
      <c r="V49" s="3107"/>
    </row>
    <row r="50" spans="1:32" ht="13.5" thickBot="1">
      <c r="A50" s="3390" t="s">
        <v>1874</v>
      </c>
      <c r="B50" s="3440">
        <f t="shared" si="18"/>
        <v>276.29854502841971</v>
      </c>
      <c r="C50" s="3440">
        <f t="shared" si="18"/>
        <v>229.79023709833027</v>
      </c>
      <c r="D50" s="3440">
        <f t="shared" si="1"/>
        <v>229.79023709833027</v>
      </c>
      <c r="E50" s="3440">
        <f t="shared" si="19"/>
        <v>379.78759731655936</v>
      </c>
      <c r="F50" s="3440">
        <f t="shared" si="19"/>
        <v>211.32953905659235</v>
      </c>
      <c r="G50" s="3765">
        <v>2011</v>
      </c>
      <c r="H50" s="2421">
        <v>1</v>
      </c>
      <c r="I50" s="2421">
        <v>2.65</v>
      </c>
      <c r="J50" s="2421">
        <v>3.76</v>
      </c>
      <c r="K50" s="2421">
        <v>1.89</v>
      </c>
      <c r="L50" s="2422">
        <v>7.95</v>
      </c>
      <c r="N50" s="3437">
        <f t="shared" si="10"/>
        <v>2.6499999999999999E-2</v>
      </c>
      <c r="O50" s="3438">
        <f t="shared" si="10"/>
        <v>3.7599999999999995E-2</v>
      </c>
      <c r="P50" s="3438">
        <f t="shared" si="10"/>
        <v>1.89E-2</v>
      </c>
      <c r="Q50" s="3438">
        <f t="shared" si="10"/>
        <v>7.9500000000000001E-2</v>
      </c>
      <c r="R50" s="3436"/>
      <c r="S50" s="3437">
        <f>B50/B51-1</f>
        <v>2.713213765211786E-2</v>
      </c>
      <c r="T50" s="3438">
        <f>C50/C51-1</f>
        <v>3.9774828499231862E-2</v>
      </c>
      <c r="U50" s="3438">
        <f>E50/E51-1</f>
        <v>1.8197311840641772E-2</v>
      </c>
      <c r="V50" s="3438">
        <f>F50/F51-1</f>
        <v>7.8211933962205826E-2</v>
      </c>
      <c r="AC50" s="3107"/>
      <c r="AD50" s="3107"/>
      <c r="AE50" s="3107"/>
      <c r="AF50" s="3107"/>
    </row>
    <row r="51" spans="1:32" ht="13.5" thickBot="1">
      <c r="A51" s="3390" t="s">
        <v>1875</v>
      </c>
      <c r="B51" s="2455">
        <v>269</v>
      </c>
      <c r="C51" s="2455">
        <v>221</v>
      </c>
      <c r="D51" s="2455">
        <f t="shared" si="1"/>
        <v>221</v>
      </c>
      <c r="E51" s="2455">
        <v>373</v>
      </c>
      <c r="F51" s="2456">
        <v>196</v>
      </c>
      <c r="G51" s="3763">
        <v>2010</v>
      </c>
      <c r="H51" s="3446">
        <v>4</v>
      </c>
      <c r="I51" s="3446">
        <v>5.72</v>
      </c>
      <c r="J51" s="3446">
        <v>6.57</v>
      </c>
      <c r="K51" s="3446">
        <v>5.72</v>
      </c>
      <c r="L51" s="3447">
        <v>2.72</v>
      </c>
      <c r="N51" s="3106">
        <f t="shared" si="10"/>
        <v>5.7200000000000001E-2</v>
      </c>
      <c r="O51" s="3107">
        <f t="shared" si="10"/>
        <v>6.5700000000000008E-2</v>
      </c>
      <c r="P51" s="3107">
        <f t="shared" si="10"/>
        <v>5.7200000000000001E-2</v>
      </c>
      <c r="Q51" s="3107">
        <f t="shared" si="10"/>
        <v>2.7200000000000002E-2</v>
      </c>
      <c r="R51" s="3436"/>
      <c r="S51" s="3443"/>
      <c r="T51" s="3439"/>
      <c r="U51" s="3439"/>
      <c r="V51" s="3439"/>
      <c r="AC51" s="3439"/>
      <c r="AD51" s="3439"/>
      <c r="AE51" s="3439"/>
      <c r="AF51" s="3439"/>
    </row>
    <row r="52" spans="1:32">
      <c r="A52" s="3390" t="s">
        <v>1876</v>
      </c>
      <c r="B52" s="3440">
        <f t="shared" ref="B52:C54" si="20">B51/(1+N51)</f>
        <v>254.44570563753314</v>
      </c>
      <c r="C52" s="3440">
        <f t="shared" si="20"/>
        <v>207.37543398705074</v>
      </c>
      <c r="D52" s="3440">
        <f t="shared" si="1"/>
        <v>207.37543398705074</v>
      </c>
      <c r="E52" s="3440">
        <f t="shared" ref="E52:F54" si="21">E51/(1+P51)</f>
        <v>352.81876655315932</v>
      </c>
      <c r="F52" s="3440">
        <f t="shared" si="21"/>
        <v>190.809968847352</v>
      </c>
      <c r="G52" s="3764">
        <v>2010</v>
      </c>
      <c r="H52" s="3451">
        <v>3</v>
      </c>
      <c r="I52" s="3451">
        <v>4.7300000000000004</v>
      </c>
      <c r="J52" s="3451">
        <v>3.9</v>
      </c>
      <c r="K52" s="3451">
        <v>5.03</v>
      </c>
      <c r="L52" s="3452">
        <v>4.21</v>
      </c>
      <c r="N52" s="3106">
        <f t="shared" si="10"/>
        <v>4.7300000000000002E-2</v>
      </c>
      <c r="O52" s="3107">
        <f t="shared" si="10"/>
        <v>3.9E-2</v>
      </c>
      <c r="P52" s="3107">
        <f t="shared" si="10"/>
        <v>5.0300000000000004E-2</v>
      </c>
      <c r="Q52" s="3107">
        <f t="shared" si="10"/>
        <v>4.2099999999999999E-2</v>
      </c>
      <c r="R52" s="3436"/>
      <c r="S52" s="3106"/>
      <c r="T52" s="3107"/>
      <c r="U52" s="3107"/>
      <c r="V52" s="3107"/>
    </row>
    <row r="53" spans="1:32">
      <c r="A53" s="3390" t="s">
        <v>1877</v>
      </c>
      <c r="B53" s="3440">
        <f t="shared" si="20"/>
        <v>242.95398227588385</v>
      </c>
      <c r="C53" s="3440">
        <f t="shared" si="20"/>
        <v>199.59137053614126</v>
      </c>
      <c r="D53" s="3440">
        <f t="shared" si="1"/>
        <v>199.59137053614126</v>
      </c>
      <c r="E53" s="3440">
        <f t="shared" si="21"/>
        <v>335.92189522342125</v>
      </c>
      <c r="F53" s="3440">
        <f t="shared" si="21"/>
        <v>183.10139991109489</v>
      </c>
      <c r="G53" s="3764">
        <v>2010</v>
      </c>
      <c r="H53" s="3444">
        <v>2</v>
      </c>
      <c r="I53" s="3444">
        <v>4.6900000000000004</v>
      </c>
      <c r="J53" s="3444">
        <v>3.55</v>
      </c>
      <c r="K53" s="3444">
        <v>5.07</v>
      </c>
      <c r="L53" s="3445">
        <v>4.2300000000000004</v>
      </c>
      <c r="N53" s="3106">
        <f t="shared" si="10"/>
        <v>4.6900000000000004E-2</v>
      </c>
      <c r="O53" s="3107">
        <f t="shared" si="10"/>
        <v>3.5499999999999997E-2</v>
      </c>
      <c r="P53" s="3107">
        <f t="shared" si="10"/>
        <v>5.0700000000000002E-2</v>
      </c>
      <c r="Q53" s="3107">
        <f t="shared" si="10"/>
        <v>4.2300000000000004E-2</v>
      </c>
      <c r="R53" s="3436"/>
      <c r="S53" s="3106"/>
      <c r="T53" s="3107"/>
      <c r="U53" s="3107"/>
      <c r="V53" s="3107"/>
    </row>
    <row r="54" spans="1:32" ht="13.5" thickBot="1">
      <c r="A54" s="3390" t="s">
        <v>1878</v>
      </c>
      <c r="B54" s="3440">
        <f t="shared" si="20"/>
        <v>232.06990378821649</v>
      </c>
      <c r="C54" s="3440">
        <f t="shared" si="20"/>
        <v>192.74878854286936</v>
      </c>
      <c r="D54" s="3440">
        <f t="shared" si="1"/>
        <v>192.74878854286936</v>
      </c>
      <c r="E54" s="3440">
        <f t="shared" si="21"/>
        <v>319.71247284992984</v>
      </c>
      <c r="F54" s="3440">
        <f t="shared" si="21"/>
        <v>175.67053622862409</v>
      </c>
      <c r="G54" s="3765">
        <v>2010</v>
      </c>
      <c r="H54" s="2421">
        <v>1</v>
      </c>
      <c r="I54" s="2421">
        <v>5.4</v>
      </c>
      <c r="J54" s="2421">
        <v>3.2</v>
      </c>
      <c r="K54" s="2421">
        <v>6.16</v>
      </c>
      <c r="L54" s="2422">
        <v>4.51</v>
      </c>
      <c r="N54" s="3106">
        <f t="shared" si="10"/>
        <v>5.4000000000000006E-2</v>
      </c>
      <c r="O54" s="3107">
        <f t="shared" si="10"/>
        <v>3.2000000000000001E-2</v>
      </c>
      <c r="P54" s="3107">
        <f t="shared" si="10"/>
        <v>6.1600000000000002E-2</v>
      </c>
      <c r="Q54" s="3107">
        <f t="shared" si="10"/>
        <v>4.5100000000000001E-2</v>
      </c>
      <c r="R54" s="3436"/>
      <c r="S54" s="3437">
        <f>B54/B55-1</f>
        <v>5.4863199037347599E-2</v>
      </c>
      <c r="T54" s="3438">
        <f>C54/C55-1</f>
        <v>3.0742184721226584E-2</v>
      </c>
      <c r="U54" s="3438">
        <f>E54/E55-1</f>
        <v>6.2167683886810154E-2</v>
      </c>
      <c r="V54" s="3438">
        <f>F54/F55-1</f>
        <v>4.5657953741810031E-2</v>
      </c>
      <c r="AC54" s="3107"/>
      <c r="AD54" s="3107"/>
      <c r="AE54" s="3107"/>
      <c r="AF54" s="3107"/>
    </row>
    <row r="55" spans="1:32" ht="13.5" thickBot="1">
      <c r="A55" s="3390" t="s">
        <v>1879</v>
      </c>
      <c r="B55" s="2455">
        <v>220</v>
      </c>
      <c r="C55" s="2455">
        <v>187</v>
      </c>
      <c r="D55" s="2455">
        <f t="shared" si="1"/>
        <v>187</v>
      </c>
      <c r="E55" s="2455">
        <v>301</v>
      </c>
      <c r="F55" s="2456">
        <v>168</v>
      </c>
      <c r="G55" s="3763">
        <v>2009</v>
      </c>
      <c r="H55" s="3446">
        <v>4</v>
      </c>
      <c r="I55" s="3446">
        <v>2.2999999999999998</v>
      </c>
      <c r="J55" s="3446">
        <v>1.04</v>
      </c>
      <c r="K55" s="3446">
        <v>2.84</v>
      </c>
      <c r="L55" s="3447">
        <v>0.67</v>
      </c>
      <c r="N55" s="3448">
        <f t="shared" si="10"/>
        <v>2.3E-2</v>
      </c>
      <c r="O55" s="3449">
        <f t="shared" si="10"/>
        <v>1.04E-2</v>
      </c>
      <c r="P55" s="3449">
        <f t="shared" si="10"/>
        <v>2.8399999999999998E-2</v>
      </c>
      <c r="Q55" s="3449">
        <f t="shared" si="10"/>
        <v>6.7000000000000002E-3</v>
      </c>
      <c r="R55" s="3436"/>
      <c r="S55" s="3443"/>
      <c r="T55" s="3439"/>
      <c r="U55" s="3439"/>
      <c r="V55" s="3439"/>
      <c r="AC55" s="3439"/>
      <c r="AD55" s="3439"/>
      <c r="AE55" s="3439"/>
      <c r="AF55" s="3439"/>
    </row>
    <row r="56" spans="1:32">
      <c r="A56" s="3390" t="s">
        <v>1880</v>
      </c>
      <c r="B56" s="3440">
        <f t="shared" ref="B56:C58" si="22">B55/(1+N55)</f>
        <v>215.05376344086022</v>
      </c>
      <c r="C56" s="3440">
        <f t="shared" si="22"/>
        <v>185.0752177355503</v>
      </c>
      <c r="D56" s="3440">
        <f t="shared" si="1"/>
        <v>185.0752177355503</v>
      </c>
      <c r="E56" s="3440">
        <f t="shared" ref="E56:F58" si="23">E55/(1+P55)</f>
        <v>292.68767016725008</v>
      </c>
      <c r="F56" s="3440">
        <f t="shared" si="23"/>
        <v>166.88189132810174</v>
      </c>
      <c r="G56" s="3764">
        <v>2009</v>
      </c>
      <c r="H56" s="3451">
        <v>3</v>
      </c>
      <c r="I56" s="3451">
        <v>2.1</v>
      </c>
      <c r="J56" s="3451">
        <v>1.86</v>
      </c>
      <c r="K56" s="3451">
        <v>2.29</v>
      </c>
      <c r="L56" s="3452">
        <v>0.85</v>
      </c>
      <c r="N56" s="3106">
        <f t="shared" si="10"/>
        <v>2.1000000000000001E-2</v>
      </c>
      <c r="O56" s="3107">
        <f t="shared" si="10"/>
        <v>1.8600000000000002E-2</v>
      </c>
      <c r="P56" s="3107">
        <f t="shared" si="10"/>
        <v>2.29E-2</v>
      </c>
      <c r="Q56" s="3107">
        <f t="shared" si="10"/>
        <v>8.5000000000000006E-3</v>
      </c>
      <c r="R56" s="3436"/>
      <c r="S56" s="3106"/>
      <c r="T56" s="3107"/>
      <c r="U56" s="3107"/>
      <c r="V56" s="3107"/>
    </row>
    <row r="57" spans="1:32">
      <c r="A57" s="3390" t="s">
        <v>1881</v>
      </c>
      <c r="B57" s="3440">
        <f t="shared" si="22"/>
        <v>210.630522469011</v>
      </c>
      <c r="C57" s="3440">
        <f t="shared" si="22"/>
        <v>181.69567812247232</v>
      </c>
      <c r="D57" s="3440">
        <f t="shared" si="1"/>
        <v>181.69567812247232</v>
      </c>
      <c r="E57" s="3440">
        <f t="shared" si="23"/>
        <v>286.13517466736738</v>
      </c>
      <c r="F57" s="3440">
        <f t="shared" si="23"/>
        <v>165.47535084591149</v>
      </c>
      <c r="G57" s="3764">
        <v>2009</v>
      </c>
      <c r="H57" s="3444">
        <v>2</v>
      </c>
      <c r="I57" s="3444">
        <v>0.86</v>
      </c>
      <c r="J57" s="3444">
        <v>-1.1299999999999999</v>
      </c>
      <c r="K57" s="3444">
        <v>1.79</v>
      </c>
      <c r="L57" s="3445">
        <v>-2.0699999999999998</v>
      </c>
      <c r="N57" s="3106">
        <f t="shared" si="10"/>
        <v>8.6E-3</v>
      </c>
      <c r="O57" s="3107">
        <f t="shared" si="10"/>
        <v>-1.1299999999999999E-2</v>
      </c>
      <c r="P57" s="3107">
        <f t="shared" si="10"/>
        <v>1.7899999999999999E-2</v>
      </c>
      <c r="Q57" s="3107">
        <f t="shared" si="10"/>
        <v>-2.07E-2</v>
      </c>
      <c r="R57" s="3436"/>
      <c r="S57" s="3106"/>
      <c r="T57" s="3107"/>
      <c r="U57" s="3107"/>
      <c r="V57" s="3107"/>
    </row>
    <row r="58" spans="1:32">
      <c r="A58" s="3390" t="s">
        <v>1882</v>
      </c>
      <c r="B58" s="3440">
        <f t="shared" si="22"/>
        <v>208.83454537875372</v>
      </c>
      <c r="C58" s="3440">
        <f t="shared" si="22"/>
        <v>183.77230517090351</v>
      </c>
      <c r="D58" s="3440">
        <f t="shared" si="1"/>
        <v>183.77230517090351</v>
      </c>
      <c r="E58" s="3440">
        <f t="shared" si="23"/>
        <v>281.10342338870947</v>
      </c>
      <c r="F58" s="3440">
        <f t="shared" si="23"/>
        <v>168.97309388942256</v>
      </c>
      <c r="G58" s="3765">
        <v>2009</v>
      </c>
      <c r="H58" s="2421">
        <v>1</v>
      </c>
      <c r="I58" s="2421">
        <v>-2.64</v>
      </c>
      <c r="J58" s="2421">
        <v>-2.5299999999999998</v>
      </c>
      <c r="K58" s="2421">
        <v>-3.02</v>
      </c>
      <c r="L58" s="2422">
        <v>1.52</v>
      </c>
      <c r="N58" s="3437">
        <f t="shared" si="10"/>
        <v>-2.64E-2</v>
      </c>
      <c r="O58" s="3438">
        <f t="shared" si="10"/>
        <v>-2.53E-2</v>
      </c>
      <c r="P58" s="3438">
        <f t="shared" si="10"/>
        <v>-3.0200000000000001E-2</v>
      </c>
      <c r="Q58" s="3438">
        <f t="shared" si="10"/>
        <v>1.52E-2</v>
      </c>
      <c r="R58" s="3436"/>
      <c r="S58" s="3437">
        <f>B58/B59-1</f>
        <v>-2.4137638417038754E-2</v>
      </c>
      <c r="T58" s="3438">
        <f>C58/C59-1</f>
        <v>-2.248773845264096E-2</v>
      </c>
      <c r="U58" s="3438">
        <f>E58/E59-1</f>
        <v>-2.7323794502735366E-2</v>
      </c>
      <c r="V58" s="3438">
        <f>F58/F59-1</f>
        <v>1.7910204153148035E-2</v>
      </c>
      <c r="AC58" s="3107"/>
      <c r="AD58" s="3107"/>
      <c r="AE58" s="3107"/>
      <c r="AF58" s="3107"/>
    </row>
    <row r="59" spans="1:32" ht="13.5" thickBot="1">
      <c r="A59" s="3390" t="s">
        <v>1883</v>
      </c>
      <c r="B59" s="3469">
        <v>214</v>
      </c>
      <c r="C59" s="3469">
        <v>188</v>
      </c>
      <c r="D59" s="3469">
        <f t="shared" si="1"/>
        <v>188</v>
      </c>
      <c r="E59" s="3469">
        <v>289</v>
      </c>
      <c r="F59" s="3470">
        <v>166</v>
      </c>
      <c r="G59" s="3763">
        <v>2008</v>
      </c>
      <c r="H59" s="3446">
        <v>4</v>
      </c>
      <c r="I59" s="3446">
        <v>1.73</v>
      </c>
      <c r="J59" s="3446">
        <v>0.03</v>
      </c>
      <c r="K59" s="3446">
        <v>2.59</v>
      </c>
      <c r="L59" s="3447">
        <v>-1.66</v>
      </c>
      <c r="N59" s="3106">
        <f t="shared" si="10"/>
        <v>1.7299999999999999E-2</v>
      </c>
      <c r="O59" s="3107">
        <f t="shared" si="10"/>
        <v>2.9999999999999997E-4</v>
      </c>
      <c r="P59" s="3107">
        <f t="shared" si="10"/>
        <v>2.5899999999999999E-2</v>
      </c>
      <c r="Q59" s="3107">
        <f t="shared" si="10"/>
        <v>-1.66E-2</v>
      </c>
      <c r="R59" s="3436"/>
      <c r="S59" s="3443"/>
      <c r="T59" s="3439"/>
      <c r="U59" s="3439"/>
      <c r="V59" s="3439"/>
      <c r="AC59" s="3439"/>
      <c r="AD59" s="3439"/>
      <c r="AE59" s="3439"/>
      <c r="AF59" s="3439"/>
    </row>
    <row r="60" spans="1:32">
      <c r="A60" s="3390" t="s">
        <v>1884</v>
      </c>
      <c r="B60" s="3440">
        <f t="shared" ref="B60:C62" si="24">B59/(1+N59)</f>
        <v>210.36075887152265</v>
      </c>
      <c r="C60" s="3440">
        <f t="shared" si="24"/>
        <v>187.94361691492554</v>
      </c>
      <c r="D60" s="3440">
        <f t="shared" si="1"/>
        <v>187.94361691492554</v>
      </c>
      <c r="E60" s="3440">
        <f t="shared" ref="E60:F62" si="25">E59/(1+P59)</f>
        <v>281.70386977288234</v>
      </c>
      <c r="F60" s="3440">
        <f t="shared" si="25"/>
        <v>168.80211511083994</v>
      </c>
      <c r="G60" s="3764">
        <v>2008</v>
      </c>
      <c r="H60" s="3451">
        <v>3</v>
      </c>
      <c r="I60" s="3451">
        <v>1.96</v>
      </c>
      <c r="J60" s="3451">
        <v>2.36</v>
      </c>
      <c r="K60" s="3451">
        <v>1.82</v>
      </c>
      <c r="L60" s="3452">
        <v>2.2200000000000002</v>
      </c>
      <c r="N60" s="3106">
        <f t="shared" si="10"/>
        <v>1.9599999999999999E-2</v>
      </c>
      <c r="O60" s="3107">
        <f t="shared" si="10"/>
        <v>2.3599999999999999E-2</v>
      </c>
      <c r="P60" s="3107">
        <f t="shared" si="10"/>
        <v>1.8200000000000001E-2</v>
      </c>
      <c r="Q60" s="3107">
        <f t="shared" si="10"/>
        <v>2.2200000000000001E-2</v>
      </c>
      <c r="R60" s="3436"/>
      <c r="S60" s="3106"/>
      <c r="T60" s="3107"/>
      <c r="U60" s="3107"/>
      <c r="V60" s="3107"/>
    </row>
    <row r="61" spans="1:32">
      <c r="A61" s="3390" t="s">
        <v>1885</v>
      </c>
      <c r="B61" s="3440">
        <f t="shared" si="24"/>
        <v>206.31694671589116</v>
      </c>
      <c r="C61" s="3440">
        <f t="shared" si="24"/>
        <v>183.61041121036101</v>
      </c>
      <c r="D61" s="3440">
        <f t="shared" si="1"/>
        <v>183.61041121036101</v>
      </c>
      <c r="E61" s="3440">
        <f t="shared" si="25"/>
        <v>276.66850301795557</v>
      </c>
      <c r="F61" s="3440">
        <f t="shared" si="25"/>
        <v>165.1360938278614</v>
      </c>
      <c r="G61" s="3764">
        <v>2008</v>
      </c>
      <c r="H61" s="3444">
        <v>2</v>
      </c>
      <c r="I61" s="3444">
        <v>4.93</v>
      </c>
      <c r="J61" s="3444">
        <v>7.38</v>
      </c>
      <c r="K61" s="3444">
        <v>3.98</v>
      </c>
      <c r="L61" s="3445">
        <v>6.86</v>
      </c>
      <c r="N61" s="3106">
        <f t="shared" si="10"/>
        <v>4.9299999999999997E-2</v>
      </c>
      <c r="O61" s="3107">
        <f t="shared" si="10"/>
        <v>7.3800000000000004E-2</v>
      </c>
      <c r="P61" s="3107">
        <f t="shared" si="10"/>
        <v>3.9800000000000002E-2</v>
      </c>
      <c r="Q61" s="3107">
        <f t="shared" si="10"/>
        <v>6.8600000000000008E-2</v>
      </c>
      <c r="R61" s="3436"/>
      <c r="S61" s="3106"/>
      <c r="T61" s="3107"/>
      <c r="U61" s="3107"/>
      <c r="V61" s="3107"/>
    </row>
    <row r="62" spans="1:32" s="3475" customFormat="1" ht="13.5" thickBot="1">
      <c r="A62" s="3390" t="s">
        <v>1886</v>
      </c>
      <c r="B62" s="3472">
        <f t="shared" si="24"/>
        <v>196.62341248059772</v>
      </c>
      <c r="C62" s="3472">
        <f t="shared" si="24"/>
        <v>170.99125648199012</v>
      </c>
      <c r="D62" s="3472">
        <f t="shared" si="1"/>
        <v>170.99125648199012</v>
      </c>
      <c r="E62" s="3472">
        <f t="shared" si="25"/>
        <v>266.07857570490052</v>
      </c>
      <c r="F62" s="3472">
        <f t="shared" si="25"/>
        <v>154.53499328828505</v>
      </c>
      <c r="G62" s="3765">
        <v>2008</v>
      </c>
      <c r="H62" s="3473">
        <v>1</v>
      </c>
      <c r="I62" s="3473">
        <v>4.1399999999999997</v>
      </c>
      <c r="J62" s="3473">
        <v>3.45</v>
      </c>
      <c r="K62" s="3473">
        <v>4.95</v>
      </c>
      <c r="L62" s="3474">
        <v>4.82</v>
      </c>
      <c r="N62" s="3476">
        <f t="shared" si="10"/>
        <v>4.1399999999999999E-2</v>
      </c>
      <c r="O62" s="3477">
        <f t="shared" si="10"/>
        <v>3.4500000000000003E-2</v>
      </c>
      <c r="P62" s="3477">
        <f t="shared" si="10"/>
        <v>4.9500000000000002E-2</v>
      </c>
      <c r="Q62" s="3477">
        <f t="shared" si="10"/>
        <v>4.82E-2</v>
      </c>
      <c r="R62" s="3478"/>
      <c r="S62" s="3476">
        <f>B62/B63-1</f>
        <v>4.5869215322328349E-2</v>
      </c>
      <c r="T62" s="3477">
        <f>C62/C63-1</f>
        <v>3.6310645345394743E-2</v>
      </c>
      <c r="U62" s="3477">
        <f>E62/E63-1</f>
        <v>4.7553447657088688E-2</v>
      </c>
      <c r="V62" s="3477">
        <f>F62/F63-1</f>
        <v>4.4155360055980086E-2</v>
      </c>
      <c r="AC62" s="3477"/>
      <c r="AD62" s="3477"/>
      <c r="AE62" s="3477"/>
      <c r="AF62" s="3477"/>
    </row>
    <row r="63" spans="1:32" ht="13.5" thickBot="1">
      <c r="A63" s="3390" t="s">
        <v>1887</v>
      </c>
      <c r="B63" s="2455">
        <v>188</v>
      </c>
      <c r="C63" s="2455">
        <v>165</v>
      </c>
      <c r="D63" s="2455">
        <f t="shared" si="1"/>
        <v>165</v>
      </c>
      <c r="E63" s="2455">
        <v>254</v>
      </c>
      <c r="F63" s="2456">
        <v>148</v>
      </c>
      <c r="G63" s="3763">
        <v>2007</v>
      </c>
      <c r="H63" s="3479">
        <v>4</v>
      </c>
      <c r="I63" s="3479">
        <v>5.51</v>
      </c>
      <c r="J63" s="3479">
        <v>4.8899999999999997</v>
      </c>
      <c r="K63" s="3479">
        <v>6.43</v>
      </c>
      <c r="L63" s="3480">
        <v>5.36</v>
      </c>
      <c r="N63" s="3481">
        <f t="shared" ref="N63:O66" si="26">B63/B64-1</f>
        <v>4.1339718365245526E-2</v>
      </c>
      <c r="O63" s="3482">
        <f t="shared" si="26"/>
        <v>4.0324492593776018E-2</v>
      </c>
      <c r="P63" s="3482">
        <f t="shared" ref="P63:Q66" si="27">E63/E64-1</f>
        <v>6.1625555347990968E-2</v>
      </c>
      <c r="Q63" s="3482">
        <f t="shared" si="27"/>
        <v>4.6757569250590603E-2</v>
      </c>
      <c r="R63" s="3436"/>
      <c r="S63" s="3443"/>
      <c r="T63" s="3439"/>
      <c r="U63" s="3439"/>
      <c r="V63" s="3439"/>
      <c r="AC63" s="3439"/>
      <c r="AD63" s="3439"/>
      <c r="AE63" s="3439"/>
      <c r="AF63" s="3439"/>
    </row>
    <row r="64" spans="1:32">
      <c r="A64" s="3390" t="s">
        <v>1888</v>
      </c>
      <c r="B64" s="3440">
        <f t="shared" ref="B64:C66" si="28">B65+(B$63-B$67)*I64/SUM(I$63:I$66)</f>
        <v>180.5366651097618</v>
      </c>
      <c r="C64" s="3440">
        <f t="shared" si="28"/>
        <v>158.60435967302453</v>
      </c>
      <c r="D64" s="3440">
        <f t="shared" si="1"/>
        <v>158.60435967302453</v>
      </c>
      <c r="E64" s="3440">
        <f t="shared" ref="E64:F66" si="29">E65+(E$63-E$67)*K64/SUM(K$63:K$66)</f>
        <v>239.25573260785075</v>
      </c>
      <c r="F64" s="3440">
        <f t="shared" si="29"/>
        <v>141.38899430740037</v>
      </c>
      <c r="G64" s="3764">
        <v>2007</v>
      </c>
      <c r="H64" s="3451">
        <v>3</v>
      </c>
      <c r="I64" s="3451">
        <v>8.65</v>
      </c>
      <c r="J64" s="3451">
        <v>8.06</v>
      </c>
      <c r="K64" s="3451">
        <v>9.94</v>
      </c>
      <c r="L64" s="3452">
        <v>5.8</v>
      </c>
      <c r="N64" s="3481">
        <f t="shared" si="26"/>
        <v>6.940217571740015E-2</v>
      </c>
      <c r="O64" s="3482">
        <f t="shared" si="26"/>
        <v>7.1197482471153428E-2</v>
      </c>
      <c r="P64" s="3482">
        <f t="shared" si="27"/>
        <v>0.10529679922579582</v>
      </c>
      <c r="Q64" s="3482">
        <f t="shared" si="27"/>
        <v>5.3292245059512133E-2</v>
      </c>
      <c r="R64" s="3436"/>
      <c r="S64" s="3106"/>
      <c r="T64" s="3107"/>
      <c r="U64" s="3107"/>
      <c r="V64" s="3107"/>
      <c r="AC64" s="3483"/>
      <c r="AD64" s="3483"/>
      <c r="AE64" s="3483"/>
      <c r="AF64" s="3483"/>
    </row>
    <row r="65" spans="1:32">
      <c r="A65" s="3390" t="s">
        <v>1889</v>
      </c>
      <c r="B65" s="3440">
        <f t="shared" si="28"/>
        <v>168.82017748715555</v>
      </c>
      <c r="C65" s="3440">
        <f t="shared" si="28"/>
        <v>148.06267029972753</v>
      </c>
      <c r="D65" s="3440">
        <f t="shared" si="1"/>
        <v>148.06267029972753</v>
      </c>
      <c r="E65" s="3440">
        <f t="shared" si="29"/>
        <v>216.46288379323747</v>
      </c>
      <c r="F65" s="3440">
        <f t="shared" si="29"/>
        <v>134.23529411764704</v>
      </c>
      <c r="G65" s="3764">
        <v>2007</v>
      </c>
      <c r="H65" s="3444">
        <v>2</v>
      </c>
      <c r="I65" s="3444">
        <v>3.67</v>
      </c>
      <c r="J65" s="3444">
        <v>2.3199999999999998</v>
      </c>
      <c r="K65" s="3444">
        <v>5.0199999999999996</v>
      </c>
      <c r="L65" s="3445">
        <v>6.71</v>
      </c>
      <c r="N65" s="3481">
        <f t="shared" si="26"/>
        <v>3.0339138143848032E-2</v>
      </c>
      <c r="O65" s="3482">
        <f t="shared" si="26"/>
        <v>2.0922341588790472E-2</v>
      </c>
      <c r="P65" s="3482">
        <f t="shared" si="27"/>
        <v>5.6164796592717003E-2</v>
      </c>
      <c r="Q65" s="3482">
        <f t="shared" si="27"/>
        <v>6.5704536723887319E-2</v>
      </c>
      <c r="R65" s="3436"/>
      <c r="S65" s="3106"/>
      <c r="T65" s="3107"/>
      <c r="U65" s="3107"/>
      <c r="V65" s="3107"/>
      <c r="AC65" s="3483"/>
      <c r="AD65" s="3483"/>
      <c r="AE65" s="3483"/>
      <c r="AF65" s="3483"/>
    </row>
    <row r="66" spans="1:32">
      <c r="A66" s="3390" t="s">
        <v>1890</v>
      </c>
      <c r="B66" s="3440">
        <f t="shared" si="28"/>
        <v>163.84913591779542</v>
      </c>
      <c r="C66" s="3440">
        <f t="shared" si="28"/>
        <v>145.0283378746594</v>
      </c>
      <c r="D66" s="3440">
        <f t="shared" si="1"/>
        <v>145.0283378746594</v>
      </c>
      <c r="E66" s="3440">
        <f t="shared" si="29"/>
        <v>204.95180722891567</v>
      </c>
      <c r="F66" s="3440">
        <f t="shared" si="29"/>
        <v>125.95920303605313</v>
      </c>
      <c r="G66" s="3765">
        <v>2007</v>
      </c>
      <c r="H66" s="2421">
        <v>1</v>
      </c>
      <c r="I66" s="2421">
        <v>3.58</v>
      </c>
      <c r="J66" s="2421">
        <v>3.08</v>
      </c>
      <c r="K66" s="2421">
        <v>4.34</v>
      </c>
      <c r="L66" s="2422">
        <v>3.21</v>
      </c>
      <c r="N66" s="3484">
        <f t="shared" si="26"/>
        <v>3.0497710174814063E-2</v>
      </c>
      <c r="O66" s="3485">
        <f t="shared" si="26"/>
        <v>2.8569772160704998E-2</v>
      </c>
      <c r="P66" s="3485">
        <f t="shared" si="27"/>
        <v>5.1034908866234296E-2</v>
      </c>
      <c r="Q66" s="3485">
        <f t="shared" si="27"/>
        <v>3.245248390207478E-2</v>
      </c>
      <c r="R66" s="3436"/>
      <c r="S66" s="3437">
        <f>B66/B67-1</f>
        <v>3.0497710174814063E-2</v>
      </c>
      <c r="T66" s="3438">
        <f>C66/C67-1</f>
        <v>2.8569772160704998E-2</v>
      </c>
      <c r="U66" s="3438">
        <f>E66/E67-1</f>
        <v>5.1034908866234296E-2</v>
      </c>
      <c r="V66" s="3438">
        <f>F66/F67-1</f>
        <v>3.245248390207478E-2</v>
      </c>
      <c r="AC66" s="3483"/>
      <c r="AD66" s="3483"/>
      <c r="AE66" s="3483"/>
      <c r="AF66" s="3483"/>
    </row>
    <row r="67" spans="1:32" ht="13.5" thickBot="1">
      <c r="A67" s="3390" t="s">
        <v>1891</v>
      </c>
      <c r="B67" s="3453">
        <v>159</v>
      </c>
      <c r="C67" s="3453">
        <v>141</v>
      </c>
      <c r="D67" s="3453">
        <f t="shared" si="1"/>
        <v>141</v>
      </c>
      <c r="E67" s="3453">
        <v>195</v>
      </c>
      <c r="F67" s="3454">
        <v>122</v>
      </c>
      <c r="G67" s="3763">
        <v>2006</v>
      </c>
      <c r="H67" s="3446">
        <v>4</v>
      </c>
      <c r="I67" s="3446">
        <v>3.79</v>
      </c>
      <c r="J67" s="3446">
        <v>2.21</v>
      </c>
      <c r="K67" s="3446">
        <v>5.65</v>
      </c>
      <c r="L67" s="3447">
        <v>5.41</v>
      </c>
      <c r="N67" s="3481">
        <f t="shared" ref="N67:O70" si="30">I67/SUM(I$67:I$70)*(B$67/B$71-1)</f>
        <v>7.245466462748526E-2</v>
      </c>
      <c r="O67" s="3482">
        <f t="shared" si="30"/>
        <v>2.3237230038062766E-2</v>
      </c>
      <c r="P67" s="3482">
        <f t="shared" ref="P67:Q70" si="31">K67/SUM(K$67:K$70)*(E$67/E$71-1)</f>
        <v>0.16146893866323722</v>
      </c>
      <c r="Q67" s="3482">
        <f t="shared" si="31"/>
        <v>5.0755230321793784E-2</v>
      </c>
      <c r="R67" s="3436"/>
      <c r="S67" s="3443"/>
      <c r="T67" s="3439"/>
      <c r="U67" s="3439"/>
      <c r="V67" s="3439"/>
      <c r="AC67" s="3483"/>
      <c r="AD67" s="3483"/>
      <c r="AE67" s="3483"/>
      <c r="AF67" s="3483"/>
    </row>
    <row r="68" spans="1:32">
      <c r="A68" s="3390" t="s">
        <v>1892</v>
      </c>
      <c r="B68" s="3440">
        <f t="shared" ref="B68:C70" si="32">B69+(B$67-B$71)*I68/SUM(I$67:I$70)</f>
        <v>149.00125628140702</v>
      </c>
      <c r="C68" s="3440">
        <f t="shared" si="32"/>
        <v>137.95592286501378</v>
      </c>
      <c r="D68" s="3440">
        <f t="shared" si="1"/>
        <v>137.95592286501378</v>
      </c>
      <c r="E68" s="3440">
        <f t="shared" ref="E68:F70" si="33">E69+(E$67-E$71)*K68/SUM(K$67:K$70)</f>
        <v>169.97231450719823</v>
      </c>
      <c r="F68" s="3440">
        <f t="shared" si="33"/>
        <v>116.21390374331551</v>
      </c>
      <c r="G68" s="3764">
        <v>2006</v>
      </c>
      <c r="H68" s="3451">
        <v>3</v>
      </c>
      <c r="I68" s="3451">
        <v>0.92</v>
      </c>
      <c r="J68" s="3451">
        <v>1.08</v>
      </c>
      <c r="K68" s="3451">
        <v>0.73</v>
      </c>
      <c r="L68" s="3452">
        <v>1.08</v>
      </c>
      <c r="N68" s="3481">
        <f t="shared" si="30"/>
        <v>1.7587939698492462E-2</v>
      </c>
      <c r="O68" s="3482">
        <f t="shared" si="30"/>
        <v>1.1355750425840628E-2</v>
      </c>
      <c r="P68" s="3482">
        <f t="shared" si="31"/>
        <v>2.0862358446754544E-2</v>
      </c>
      <c r="Q68" s="3482">
        <f t="shared" si="31"/>
        <v>1.0132282578103011E-2</v>
      </c>
      <c r="R68" s="3436"/>
      <c r="S68" s="3106"/>
      <c r="T68" s="3107"/>
      <c r="U68" s="3107"/>
      <c r="V68" s="3107"/>
      <c r="AC68" s="3483"/>
      <c r="AD68" s="3483"/>
      <c r="AE68" s="3483"/>
      <c r="AF68" s="3483"/>
    </row>
    <row r="69" spans="1:32">
      <c r="A69" s="3390" t="s">
        <v>1893</v>
      </c>
      <c r="B69" s="3440">
        <f t="shared" si="32"/>
        <v>146.57412060301507</v>
      </c>
      <c r="C69" s="3440">
        <f t="shared" si="32"/>
        <v>136.46831955922866</v>
      </c>
      <c r="D69" s="3440">
        <f t="shared" si="1"/>
        <v>136.46831955922866</v>
      </c>
      <c r="E69" s="3440">
        <f t="shared" si="33"/>
        <v>166.73864894795128</v>
      </c>
      <c r="F69" s="3440">
        <f t="shared" si="33"/>
        <v>115.05882352941177</v>
      </c>
      <c r="G69" s="3764">
        <v>2006</v>
      </c>
      <c r="H69" s="3444">
        <v>2</v>
      </c>
      <c r="I69" s="3444">
        <v>0.96</v>
      </c>
      <c r="J69" s="3444">
        <v>0.25</v>
      </c>
      <c r="K69" s="3444">
        <v>1.9</v>
      </c>
      <c r="L69" s="3445">
        <v>0.95</v>
      </c>
      <c r="N69" s="3481">
        <f t="shared" si="30"/>
        <v>1.8352632728861701E-2</v>
      </c>
      <c r="O69" s="3482">
        <f t="shared" si="30"/>
        <v>2.6286459319075526E-3</v>
      </c>
      <c r="P69" s="3482">
        <f t="shared" si="31"/>
        <v>5.4299289107991269E-2</v>
      </c>
      <c r="Q69" s="3482">
        <f t="shared" si="31"/>
        <v>8.9126559714794995E-3</v>
      </c>
      <c r="R69" s="3436"/>
      <c r="S69" s="3106"/>
      <c r="T69" s="3107"/>
      <c r="U69" s="3107"/>
      <c r="V69" s="3107"/>
      <c r="AC69" s="3483"/>
      <c r="AD69" s="3483"/>
      <c r="AE69" s="3483"/>
      <c r="AF69" s="3483"/>
    </row>
    <row r="70" spans="1:32">
      <c r="A70" s="3390" t="s">
        <v>1894</v>
      </c>
      <c r="B70" s="3440">
        <f t="shared" si="32"/>
        <v>144.04145728643215</v>
      </c>
      <c r="C70" s="3440">
        <f t="shared" si="32"/>
        <v>136.12396694214877</v>
      </c>
      <c r="D70" s="3440">
        <f t="shared" ref="D70:D87" si="34">C70</f>
        <v>136.12396694214877</v>
      </c>
      <c r="E70" s="3440">
        <f t="shared" si="33"/>
        <v>158.32225913621264</v>
      </c>
      <c r="F70" s="3440">
        <f t="shared" si="33"/>
        <v>114.04278074866311</v>
      </c>
      <c r="G70" s="3765">
        <v>2006</v>
      </c>
      <c r="H70" s="2421">
        <v>1</v>
      </c>
      <c r="I70" s="2421">
        <v>2.29</v>
      </c>
      <c r="J70" s="2421">
        <v>3.72</v>
      </c>
      <c r="K70" s="2421">
        <v>0.75</v>
      </c>
      <c r="L70" s="2422">
        <v>0.04</v>
      </c>
      <c r="N70" s="3484">
        <f t="shared" si="30"/>
        <v>4.3778675988638847E-2</v>
      </c>
      <c r="O70" s="3485">
        <f t="shared" si="30"/>
        <v>3.9114251466784385E-2</v>
      </c>
      <c r="P70" s="3485">
        <f t="shared" si="31"/>
        <v>2.1433929911049188E-2</v>
      </c>
      <c r="Q70" s="3485">
        <f t="shared" si="31"/>
        <v>3.7526972511492629E-4</v>
      </c>
      <c r="R70" s="3436"/>
      <c r="S70" s="3437">
        <f>B70/B71-1</f>
        <v>4.3778675988638716E-2</v>
      </c>
      <c r="T70" s="3438">
        <f>C70/C71-1</f>
        <v>3.91142514667846E-2</v>
      </c>
      <c r="U70" s="3438">
        <f>E70/E71-1</f>
        <v>2.143392991104931E-2</v>
      </c>
      <c r="V70" s="3438">
        <f>F70/F71-1</f>
        <v>3.7526972511492396E-4</v>
      </c>
      <c r="AC70" s="3483"/>
      <c r="AD70" s="3483"/>
      <c r="AE70" s="3483"/>
      <c r="AF70" s="3483"/>
    </row>
    <row r="71" spans="1:32" ht="13.5" thickBot="1">
      <c r="A71" s="3390" t="s">
        <v>1895</v>
      </c>
      <c r="B71" s="3453">
        <v>138</v>
      </c>
      <c r="C71" s="3453">
        <v>131</v>
      </c>
      <c r="D71" s="3453">
        <f t="shared" si="34"/>
        <v>131</v>
      </c>
      <c r="E71" s="3453">
        <v>155</v>
      </c>
      <c r="F71" s="3454">
        <v>114</v>
      </c>
      <c r="G71" s="3763">
        <v>2005</v>
      </c>
      <c r="H71" s="3446">
        <v>4</v>
      </c>
      <c r="I71" s="3446">
        <v>3.29</v>
      </c>
      <c r="J71" s="3446">
        <v>1.44</v>
      </c>
      <c r="K71" s="3446">
        <v>0.66</v>
      </c>
      <c r="L71" s="3447">
        <v>7.78</v>
      </c>
      <c r="N71" s="3481">
        <f t="shared" ref="N71:O74" si="35">I71/SUM(I$71:I$74)*(B$71/B$75-1)</f>
        <v>9.9404603216919935E-2</v>
      </c>
      <c r="O71" s="3482">
        <f t="shared" si="35"/>
        <v>4.7636550760861554E-2</v>
      </c>
      <c r="P71" s="3482">
        <f t="shared" ref="P71:Q74" si="36">K71/SUM(K$71:K$74)*(E$71/E$75-1)</f>
        <v>8.3756345177664976E-2</v>
      </c>
      <c r="Q71" s="3482">
        <f t="shared" si="36"/>
        <v>5.2148766661559584E-2</v>
      </c>
      <c r="R71" s="3436"/>
      <c r="S71" s="3443"/>
      <c r="T71" s="3439"/>
      <c r="U71" s="3439"/>
      <c r="V71" s="3439"/>
      <c r="AC71" s="3483"/>
      <c r="AD71" s="3483"/>
      <c r="AE71" s="3483"/>
      <c r="AF71" s="3483"/>
    </row>
    <row r="72" spans="1:32">
      <c r="A72" s="3390" t="s">
        <v>1896</v>
      </c>
      <c r="B72" s="3440">
        <f t="shared" ref="B72:C74" si="37">B73+(B$71-B$75)*I72/SUM(I$71:I$74)</f>
        <v>125.9720430107527</v>
      </c>
      <c r="C72" s="3440">
        <f t="shared" si="37"/>
        <v>125.1883408071749</v>
      </c>
      <c r="D72" s="3440">
        <f t="shared" si="34"/>
        <v>125.1883408071749</v>
      </c>
      <c r="E72" s="3440">
        <f t="shared" ref="E72:F74" si="38">E73+(E$71-E$75)*K72/SUM(K$71:K$74)</f>
        <v>144.61421319796952</v>
      </c>
      <c r="F72" s="3440">
        <f t="shared" si="38"/>
        <v>108.42008196721311</v>
      </c>
      <c r="G72" s="3764">
        <v>2005</v>
      </c>
      <c r="H72" s="3451">
        <v>3</v>
      </c>
      <c r="I72" s="3451">
        <v>0.46</v>
      </c>
      <c r="J72" s="3451">
        <v>0.32</v>
      </c>
      <c r="K72" s="3451">
        <v>0.42</v>
      </c>
      <c r="L72" s="3452">
        <v>0.64</v>
      </c>
      <c r="N72" s="3481">
        <f t="shared" si="35"/>
        <v>1.3898515951301874E-2</v>
      </c>
      <c r="O72" s="3482">
        <f t="shared" si="35"/>
        <v>1.0585900169080346E-2</v>
      </c>
      <c r="P72" s="3482">
        <f t="shared" si="36"/>
        <v>5.3299492385786795E-2</v>
      </c>
      <c r="Q72" s="3482">
        <f t="shared" si="36"/>
        <v>4.2898728359123568E-3</v>
      </c>
      <c r="R72" s="3436"/>
      <c r="S72" s="3106"/>
      <c r="T72" s="3107"/>
      <c r="U72" s="3107"/>
      <c r="V72" s="3107"/>
      <c r="AC72" s="3483"/>
      <c r="AD72" s="3483"/>
      <c r="AE72" s="3483"/>
      <c r="AF72" s="3483"/>
    </row>
    <row r="73" spans="1:32">
      <c r="A73" s="3390" t="s">
        <v>1897</v>
      </c>
      <c r="B73" s="3440">
        <f t="shared" si="37"/>
        <v>124.29032258064517</v>
      </c>
      <c r="C73" s="3440">
        <f t="shared" si="37"/>
        <v>123.8968609865471</v>
      </c>
      <c r="D73" s="3440">
        <f t="shared" si="34"/>
        <v>123.8968609865471</v>
      </c>
      <c r="E73" s="3440">
        <f t="shared" si="38"/>
        <v>138.00507614213197</v>
      </c>
      <c r="F73" s="3440">
        <f t="shared" si="38"/>
        <v>107.96106557377048</v>
      </c>
      <c r="G73" s="3764">
        <v>2005</v>
      </c>
      <c r="H73" s="3444">
        <v>2</v>
      </c>
      <c r="I73" s="3444">
        <v>0.47</v>
      </c>
      <c r="J73" s="3444">
        <v>0.1</v>
      </c>
      <c r="K73" s="3444">
        <v>0.52</v>
      </c>
      <c r="L73" s="3445">
        <v>0.79</v>
      </c>
      <c r="N73" s="3481">
        <f t="shared" si="35"/>
        <v>1.420065760241713E-2</v>
      </c>
      <c r="O73" s="3482">
        <f t="shared" si="35"/>
        <v>3.3080938028376083E-3</v>
      </c>
      <c r="P73" s="3482">
        <f t="shared" si="36"/>
        <v>6.598984771573603E-2</v>
      </c>
      <c r="Q73" s="3482">
        <f t="shared" si="36"/>
        <v>5.2953117818293153E-3</v>
      </c>
      <c r="R73" s="3436"/>
      <c r="S73" s="3106"/>
      <c r="T73" s="3107"/>
      <c r="U73" s="3107"/>
      <c r="V73" s="3107"/>
      <c r="AC73" s="3483"/>
      <c r="AD73" s="3483"/>
      <c r="AE73" s="3483"/>
      <c r="AF73" s="3483"/>
    </row>
    <row r="74" spans="1:32">
      <c r="A74" s="3390" t="s">
        <v>1898</v>
      </c>
      <c r="B74" s="3440">
        <f t="shared" si="37"/>
        <v>122.57204301075269</v>
      </c>
      <c r="C74" s="3440">
        <f t="shared" si="37"/>
        <v>123.4932735426009</v>
      </c>
      <c r="D74" s="3440">
        <f t="shared" si="34"/>
        <v>123.4932735426009</v>
      </c>
      <c r="E74" s="3440">
        <f t="shared" si="38"/>
        <v>129.82233502538071</v>
      </c>
      <c r="F74" s="3440">
        <f t="shared" si="38"/>
        <v>107.39446721311475</v>
      </c>
      <c r="G74" s="3765">
        <v>2005</v>
      </c>
      <c r="H74" s="2421">
        <v>1</v>
      </c>
      <c r="I74" s="2421">
        <v>0.43</v>
      </c>
      <c r="J74" s="2421">
        <v>0.37</v>
      </c>
      <c r="K74" s="2421">
        <v>0.37</v>
      </c>
      <c r="L74" s="2422">
        <v>0.55000000000000004</v>
      </c>
      <c r="N74" s="3484">
        <f t="shared" si="35"/>
        <v>1.2992090997956099E-2</v>
      </c>
      <c r="O74" s="3485">
        <f t="shared" si="35"/>
        <v>1.2239947070499151E-2</v>
      </c>
      <c r="P74" s="3485">
        <f t="shared" si="36"/>
        <v>4.6954314720812178E-2</v>
      </c>
      <c r="Q74" s="3485">
        <f t="shared" si="36"/>
        <v>3.6866094683621815E-3</v>
      </c>
      <c r="R74" s="3436"/>
      <c r="S74" s="3437">
        <f>B74/B75-1</f>
        <v>1.2992090997956174E-2</v>
      </c>
      <c r="T74" s="3438">
        <f>C74/C75-1</f>
        <v>1.2239947070499246E-2</v>
      </c>
      <c r="U74" s="3438">
        <f>E74/E75-1</f>
        <v>4.695431472081224E-2</v>
      </c>
      <c r="V74" s="3438">
        <f>F74/F75-1</f>
        <v>3.6866094683620787E-3</v>
      </c>
      <c r="AC74" s="3483"/>
      <c r="AD74" s="3483"/>
      <c r="AE74" s="3483"/>
      <c r="AF74" s="3483"/>
    </row>
    <row r="75" spans="1:32" ht="13.5" thickBot="1">
      <c r="A75" s="3390" t="s">
        <v>1899</v>
      </c>
      <c r="B75" s="3469">
        <v>121</v>
      </c>
      <c r="C75" s="3469">
        <v>122</v>
      </c>
      <c r="D75" s="3469">
        <f t="shared" si="34"/>
        <v>122</v>
      </c>
      <c r="E75" s="3469">
        <v>124</v>
      </c>
      <c r="F75" s="3470">
        <v>107</v>
      </c>
      <c r="G75" s="3763">
        <v>2004</v>
      </c>
      <c r="H75" s="3446">
        <v>4</v>
      </c>
      <c r="I75" s="3446">
        <v>0.33</v>
      </c>
      <c r="J75" s="3446">
        <v>0.5</v>
      </c>
      <c r="K75" s="3446">
        <v>0.5</v>
      </c>
      <c r="L75" s="3447">
        <v>0</v>
      </c>
      <c r="N75" s="3481">
        <f t="shared" ref="N75:O78" si="39">I75/SUM(I$75:I$78)*(B$75/B$79-1)</f>
        <v>1.3391770148526898E-2</v>
      </c>
      <c r="O75" s="3482">
        <f t="shared" si="39"/>
        <v>1.063264221158958E-2</v>
      </c>
      <c r="P75" s="3482">
        <f t="shared" ref="P75:Q78" si="40">K75/SUM(K$75:K$78)*(E$75/E$79-1)</f>
        <v>2.2244466688911134E-2</v>
      </c>
      <c r="Q75" s="3482">
        <f t="shared" si="40"/>
        <v>0</v>
      </c>
      <c r="R75" s="3436"/>
      <c r="S75" s="3443"/>
      <c r="T75" s="3439"/>
      <c r="U75" s="3439"/>
      <c r="V75" s="3439"/>
      <c r="AC75" s="3483"/>
      <c r="AD75" s="3483"/>
      <c r="AE75" s="3483"/>
      <c r="AF75" s="3483"/>
    </row>
    <row r="76" spans="1:32">
      <c r="A76" s="3390" t="s">
        <v>1900</v>
      </c>
      <c r="B76" s="3440">
        <f t="shared" ref="B76:C78" si="41">B77+(B$75-B$79)*I76/SUM(I$75:I$78)</f>
        <v>119.51351351351352</v>
      </c>
      <c r="C76" s="3440">
        <f t="shared" si="41"/>
        <v>120.7878787878788</v>
      </c>
      <c r="D76" s="3440">
        <f t="shared" si="34"/>
        <v>120.7878787878788</v>
      </c>
      <c r="E76" s="3440">
        <f t="shared" ref="E76:F78" si="42">E77+(E$75-E$79)*K76/SUM(K$75:K$78)</f>
        <v>121.5975975975976</v>
      </c>
      <c r="F76" s="3440">
        <f t="shared" si="42"/>
        <v>107</v>
      </c>
      <c r="G76" s="3764">
        <v>2004</v>
      </c>
      <c r="H76" s="3451">
        <v>3</v>
      </c>
      <c r="I76" s="3451">
        <v>0.56000000000000005</v>
      </c>
      <c r="J76" s="3451">
        <v>0.8</v>
      </c>
      <c r="K76" s="3451">
        <v>0.83</v>
      </c>
      <c r="L76" s="3452">
        <v>0.06</v>
      </c>
      <c r="N76" s="3481">
        <f t="shared" si="39"/>
        <v>2.2725428130833527E-2</v>
      </c>
      <c r="O76" s="3482">
        <f t="shared" si="39"/>
        <v>1.7012227538543329E-2</v>
      </c>
      <c r="P76" s="3482">
        <f t="shared" si="40"/>
        <v>3.6925814703592477E-2</v>
      </c>
      <c r="Q76" s="3482">
        <f t="shared" si="40"/>
        <v>2.8846153846153744E-2</v>
      </c>
      <c r="R76" s="3436"/>
      <c r="S76" s="3106"/>
      <c r="T76" s="3107"/>
      <c r="U76" s="3107"/>
      <c r="V76" s="3107"/>
      <c r="AC76" s="3483"/>
      <c r="AD76" s="3483"/>
      <c r="AE76" s="3483"/>
      <c r="AF76" s="3483"/>
    </row>
    <row r="77" spans="1:32">
      <c r="A77" s="3390" t="s">
        <v>1901</v>
      </c>
      <c r="B77" s="3440">
        <f t="shared" si="41"/>
        <v>116.99099099099099</v>
      </c>
      <c r="C77" s="3440">
        <f t="shared" si="41"/>
        <v>118.84848484848486</v>
      </c>
      <c r="D77" s="3440">
        <f t="shared" si="34"/>
        <v>118.84848484848486</v>
      </c>
      <c r="E77" s="3440">
        <f t="shared" si="42"/>
        <v>117.60960960960961</v>
      </c>
      <c r="F77" s="3440">
        <f t="shared" si="42"/>
        <v>104</v>
      </c>
      <c r="G77" s="3764">
        <v>2004</v>
      </c>
      <c r="H77" s="3444">
        <v>2</v>
      </c>
      <c r="I77" s="3444">
        <v>1</v>
      </c>
      <c r="J77" s="3444">
        <v>1.5</v>
      </c>
      <c r="K77" s="3444">
        <v>1.5</v>
      </c>
      <c r="L77" s="3445">
        <v>0</v>
      </c>
      <c r="N77" s="3481">
        <f t="shared" si="39"/>
        <v>4.0581121662202721E-2</v>
      </c>
      <c r="O77" s="3482">
        <f t="shared" si="39"/>
        <v>3.1897926634768738E-2</v>
      </c>
      <c r="P77" s="3482">
        <f t="shared" si="40"/>
        <v>6.6733400066733395E-2</v>
      </c>
      <c r="Q77" s="3482">
        <f t="shared" si="40"/>
        <v>0</v>
      </c>
      <c r="R77" s="3436"/>
      <c r="S77" s="3106"/>
      <c r="T77" s="3107"/>
      <c r="U77" s="3107"/>
      <c r="V77" s="3107"/>
      <c r="AC77" s="3483"/>
      <c r="AD77" s="3483"/>
      <c r="AE77" s="3483"/>
      <c r="AF77" s="3483"/>
    </row>
    <row r="78" spans="1:32" s="3475" customFormat="1" ht="13.5" thickBot="1">
      <c r="A78" s="3390" t="s">
        <v>1902</v>
      </c>
      <c r="B78" s="3472">
        <f t="shared" si="41"/>
        <v>112.48648648648648</v>
      </c>
      <c r="C78" s="3472">
        <f t="shared" si="41"/>
        <v>115.21212121212122</v>
      </c>
      <c r="D78" s="3472">
        <f t="shared" si="34"/>
        <v>115.21212121212122</v>
      </c>
      <c r="E78" s="3472">
        <f t="shared" si="42"/>
        <v>110.4024024024024</v>
      </c>
      <c r="F78" s="3472">
        <f t="shared" si="42"/>
        <v>104</v>
      </c>
      <c r="G78" s="3765">
        <v>2004</v>
      </c>
      <c r="H78" s="3473">
        <v>1</v>
      </c>
      <c r="I78" s="3473">
        <v>0.33</v>
      </c>
      <c r="J78" s="3473">
        <v>0.5</v>
      </c>
      <c r="K78" s="3473">
        <v>0.5</v>
      </c>
      <c r="L78" s="3474">
        <v>0</v>
      </c>
      <c r="N78" s="3486">
        <f t="shared" si="39"/>
        <v>1.3391770148526898E-2</v>
      </c>
      <c r="O78" s="3487">
        <f t="shared" si="39"/>
        <v>1.063264221158958E-2</v>
      </c>
      <c r="P78" s="3487">
        <f t="shared" si="40"/>
        <v>2.2244466688911134E-2</v>
      </c>
      <c r="Q78" s="3487">
        <f t="shared" si="40"/>
        <v>0</v>
      </c>
      <c r="R78" s="3478"/>
      <c r="S78" s="3476">
        <f>B78/B79-1</f>
        <v>1.3391770148526883E-2</v>
      </c>
      <c r="T78" s="3477">
        <f>C78/C79-1</f>
        <v>1.063264221158966E-2</v>
      </c>
      <c r="U78" s="3477">
        <f>E78/E79-1</f>
        <v>2.2244466688911224E-2</v>
      </c>
      <c r="V78" s="3477">
        <f>F78/F79-1</f>
        <v>0</v>
      </c>
      <c r="AC78" s="3488"/>
      <c r="AD78" s="3488"/>
      <c r="AE78" s="3488"/>
      <c r="AF78" s="3488"/>
    </row>
    <row r="79" spans="1:32" ht="13.5" thickBot="1">
      <c r="A79" s="3390" t="s">
        <v>1903</v>
      </c>
      <c r="B79" s="3489">
        <v>111</v>
      </c>
      <c r="C79" s="3489">
        <v>114</v>
      </c>
      <c r="D79" s="3489">
        <f t="shared" si="34"/>
        <v>114</v>
      </c>
      <c r="E79" s="3489">
        <v>108</v>
      </c>
      <c r="F79" s="3490">
        <v>104</v>
      </c>
      <c r="G79" s="3763">
        <v>2003</v>
      </c>
      <c r="H79" s="3479">
        <v>4</v>
      </c>
      <c r="I79" s="3491"/>
      <c r="J79" s="3491"/>
      <c r="K79" s="3491"/>
      <c r="L79" s="3491"/>
      <c r="N79" s="3492"/>
      <c r="O79" s="3491"/>
      <c r="P79" s="3491"/>
      <c r="Q79" s="3491"/>
      <c r="S79" s="3492"/>
      <c r="T79" s="3491"/>
      <c r="U79" s="3491"/>
      <c r="V79" s="3491"/>
      <c r="AC79" s="3483"/>
      <c r="AD79" s="3483"/>
      <c r="AE79" s="3483"/>
      <c r="AF79" s="3483"/>
    </row>
    <row r="80" spans="1:32">
      <c r="A80" s="3390" t="s">
        <v>1904</v>
      </c>
      <c r="B80" s="3493">
        <f t="shared" ref="B80:C82" si="43">B81+(B$79-B$83)/4</f>
        <v>109.75</v>
      </c>
      <c r="C80" s="3493">
        <f t="shared" si="43"/>
        <v>112.25</v>
      </c>
      <c r="D80" s="3493">
        <f t="shared" si="34"/>
        <v>112.25</v>
      </c>
      <c r="E80" s="3493">
        <f t="shared" ref="E80:F82" si="44">E81+(E$79-E$83)/4</f>
        <v>107.25</v>
      </c>
      <c r="F80" s="3493">
        <f t="shared" si="44"/>
        <v>103.5</v>
      </c>
      <c r="G80" s="3764">
        <v>2003</v>
      </c>
      <c r="H80" s="3451">
        <v>3</v>
      </c>
      <c r="I80" s="3491"/>
      <c r="J80" s="3491"/>
      <c r="K80" s="3491"/>
      <c r="L80" s="3491"/>
      <c r="AC80" s="3483"/>
      <c r="AD80" s="3483"/>
      <c r="AE80" s="3483"/>
      <c r="AF80" s="3483"/>
    </row>
    <row r="81" spans="1:32">
      <c r="A81" s="3390" t="s">
        <v>1905</v>
      </c>
      <c r="B81" s="3493">
        <f t="shared" si="43"/>
        <v>108.5</v>
      </c>
      <c r="C81" s="3493">
        <f t="shared" si="43"/>
        <v>110.5</v>
      </c>
      <c r="D81" s="3493">
        <f t="shared" si="34"/>
        <v>110.5</v>
      </c>
      <c r="E81" s="3493">
        <f t="shared" si="44"/>
        <v>106.5</v>
      </c>
      <c r="F81" s="3493">
        <f t="shared" si="44"/>
        <v>103</v>
      </c>
      <c r="G81" s="3764">
        <v>2003</v>
      </c>
      <c r="H81" s="3444">
        <v>2</v>
      </c>
      <c r="I81" s="3491"/>
      <c r="J81" s="3491"/>
      <c r="K81" s="3491"/>
      <c r="L81" s="3491"/>
      <c r="AC81" s="3483"/>
      <c r="AD81" s="3483"/>
      <c r="AE81" s="3483"/>
      <c r="AF81" s="3483"/>
    </row>
    <row r="82" spans="1:32" ht="13.5" thickBot="1">
      <c r="A82" s="3390" t="s">
        <v>1906</v>
      </c>
      <c r="B82" s="3493">
        <f t="shared" si="43"/>
        <v>107.25</v>
      </c>
      <c r="C82" s="3493">
        <f t="shared" si="43"/>
        <v>108.75</v>
      </c>
      <c r="D82" s="3493">
        <f t="shared" si="34"/>
        <v>108.75</v>
      </c>
      <c r="E82" s="3493">
        <f t="shared" si="44"/>
        <v>105.75</v>
      </c>
      <c r="F82" s="3493">
        <f t="shared" si="44"/>
        <v>102.5</v>
      </c>
      <c r="G82" s="3765">
        <v>2003</v>
      </c>
      <c r="H82" s="3494">
        <v>1</v>
      </c>
      <c r="I82" s="3491"/>
      <c r="J82" s="3491"/>
      <c r="K82" s="3491"/>
      <c r="L82" s="3491"/>
      <c r="S82" s="3106"/>
      <c r="T82" s="3107"/>
      <c r="U82" s="3107"/>
      <c r="AC82" s="3483"/>
      <c r="AD82" s="3483"/>
      <c r="AE82" s="3483"/>
      <c r="AF82" s="3483"/>
    </row>
    <row r="83" spans="1:32" ht="13.5" thickBot="1">
      <c r="A83" s="3390" t="s">
        <v>1907</v>
      </c>
      <c r="B83" s="3495">
        <v>106</v>
      </c>
      <c r="C83" s="3495">
        <v>107</v>
      </c>
      <c r="D83" s="3495">
        <f t="shared" si="34"/>
        <v>107</v>
      </c>
      <c r="E83" s="3495">
        <v>105</v>
      </c>
      <c r="F83" s="3496">
        <v>102</v>
      </c>
      <c r="G83" s="3763">
        <v>2002</v>
      </c>
      <c r="H83" s="3446">
        <v>4</v>
      </c>
      <c r="I83" s="3491"/>
      <c r="J83" s="3491"/>
      <c r="K83" s="3491"/>
      <c r="L83" s="3491"/>
      <c r="N83" s="3492"/>
      <c r="O83" s="3491"/>
      <c r="P83" s="3491"/>
      <c r="Q83" s="3491"/>
      <c r="S83" s="3492"/>
      <c r="T83" s="3491"/>
      <c r="U83" s="3491"/>
      <c r="V83" s="3491"/>
      <c r="AC83" s="3483"/>
      <c r="AD83" s="3483"/>
      <c r="AE83" s="3483"/>
      <c r="AF83" s="3483"/>
    </row>
    <row r="84" spans="1:32">
      <c r="A84" s="3390" t="s">
        <v>1908</v>
      </c>
      <c r="B84" s="3493">
        <f t="shared" ref="B84:C86" si="45">B85+(B$83-B$87)/4</f>
        <v>105</v>
      </c>
      <c r="C84" s="3493">
        <f t="shared" si="45"/>
        <v>106</v>
      </c>
      <c r="D84" s="3493">
        <f t="shared" si="34"/>
        <v>106</v>
      </c>
      <c r="E84" s="3493">
        <f t="shared" ref="E84:F86" si="46">E85+(E$83-E$87)/4</f>
        <v>104.5</v>
      </c>
      <c r="F84" s="3493">
        <f t="shared" si="46"/>
        <v>101.5</v>
      </c>
      <c r="G84" s="3764">
        <v>2002</v>
      </c>
      <c r="H84" s="3451">
        <v>3</v>
      </c>
      <c r="I84" s="3491"/>
      <c r="J84" s="3491"/>
      <c r="K84" s="3491"/>
      <c r="L84" s="3491"/>
      <c r="AC84" s="3483"/>
      <c r="AD84" s="3483"/>
      <c r="AE84" s="3483"/>
      <c r="AF84" s="3483"/>
    </row>
    <row r="85" spans="1:32">
      <c r="A85" s="3390" t="s">
        <v>1909</v>
      </c>
      <c r="B85" s="3493">
        <f t="shared" si="45"/>
        <v>104</v>
      </c>
      <c r="C85" s="3493">
        <f t="shared" si="45"/>
        <v>105</v>
      </c>
      <c r="D85" s="3493">
        <f t="shared" si="34"/>
        <v>105</v>
      </c>
      <c r="E85" s="3493">
        <f t="shared" si="46"/>
        <v>104</v>
      </c>
      <c r="F85" s="3493">
        <f t="shared" si="46"/>
        <v>101</v>
      </c>
      <c r="G85" s="3764">
        <v>2002</v>
      </c>
      <c r="H85" s="3444">
        <v>2</v>
      </c>
      <c r="I85" s="3491"/>
      <c r="J85" s="3491"/>
      <c r="K85" s="3491"/>
      <c r="L85" s="3491"/>
      <c r="AC85" s="3483"/>
      <c r="AD85" s="3483"/>
      <c r="AE85" s="3483"/>
      <c r="AF85" s="3483"/>
    </row>
    <row r="86" spans="1:32" s="3461" customFormat="1" ht="13.5" thickBot="1">
      <c r="A86" s="3457" t="s">
        <v>1910</v>
      </c>
      <c r="B86" s="3464">
        <f t="shared" si="45"/>
        <v>103</v>
      </c>
      <c r="C86" s="3464">
        <f t="shared" si="45"/>
        <v>104</v>
      </c>
      <c r="D86" s="3464">
        <f t="shared" si="34"/>
        <v>104</v>
      </c>
      <c r="E86" s="3464">
        <f t="shared" si="46"/>
        <v>103.5</v>
      </c>
      <c r="F86" s="3464">
        <f t="shared" si="46"/>
        <v>100.5</v>
      </c>
      <c r="G86" s="3765">
        <v>2002</v>
      </c>
      <c r="H86" s="3497">
        <v>1</v>
      </c>
      <c r="I86" s="3498"/>
      <c r="J86" s="3498"/>
      <c r="K86" s="3498"/>
      <c r="L86" s="3498"/>
      <c r="N86" s="3499"/>
      <c r="S86" s="3499"/>
      <c r="AC86" s="3500"/>
      <c r="AD86" s="3500"/>
      <c r="AE86" s="3500"/>
      <c r="AF86" s="3500"/>
    </row>
    <row r="87" spans="1:32" ht="13.5" thickBot="1">
      <c r="B87" s="3501">
        <v>102</v>
      </c>
      <c r="C87" s="3502">
        <v>103</v>
      </c>
      <c r="D87" s="3502">
        <f t="shared" si="34"/>
        <v>103</v>
      </c>
      <c r="E87" s="3502">
        <v>103</v>
      </c>
      <c r="F87" s="3503">
        <v>100</v>
      </c>
      <c r="I87" s="3491"/>
      <c r="J87" s="3491"/>
      <c r="K87" s="3491"/>
      <c r="L87" s="3491"/>
      <c r="N87" s="3492"/>
      <c r="O87" s="3491"/>
      <c r="P87" s="3491"/>
      <c r="Q87" s="3491"/>
      <c r="S87" s="3492"/>
      <c r="T87" s="3491"/>
      <c r="U87" s="3491"/>
      <c r="V87" s="3491"/>
      <c r="AC87" s="3439"/>
      <c r="AD87" s="3439"/>
      <c r="AE87" s="3439"/>
      <c r="AF87" s="3439"/>
    </row>
    <row r="89" spans="1:32" s="3505" customFormat="1">
      <c r="A89" s="3504" t="s">
        <v>1911</v>
      </c>
      <c r="G89" s="3506"/>
      <c r="N89" s="3506"/>
      <c r="S89" s="3506"/>
    </row>
    <row r="90" spans="1:32" s="3505" customFormat="1">
      <c r="A90" s="3505" t="s">
        <v>1912</v>
      </c>
      <c r="G90" s="3506"/>
      <c r="N90" s="3506"/>
      <c r="S90" s="3506"/>
    </row>
    <row r="91" spans="1:32" s="3505" customFormat="1">
      <c r="A91" s="3505" t="s">
        <v>1913</v>
      </c>
      <c r="G91" s="3506"/>
      <c r="I91" s="3507"/>
      <c r="J91" s="3507"/>
      <c r="K91" s="3507"/>
      <c r="L91" s="3507"/>
      <c r="N91" s="3508"/>
      <c r="O91" s="3507"/>
      <c r="P91" s="3507"/>
      <c r="Q91" s="3507"/>
      <c r="S91" s="3508"/>
      <c r="T91" s="3507"/>
      <c r="U91" s="3507"/>
      <c r="V91" s="3507"/>
    </row>
    <row r="92" spans="1:32" s="3505" customFormat="1">
      <c r="A92" s="3505" t="s">
        <v>1914</v>
      </c>
      <c r="G92" s="3506"/>
      <c r="N92" s="3506"/>
      <c r="S92" s="3506"/>
    </row>
    <row r="99" spans="14:29" ht="13.5" thickBot="1"/>
    <row r="100" spans="14:29" ht="24">
      <c r="S100" s="3509" t="s">
        <v>1915</v>
      </c>
      <c r="T100" s="3451" t="s">
        <v>1916</v>
      </c>
      <c r="U100" s="3451" t="s">
        <v>1917</v>
      </c>
      <c r="V100" s="3451" t="s">
        <v>1918</v>
      </c>
      <c r="W100" s="3452" t="s">
        <v>3339</v>
      </c>
      <c r="X100" s="3510">
        <v>2006</v>
      </c>
      <c r="Y100" s="3442">
        <v>4</v>
      </c>
      <c r="Z100" s="3442">
        <v>3.79</v>
      </c>
      <c r="AA100" s="3442">
        <v>2.21</v>
      </c>
      <c r="AB100" s="3442">
        <v>5.65</v>
      </c>
      <c r="AC100" s="3441">
        <v>5.41</v>
      </c>
    </row>
    <row r="101" spans="14:29">
      <c r="N101" s="3443"/>
      <c r="O101" s="3439"/>
      <c r="P101" s="3439"/>
      <c r="Q101" s="3439"/>
      <c r="S101" s="3511">
        <v>2006</v>
      </c>
      <c r="T101" s="3444">
        <v>15.1</v>
      </c>
      <c r="U101" s="3444">
        <v>7.43</v>
      </c>
      <c r="V101" s="3444">
        <v>26.26</v>
      </c>
      <c r="W101" s="3445">
        <v>7.6</v>
      </c>
      <c r="X101" s="3512">
        <v>2006</v>
      </c>
      <c r="Y101" s="2421">
        <v>3</v>
      </c>
      <c r="Z101" s="2421">
        <v>0.92</v>
      </c>
      <c r="AA101" s="2421">
        <v>1.08</v>
      </c>
      <c r="AB101" s="2421">
        <v>0.73</v>
      </c>
      <c r="AC101" s="2422">
        <v>1.08</v>
      </c>
    </row>
    <row r="102" spans="14:29">
      <c r="N102" s="3443"/>
      <c r="O102" s="3439"/>
      <c r="P102" s="3439"/>
      <c r="Q102" s="3439"/>
      <c r="S102" s="3513">
        <v>2005</v>
      </c>
      <c r="T102" s="2421">
        <v>13.9</v>
      </c>
      <c r="U102" s="2421">
        <v>7.49</v>
      </c>
      <c r="V102" s="2421">
        <v>24.92</v>
      </c>
      <c r="W102" s="2422">
        <v>6.51</v>
      </c>
      <c r="X102" s="3514">
        <v>2006</v>
      </c>
      <c r="Y102" s="3444">
        <v>2</v>
      </c>
      <c r="Z102" s="3444">
        <v>0.96</v>
      </c>
      <c r="AA102" s="3444">
        <v>0.25</v>
      </c>
      <c r="AB102" s="3444">
        <v>1.9</v>
      </c>
      <c r="AC102" s="3445">
        <v>0.95</v>
      </c>
    </row>
    <row r="103" spans="14:29" ht="13.5" thickBot="1">
      <c r="N103" s="3443"/>
      <c r="O103" s="3439"/>
      <c r="P103" s="3439"/>
      <c r="Q103" s="3439"/>
      <c r="S103" s="3511">
        <v>2004</v>
      </c>
      <c r="T103" s="3444">
        <v>9.48</v>
      </c>
      <c r="U103" s="3444">
        <v>7.2</v>
      </c>
      <c r="V103" s="3444">
        <v>14.68</v>
      </c>
      <c r="W103" s="3445">
        <v>2.2000000000000002</v>
      </c>
      <c r="X103" s="3515">
        <v>2006</v>
      </c>
      <c r="Y103" s="3494">
        <v>1</v>
      </c>
      <c r="Z103" s="3494">
        <v>2.29</v>
      </c>
      <c r="AA103" s="3494">
        <v>3.72</v>
      </c>
      <c r="AB103" s="3494">
        <v>0.75</v>
      </c>
      <c r="AC103" s="3516">
        <v>0.04</v>
      </c>
    </row>
    <row r="104" spans="14:29">
      <c r="N104" s="3443"/>
      <c r="O104" s="3439"/>
      <c r="P104" s="3439"/>
      <c r="Q104" s="3439"/>
      <c r="S104" s="3513">
        <v>2003</v>
      </c>
      <c r="T104" s="2421">
        <v>4.5</v>
      </c>
      <c r="U104" s="2421">
        <v>6.12</v>
      </c>
      <c r="V104" s="2421">
        <v>2.34</v>
      </c>
      <c r="W104" s="2422">
        <v>2.36</v>
      </c>
    </row>
    <row r="105" spans="14:29" ht="13.5" thickBot="1">
      <c r="N105" s="3443"/>
      <c r="O105" s="3439"/>
      <c r="P105" s="3439"/>
      <c r="Q105" s="3439"/>
      <c r="S105" s="3517">
        <v>2002</v>
      </c>
      <c r="T105" s="3446">
        <v>3.59</v>
      </c>
      <c r="U105" s="3446">
        <v>4.54</v>
      </c>
      <c r="V105" s="3446">
        <v>2.5499999999999998</v>
      </c>
      <c r="W105" s="3447">
        <v>1.52</v>
      </c>
    </row>
    <row r="106" spans="14:29">
      <c r="N106" s="3443"/>
      <c r="O106" s="3439"/>
      <c r="P106" s="3439"/>
      <c r="Q106" s="3439"/>
    </row>
    <row r="107" spans="14:29">
      <c r="N107" s="3443"/>
      <c r="O107" s="3439"/>
      <c r="P107" s="3439"/>
      <c r="Q107" s="3439"/>
    </row>
    <row r="108" spans="14:29">
      <c r="N108" s="3443"/>
      <c r="O108" s="3439"/>
      <c r="P108" s="3439"/>
      <c r="Q108" s="3439"/>
    </row>
    <row r="109" spans="14:29">
      <c r="N109" s="3443"/>
      <c r="O109" s="3439"/>
      <c r="P109" s="3439"/>
      <c r="Q109" s="3439"/>
    </row>
    <row r="110" spans="14:29">
      <c r="N110" s="3443"/>
      <c r="O110" s="3439"/>
      <c r="P110" s="3439"/>
      <c r="Q110" s="3439"/>
    </row>
    <row r="111" spans="14:29">
      <c r="N111" s="3443"/>
      <c r="O111" s="3439"/>
      <c r="P111" s="3439"/>
      <c r="Q111" s="3439"/>
    </row>
    <row r="112" spans="14:29">
      <c r="N112" s="3443"/>
      <c r="O112" s="3439"/>
      <c r="P112" s="3439"/>
      <c r="Q112" s="3439"/>
    </row>
    <row r="113" spans="14:17">
      <c r="N113" s="3443"/>
      <c r="O113" s="3439"/>
      <c r="P113" s="3439"/>
      <c r="Q113" s="3439"/>
    </row>
    <row r="114" spans="14:17">
      <c r="N114" s="3443"/>
      <c r="O114" s="3439"/>
      <c r="P114" s="3439"/>
      <c r="Q114" s="3439"/>
    </row>
    <row r="115" spans="14:17">
      <c r="N115" s="3443"/>
      <c r="O115" s="3439"/>
      <c r="P115" s="3439"/>
      <c r="Q115" s="3439"/>
    </row>
    <row r="116" spans="14:17">
      <c r="N116" s="3443"/>
      <c r="O116" s="3439"/>
      <c r="P116" s="3439"/>
      <c r="Q116" s="3439"/>
    </row>
    <row r="117" spans="14:17">
      <c r="N117" s="3443"/>
      <c r="O117" s="3439"/>
      <c r="P117" s="3439"/>
      <c r="Q117" s="3439"/>
    </row>
    <row r="118" spans="14:17">
      <c r="N118" s="3443"/>
      <c r="O118" s="3439"/>
      <c r="P118" s="3439"/>
      <c r="Q118" s="3439"/>
    </row>
    <row r="119" spans="14:17">
      <c r="N119" s="3443"/>
      <c r="O119" s="3439"/>
      <c r="P119" s="3439"/>
      <c r="Q119" s="3439"/>
    </row>
    <row r="120" spans="14:17">
      <c r="N120" s="3443"/>
      <c r="O120" s="3439"/>
      <c r="P120" s="3439"/>
      <c r="Q120" s="3439"/>
    </row>
    <row r="121" spans="14:17">
      <c r="N121" s="3443"/>
      <c r="O121" s="3439"/>
      <c r="P121" s="3439"/>
      <c r="Q121" s="3439"/>
    </row>
  </sheetData>
  <sheetProtection sheet="1" objects="1" scenarios="1" formatCells="0" formatColumns="0" formatRows="0"/>
  <mergeCells count="20">
    <mergeCell ref="G51:G54"/>
    <mergeCell ref="G2:L2"/>
    <mergeCell ref="N2:Q2"/>
    <mergeCell ref="S2:V2"/>
    <mergeCell ref="G19:G22"/>
    <mergeCell ref="G23:G26"/>
    <mergeCell ref="G27:G30"/>
    <mergeCell ref="G31:G34"/>
    <mergeCell ref="G35:G38"/>
    <mergeCell ref="G39:G42"/>
    <mergeCell ref="G43:G46"/>
    <mergeCell ref="G47:G50"/>
    <mergeCell ref="G79:G82"/>
    <mergeCell ref="G83:G86"/>
    <mergeCell ref="G55:G58"/>
    <mergeCell ref="G59:G62"/>
    <mergeCell ref="G63:G66"/>
    <mergeCell ref="G67:G70"/>
    <mergeCell ref="G71:G74"/>
    <mergeCell ref="G75:G78"/>
  </mergeCells>
  <phoneticPr fontId="225" type="noConversion"/>
  <pageMargins left="0.7" right="0.7" top="0.75" bottom="0.75" header="0.3" footer="0.3"/>
  <pageSetup paperSize="9" scale="75" orientation="landscape" r:id="rId1"/>
  <rowBreaks count="1" manualBreakCount="1">
    <brk id="62" max="21" man="1"/>
  </rowBreaks>
  <colBreaks count="1" manualBreakCount="1">
    <brk id="22" max="70"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55" zoomScale="90" zoomScaleNormal="60" zoomScaleSheetLayoutView="90" workbookViewId="0">
      <selection activeCell="R78" sqref="R78"/>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1225</v>
      </c>
      <c r="B1" s="1185"/>
      <c r="C1" s="1191" t="s">
        <v>1776</v>
      </c>
      <c r="D1" s="1268">
        <f>SUM(D33:D34,D37:D42)</f>
        <v>0</v>
      </c>
      <c r="E1" s="1191" t="s">
        <v>1777</v>
      </c>
      <c r="F1" s="1253"/>
      <c r="G1" s="1186"/>
      <c r="H1" s="1186"/>
      <c r="I1" s="1186"/>
      <c r="J1" s="1186"/>
      <c r="K1" s="1790"/>
      <c r="L1" s="1542" t="s">
        <v>1595</v>
      </c>
      <c r="M1" s="1543">
        <f>SUMPRODUCT((区片价!B5:B9=I2)*(区片价!C3:G3=E2)*(区片价!C5:G9))</f>
        <v>0</v>
      </c>
      <c r="N1" s="1544">
        <f>SUMPRODUCT((因素修正幅度!B5:B9=I2)*(因素修正幅度!C3:G3=E2)*(因素修正幅度!C5:G9))</f>
        <v>0</v>
      </c>
      <c r="O1" s="1790"/>
      <c r="P1" s="1790"/>
      <c r="Q1" s="1790"/>
      <c r="R1" s="2233" t="s">
        <v>2041</v>
      </c>
      <c r="S1" s="2233" t="s">
        <v>2042</v>
      </c>
      <c r="T1" s="2233" t="s">
        <v>2059</v>
      </c>
      <c r="U1" s="2233" t="s">
        <v>2060</v>
      </c>
      <c r="V1" s="2233" t="s">
        <v>2061</v>
      </c>
      <c r="W1" s="1790"/>
      <c r="X1" s="1790"/>
      <c r="Y1" s="1790"/>
      <c r="Z1" s="1790"/>
      <c r="AA1" s="1790"/>
      <c r="AB1" s="1790"/>
      <c r="AC1" s="1791"/>
    </row>
    <row r="2" spans="1:39" ht="15.75">
      <c r="A2" s="1191" t="s">
        <v>846</v>
      </c>
      <c r="B2" s="941" t="e">
        <f>C30</f>
        <v>#DIV/0!</v>
      </c>
      <c r="C2" s="1192" t="s">
        <v>847</v>
      </c>
      <c r="D2" s="1193" t="s">
        <v>848</v>
      </c>
      <c r="E2" s="1194"/>
      <c r="F2" s="1193" t="s">
        <v>850</v>
      </c>
      <c r="G2" s="1373">
        <f>IF(E2="商业",项目基本情况!B43,IF(E2="办公",项目基本情况!C43,IF(E2="住宅",项目基本情况!D43,IF(E2="工业",项目基本情况!E43,项目基本情况!F43))))</f>
        <v>0</v>
      </c>
      <c r="H2" s="1193" t="s">
        <v>852</v>
      </c>
      <c r="I2" s="946">
        <f>IF(E2="商业",项目基本情况!B44,IF(E2="办公",项目基本情况!C44,IF(E2="住宅",项目基本情况!D44,IF(E2="工业",项目基本情况!E44,项目基本情况!F44))))</f>
        <v>0</v>
      </c>
      <c r="J2" s="1186"/>
      <c r="K2" s="1790"/>
      <c r="L2" s="1545" t="s">
        <v>1596</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1218</v>
      </c>
      <c r="B3" s="941" t="e">
        <f>ROUND(B2*10000/D1,0)</f>
        <v>#DIV/0!</v>
      </c>
      <c r="C3" s="1192" t="s">
        <v>853</v>
      </c>
      <c r="D3" s="1193" t="s">
        <v>854</v>
      </c>
      <c r="E3" s="1196"/>
      <c r="F3" s="1197"/>
      <c r="G3" s="942">
        <f>IF(F3="宗地容积率",'数据-汇总表'!I4,IF(F3="估价对象容积率",'数据-汇总表'!I6,'数据-汇总表'!I7))</f>
        <v>0</v>
      </c>
      <c r="H3" s="1193" t="s">
        <v>855</v>
      </c>
      <c r="I3" s="943"/>
      <c r="J3" s="1186" t="s">
        <v>856</v>
      </c>
      <c r="K3" s="1790"/>
      <c r="L3" s="1545" t="s">
        <v>1597</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1636</v>
      </c>
      <c r="B4" s="1971" t="e">
        <f>ROUND(B2*10000/F1,0)</f>
        <v>#DIV/0!</v>
      </c>
      <c r="C4" s="1554" t="s">
        <v>1611</v>
      </c>
      <c r="D4" s="1554" t="e">
        <f>ROUND(B2/(F1/666.67),0)</f>
        <v>#DIV/0!</v>
      </c>
      <c r="E4" s="1554" t="s">
        <v>1612</v>
      </c>
      <c r="F4" s="1552"/>
      <c r="G4" s="1552"/>
      <c r="H4" s="1552"/>
      <c r="I4" s="1552"/>
      <c r="J4" s="1553"/>
      <c r="K4" s="2739"/>
      <c r="L4" s="1545" t="s">
        <v>1598</v>
      </c>
      <c r="M4" s="1546">
        <f>SUMPRODUCT((区片价!B55:B86=I2)*(区片价!C3:G3=E2)*(区片价!C55:G86))</f>
        <v>0</v>
      </c>
      <c r="N4" s="1547">
        <f>SUMPRODUCT((因素修正幅度!B55:B86=I2)*(因素修正幅度!C3:G3=E2)*(因素修正幅度!C55:G86))</f>
        <v>0</v>
      </c>
      <c r="O4" s="2739"/>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1350</v>
      </c>
      <c r="B5" s="1198" t="s">
        <v>857</v>
      </c>
      <c r="C5" s="944" t="e">
        <f>ROUND(IF(E2="商业",C6*C7*C17+C20,(IF(E2="住宅",C6*C13*C17+C20,IF(E2="办公",C6*C12*C17+C20,C6+C20)))),0)</f>
        <v>#DIV/0!</v>
      </c>
      <c r="D5" s="2359" t="e">
        <f>ROUND(C6*C17+C20,0)</f>
        <v>#DIV/0!</v>
      </c>
      <c r="E5" s="2359"/>
      <c r="F5" s="1199"/>
      <c r="G5" s="1200"/>
      <c r="H5" s="1200"/>
      <c r="I5" s="1200"/>
      <c r="J5" s="1201"/>
      <c r="K5" s="2740"/>
      <c r="L5" s="1545" t="s">
        <v>1599</v>
      </c>
      <c r="M5" s="1546">
        <f>SUMPRODUCT((区片价!B87:B126=I2)*(区片价!C3:G3=E2)*(区片价!C87:G126))</f>
        <v>0</v>
      </c>
      <c r="N5" s="1547">
        <f>SUMPRODUCT((因素修正幅度!B87:B126=I2)*(因素修正幅度!C3:G3=E2)*(因素修正幅度!C87:G126))</f>
        <v>0</v>
      </c>
      <c r="O5" s="2740"/>
      <c r="P5" s="2742"/>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1" t="s">
        <v>1393</v>
      </c>
      <c r="B6" s="1205" t="s">
        <v>857</v>
      </c>
      <c r="C6" s="3252">
        <f>SUMIF(L1:L12,G2,M1:M12)</f>
        <v>0</v>
      </c>
      <c r="D6" s="3253" t="s">
        <v>1226</v>
      </c>
      <c r="E6" s="1205"/>
      <c r="F6" s="1205"/>
      <c r="G6" s="3254"/>
      <c r="H6" s="3254"/>
      <c r="I6" s="3254"/>
      <c r="J6" s="3255"/>
      <c r="K6" s="1790"/>
      <c r="L6" s="1545" t="s">
        <v>1600</v>
      </c>
      <c r="M6" s="1546">
        <f>SUMPRODUCT((区片价!B127:B189=I2)*(区片价!C3:G3=E2)*(区片价!C127:G189))</f>
        <v>0</v>
      </c>
      <c r="N6" s="1547">
        <f>SUMPRODUCT((因素修正幅度!B127:B189=I2)*(因素修正幅度!C3:G3=E2)*(因素修正幅度!C127:G189))</f>
        <v>0</v>
      </c>
      <c r="O6" s="1790"/>
      <c r="P6" s="2743"/>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6" t="s">
        <v>3188</v>
      </c>
      <c r="B7" s="1206" t="s">
        <v>858</v>
      </c>
      <c r="C7" s="3257" t="e">
        <f>IF(C8="不临65条商业街",1,ROUND(1+(1.6*E8+1.2*E9+0.8*E10+0.4*E11)*C9,4))</f>
        <v>#DIV/0!</v>
      </c>
      <c r="D7" s="3258" t="s">
        <v>859</v>
      </c>
      <c r="E7" s="3259"/>
      <c r="F7" s="3260"/>
      <c r="G7" s="3260"/>
      <c r="H7" s="3260"/>
      <c r="I7" s="3260"/>
      <c r="J7" s="3261"/>
      <c r="K7" s="1790"/>
      <c r="L7" s="1545" t="s">
        <v>1601</v>
      </c>
      <c r="M7" s="1546">
        <f>SUMPRODUCT((区片价!B190:B233=I2)*(区片价!C3:G3=E2)*(区片价!C190:G233))</f>
        <v>0</v>
      </c>
      <c r="N7" s="1547">
        <f>SUMPRODUCT((因素修正幅度!B190:B233=I2)*(因素修正幅度!C3:G3=E2)*(因素修正幅度!C190:G233))</f>
        <v>0</v>
      </c>
      <c r="O7" s="1790"/>
      <c r="P7" s="2743"/>
      <c r="Q7" s="1790"/>
      <c r="R7" s="2234">
        <v>6</v>
      </c>
      <c r="S7" s="2224"/>
      <c r="T7" s="2234" t="e">
        <f t="shared" si="0"/>
        <v>#DIV/0!</v>
      </c>
      <c r="U7" s="2224"/>
      <c r="V7" s="2234" t="e">
        <f t="shared" si="1"/>
        <v>#DIV/0!</v>
      </c>
      <c r="W7" s="2232" t="s">
        <v>2044</v>
      </c>
      <c r="X7" s="2225">
        <f>G2</f>
        <v>0</v>
      </c>
      <c r="Y7" s="2225" t="s">
        <v>2045</v>
      </c>
      <c r="Z7" s="2226">
        <f>G3</f>
        <v>0</v>
      </c>
      <c r="AA7" s="1793"/>
      <c r="AB7" s="1793"/>
      <c r="AC7" s="1794"/>
      <c r="AD7" s="2227"/>
      <c r="AE7" s="2227"/>
      <c r="AF7" s="2227"/>
      <c r="AG7" s="2227"/>
      <c r="AH7" s="2227"/>
      <c r="AI7" s="2227"/>
      <c r="AJ7" s="2228"/>
    </row>
    <row r="8" spans="1:39" ht="15">
      <c r="A8" s="3262"/>
      <c r="B8" s="1193" t="s">
        <v>860</v>
      </c>
      <c r="C8" s="3263"/>
      <c r="D8" s="3264" t="s">
        <v>861</v>
      </c>
      <c r="E8" s="3265" t="e">
        <f>ROUND(C11/E7,4)</f>
        <v>#DIV/0!</v>
      </c>
      <c r="F8" s="3266" t="s">
        <v>862</v>
      </c>
      <c r="G8" s="3267"/>
      <c r="H8" s="3267"/>
      <c r="I8" s="3267"/>
      <c r="J8" s="3268"/>
      <c r="K8" s="1790"/>
      <c r="L8" s="1545" t="s">
        <v>1602</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781" t="s">
        <v>2058</v>
      </c>
      <c r="X8" s="3782"/>
      <c r="Y8" s="1539" t="s">
        <v>2046</v>
      </c>
      <c r="Z8" s="1539" t="s">
        <v>2047</v>
      </c>
      <c r="AA8" s="1539" t="s">
        <v>2048</v>
      </c>
      <c r="AB8" s="1539" t="s">
        <v>2049</v>
      </c>
      <c r="AC8" s="1539" t="s">
        <v>2050</v>
      </c>
      <c r="AD8" s="1539" t="s">
        <v>2051</v>
      </c>
      <c r="AE8" s="1539" t="s">
        <v>2052</v>
      </c>
      <c r="AF8" s="1539" t="s">
        <v>2053</v>
      </c>
      <c r="AG8" s="1539" t="s">
        <v>2054</v>
      </c>
      <c r="AH8" s="1539" t="s">
        <v>2055</v>
      </c>
      <c r="AI8" s="1539" t="s">
        <v>2056</v>
      </c>
      <c r="AJ8" s="1539" t="s">
        <v>2057</v>
      </c>
    </row>
    <row r="9" spans="1:39" ht="15">
      <c r="A9" s="3262"/>
      <c r="B9" s="1193" t="s">
        <v>863</v>
      </c>
      <c r="C9" s="3269">
        <f>SUMIF(修正!C71:C139,C8,修正!E71:E139)</f>
        <v>0</v>
      </c>
      <c r="D9" s="3270" t="s">
        <v>864</v>
      </c>
      <c r="E9" s="3270" t="e">
        <f>ROUND(C11/E7,4)</f>
        <v>#DIV/0!</v>
      </c>
      <c r="F9" s="3266" t="s">
        <v>865</v>
      </c>
      <c r="G9" s="3267"/>
      <c r="H9" s="3267"/>
      <c r="I9" s="3267"/>
      <c r="J9" s="3268"/>
      <c r="K9" s="1790"/>
      <c r="L9" s="1545" t="s">
        <v>1603</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780"/>
      <c r="X9" s="2229" t="s">
        <v>3211</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2"/>
      <c r="B10" s="1193" t="s">
        <v>866</v>
      </c>
      <c r="C10" s="3270">
        <f>SUMIF(修正!C71:C139,C8,修正!F71:F139)</f>
        <v>0</v>
      </c>
      <c r="D10" s="3270" t="s">
        <v>867</v>
      </c>
      <c r="E10" s="3270" t="e">
        <f>ROUND(C11/E7,4)</f>
        <v>#DIV/0!</v>
      </c>
      <c r="F10" s="3266" t="s">
        <v>868</v>
      </c>
      <c r="G10" s="3267"/>
      <c r="H10" s="3267"/>
      <c r="I10" s="3267"/>
      <c r="J10" s="3268"/>
      <c r="K10" s="1790"/>
      <c r="L10" s="1545" t="s">
        <v>1604</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780"/>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2"/>
      <c r="B11" s="1210" t="s">
        <v>869</v>
      </c>
      <c r="C11" s="3271">
        <f>C10/4</f>
        <v>0</v>
      </c>
      <c r="D11" s="3271" t="s">
        <v>870</v>
      </c>
      <c r="E11" s="3271" t="e">
        <f>ROUND(C11/E7,4)</f>
        <v>#DIV/0!</v>
      </c>
      <c r="F11" s="3272" t="s">
        <v>871</v>
      </c>
      <c r="G11" s="3273"/>
      <c r="H11" s="3273"/>
      <c r="I11" s="3273"/>
      <c r="J11" s="3274"/>
      <c r="K11" s="1790"/>
      <c r="L11" s="1545" t="s">
        <v>1605</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6" t="s">
        <v>3189</v>
      </c>
      <c r="B12" s="3238" t="s">
        <v>3190</v>
      </c>
      <c r="C12" s="3244">
        <v>1.02</v>
      </c>
      <c r="D12" s="3239" t="s">
        <v>3191</v>
      </c>
      <c r="E12" s="3240" t="s">
        <v>3192</v>
      </c>
      <c r="F12" s="3241"/>
      <c r="G12" s="3242"/>
      <c r="H12" s="3242"/>
      <c r="I12" s="3242"/>
      <c r="J12" s="3243"/>
      <c r="K12" s="1790"/>
      <c r="L12" s="1548" t="s">
        <v>1606</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6" t="s">
        <v>3193</v>
      </c>
      <c r="B13" s="1211" t="s">
        <v>872</v>
      </c>
      <c r="C13" s="3257">
        <f>ROUND(C16*D16*E16*F16*G16*H16*I16*J16,4)</f>
        <v>0</v>
      </c>
      <c r="D13" s="3275" t="s">
        <v>3194</v>
      </c>
      <c r="E13" s="3276"/>
      <c r="F13" s="3276"/>
      <c r="G13" s="3276"/>
      <c r="H13" s="3276"/>
      <c r="I13" s="3276"/>
      <c r="J13" s="3277"/>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8"/>
      <c r="B14" s="1215" t="s">
        <v>1227</v>
      </c>
      <c r="C14" s="3194" t="s">
        <v>1228</v>
      </c>
      <c r="D14" s="1217" t="s">
        <v>1229</v>
      </c>
      <c r="E14" s="750" t="s">
        <v>3195</v>
      </c>
      <c r="F14" s="3279" t="s">
        <v>1176</v>
      </c>
      <c r="G14" s="3279" t="s">
        <v>1176</v>
      </c>
      <c r="H14" s="3280" t="s">
        <v>1176</v>
      </c>
      <c r="I14" s="3280" t="s">
        <v>1176</v>
      </c>
      <c r="J14" s="3280" t="s">
        <v>1176</v>
      </c>
      <c r="K14" s="2741"/>
      <c r="L14" s="2741"/>
      <c r="M14" s="2741"/>
      <c r="N14" s="2741"/>
      <c r="O14" s="2741"/>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8"/>
      <c r="B15" s="1217"/>
      <c r="C15" s="3281"/>
      <c r="D15" s="3282"/>
      <c r="E15" s="3283"/>
      <c r="F15" s="3283"/>
      <c r="G15" s="1038" t="s">
        <v>3196</v>
      </c>
      <c r="H15" s="3247"/>
      <c r="I15" s="3248"/>
      <c r="J15" s="3249"/>
      <c r="K15" s="3250"/>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8"/>
      <c r="B16" s="2407" t="s">
        <v>1230</v>
      </c>
      <c r="C16" s="3245"/>
      <c r="D16" s="3245"/>
      <c r="E16" s="3245"/>
      <c r="F16" s="3245"/>
      <c r="G16" s="3245">
        <v>1</v>
      </c>
      <c r="H16" s="3245">
        <v>1</v>
      </c>
      <c r="I16" s="3245">
        <v>1</v>
      </c>
      <c r="J16" s="3246">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5" t="s">
        <v>3197</v>
      </c>
      <c r="B17" s="3286" t="s">
        <v>3198</v>
      </c>
      <c r="C17" s="3294">
        <f>ROUND(IF(OR(E2="工业",E2="公共服务"),1,IF(AND(E18=0,E19=0),1,IF(AND(E18=J24,E19=G19),0.8,IF(E19=0,1+E17*(-0.2),1+E17*G17*(-0.2))))),4)</f>
        <v>1</v>
      </c>
      <c r="D17" s="3287" t="s">
        <v>3199</v>
      </c>
      <c r="E17" s="3294" t="e">
        <f>ROUND(G18/I18,2)</f>
        <v>#DIV/0!</v>
      </c>
      <c r="F17" s="3287" t="s">
        <v>3202</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8"/>
      <c r="B18" s="3158"/>
      <c r="C18" s="3292"/>
      <c r="D18" s="3288" t="s">
        <v>3200</v>
      </c>
      <c r="E18" s="3293"/>
      <c r="F18" s="3290" t="s">
        <v>3203</v>
      </c>
      <c r="G18" s="3292">
        <f>ROUND(1-(1/(POWER(1+G24,E18))),4)</f>
        <v>0</v>
      </c>
      <c r="H18" s="3290" t="s">
        <v>3205</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3201</v>
      </c>
      <c r="E19" s="3295"/>
      <c r="F19" s="3291" t="s">
        <v>3204</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774" t="s">
        <v>1368</v>
      </c>
      <c r="B20" s="1206" t="s">
        <v>873</v>
      </c>
      <c r="C20" s="948" t="e">
        <f>ROUND(IF(F21="与级别开发程度一致",0,(G21-E21)/C21),0)</f>
        <v>#DIV/0!</v>
      </c>
      <c r="D20" s="3786" t="s">
        <v>877</v>
      </c>
      <c r="E20" s="3787"/>
      <c r="F20" s="3786" t="s">
        <v>874</v>
      </c>
      <c r="G20" s="3787"/>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775"/>
      <c r="B21" s="2413" t="s">
        <v>876</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1356</v>
      </c>
      <c r="B22" s="2408" t="s">
        <v>878</v>
      </c>
      <c r="C22" s="2409">
        <f>SUMIF(修正!C20:C51,E3,修正!E20:E51)</f>
        <v>0</v>
      </c>
      <c r="D22" s="2410"/>
      <c r="E22" s="2411"/>
      <c r="F22" s="2398"/>
      <c r="G22" s="1231"/>
      <c r="H22" s="1231"/>
      <c r="I22" s="1231"/>
      <c r="J22" s="2403"/>
      <c r="K22" s="2740"/>
      <c r="L22" s="1231"/>
      <c r="M22" s="1231"/>
      <c r="N22" s="1231"/>
      <c r="O22" s="1231"/>
      <c r="P22" s="2740"/>
      <c r="Q22" s="1795"/>
      <c r="R22" s="1796"/>
      <c r="S22" s="1796"/>
      <c r="T22" s="1796"/>
      <c r="U22" s="1796"/>
      <c r="V22" s="1796"/>
      <c r="W22" s="1796"/>
      <c r="X22" s="1796"/>
      <c r="Y22" s="1222"/>
      <c r="Z22" s="1222"/>
      <c r="AA22" s="1222"/>
      <c r="AB22" s="1222"/>
      <c r="AC22" s="1222"/>
      <c r="AD22" s="1222"/>
    </row>
    <row r="23" spans="1:40" ht="27.75" thickBot="1">
      <c r="A23" s="1361" t="s">
        <v>1362</v>
      </c>
      <c r="B23" s="1221" t="s">
        <v>879</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880</v>
      </c>
      <c r="E23" s="950">
        <v>44197</v>
      </c>
      <c r="F23" s="1224" t="s">
        <v>881</v>
      </c>
      <c r="G23" s="951">
        <f>'数据-取费表'!B2</f>
        <v>41863</v>
      </c>
      <c r="H23" s="1225" t="s">
        <v>2244</v>
      </c>
      <c r="I23" s="2102" t="str">
        <f>IF(H23="季度增幅（自定义）",SUMIF(N25:N28,E2,O25:O28),"")</f>
        <v/>
      </c>
      <c r="J23" s="3296" t="s">
        <v>3255</v>
      </c>
      <c r="K23" s="2740"/>
      <c r="L23" s="2324" t="s">
        <v>2114</v>
      </c>
      <c r="M23" s="2325">
        <f>ROUND(SUMIF(地价!B2:F2,E2,地价!B41:F41),0)</f>
        <v>0</v>
      </c>
      <c r="N23" s="2104" t="s">
        <v>1209</v>
      </c>
      <c r="O23" s="2103" t="e">
        <f>ROUNDDOWN(DATEDIF(E23,G23,"M")/3,0)</f>
        <v>#NUM!</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1363</v>
      </c>
      <c r="B24" s="2097" t="s">
        <v>894</v>
      </c>
      <c r="C24" s="2098" t="e">
        <f>ROUND(POWER(1+G24,J24-I24)*(POWER(1+G24,I24)-1)/(POWER(1+G24,J24)-1),4)</f>
        <v>#DIV/0!</v>
      </c>
      <c r="D24" s="2099" t="s">
        <v>895</v>
      </c>
      <c r="E24" s="2351">
        <f>存贷款利率!E27/100</f>
        <v>4.3499999999999997E-2</v>
      </c>
      <c r="F24" s="2099" t="s">
        <v>896</v>
      </c>
      <c r="G24" s="2100">
        <f>SUMIF(M30:Q30,E2,M33:Q33)</f>
        <v>0</v>
      </c>
      <c r="H24" s="2099" t="s">
        <v>897</v>
      </c>
      <c r="I24" s="2095" t="e">
        <f>SUMIF('数据-取费表'!C6:C15,E2,'数据-取费表'!F6:F15)/COUNTIF('数据-取费表'!C6:C15,E2)</f>
        <v>#DIV/0!</v>
      </c>
      <c r="J24" s="2101">
        <f>IF(E2="住宅",70,IF(E2="商业",40,50))</f>
        <v>50</v>
      </c>
      <c r="K24" s="1794"/>
      <c r="L24" s="2326" t="s">
        <v>2115</v>
      </c>
      <c r="M24" s="2400">
        <f>ROUND(SUMPRODUCT((地价!A4:A41=YEAR(G23)&amp;"-"&amp;ROUNDUP(MONTH(G23)/3,0))*(地价!B2:F2=E2)*(地价!B4:F41)),0)</f>
        <v>0</v>
      </c>
      <c r="N24" s="2107" t="s">
        <v>1925</v>
      </c>
      <c r="O24" s="2105" t="s">
        <v>1924</v>
      </c>
      <c r="P24" s="2106" t="s">
        <v>1930</v>
      </c>
      <c r="Q24" s="2223"/>
      <c r="R24" s="1796"/>
      <c r="S24" s="1796"/>
      <c r="T24" s="1796"/>
      <c r="U24" s="1796"/>
      <c r="V24" s="1796"/>
      <c r="W24" s="1796"/>
      <c r="X24" s="1796"/>
      <c r="Y24" s="1222"/>
      <c r="Z24" s="1222"/>
      <c r="AA24" s="1222"/>
      <c r="AB24" s="1222"/>
      <c r="AC24" s="1222"/>
      <c r="AD24" s="1222"/>
    </row>
    <row r="25" spans="1:40" ht="14.25">
      <c r="A25" s="1363" t="s">
        <v>1364</v>
      </c>
      <c r="B25" s="1230" t="s">
        <v>2272</v>
      </c>
      <c r="C25" s="1004">
        <f>IF(B25="容积率修正",IF(G3&lt;10,D26,J26),C27)</f>
        <v>0</v>
      </c>
      <c r="D25" s="1231"/>
      <c r="E25" s="1231"/>
      <c r="F25" s="1231"/>
      <c r="G25" s="1231"/>
      <c r="H25" s="1231"/>
      <c r="I25" s="1231"/>
      <c r="J25" s="1232"/>
      <c r="K25" s="2740"/>
      <c r="L25" s="1231"/>
      <c r="M25" s="1231"/>
      <c r="N25" s="1228" t="s">
        <v>898</v>
      </c>
      <c r="O25" s="1288"/>
      <c r="P25" s="2094">
        <f>SUMPRODUCT((地价!A3:A41=YEAR(G23)&amp;"-"&amp;ROUNDUP(MONTH(G23)/3,0))*(地价!AD2:AH2=N25)*(地价!AD3:AH41))</f>
        <v>1.95E-2</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1393</v>
      </c>
      <c r="B26" s="1233" t="s">
        <v>899</v>
      </c>
      <c r="C26" s="3297" t="s">
        <v>3206</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3207</v>
      </c>
      <c r="J26" s="952" t="str">
        <f>IF(G3&gt;=10,D116,"——")</f>
        <v>——</v>
      </c>
      <c r="K26" s="2223"/>
      <c r="L26" s="1231"/>
      <c r="M26" s="1231"/>
      <c r="N26" s="1228" t="s">
        <v>900</v>
      </c>
      <c r="O26" s="1288"/>
      <c r="P26" s="2094">
        <f>SUMPRODUCT((地价!A3:A41=YEAR(G23)&amp;"-"&amp;ROUNDUP(MONTH(G23)/3,0))*(地价!AD2:AH2=N26)*(地价!AD3:AH41))</f>
        <v>1.95E-2</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1394</v>
      </c>
      <c r="B27" s="1233" t="s">
        <v>901</v>
      </c>
      <c r="C27" s="953">
        <f>ROUND(IF(I3&lt;6,SUMPRODUCT((B107:B111=I3)*(C106:N106=G2)*(C107:N111)),SUMIF(C106:N106,G2,C113:N113)),4)</f>
        <v>0</v>
      </c>
      <c r="D27" s="1276"/>
      <c r="E27" s="1276"/>
      <c r="F27" s="1277"/>
      <c r="G27" s="1278"/>
      <c r="H27" s="1279"/>
      <c r="I27" s="1280"/>
      <c r="J27" s="1280"/>
      <c r="K27" s="1796"/>
      <c r="L27" s="1186"/>
      <c r="M27" s="1186"/>
      <c r="N27" s="1228" t="s">
        <v>849</v>
      </c>
      <c r="O27" s="1288"/>
      <c r="P27" s="2094">
        <f>SUMPRODUCT((地价!A3:A41=YEAR(G23)&amp;"-"&amp;ROUNDUP(MONTH(G23)/3,0))*(地价!AD2:AH2=N27)*(地价!AD3:AH41))</f>
        <v>2.1700000000000001E-2</v>
      </c>
      <c r="Q27" s="2223"/>
      <c r="R27" s="2223"/>
      <c r="S27" s="2223"/>
      <c r="T27" s="2223"/>
      <c r="U27" s="2223"/>
      <c r="V27" s="2223"/>
      <c r="W27" s="1796"/>
      <c r="X27" s="1796"/>
      <c r="Y27" s="1796"/>
      <c r="Z27" s="1796"/>
      <c r="AA27" s="1796"/>
      <c r="AB27" s="1796"/>
      <c r="AC27" s="1796"/>
    </row>
    <row r="28" spans="1:40" ht="15.75" thickBot="1">
      <c r="A28" s="1362" t="s">
        <v>1395</v>
      </c>
      <c r="B28" s="1198" t="s">
        <v>902</v>
      </c>
      <c r="C28" s="954">
        <f>SUMIF(A47:A101,E2,B47:B101)</f>
        <v>0</v>
      </c>
      <c r="D28" s="1281"/>
      <c r="E28" s="1282"/>
      <c r="F28" s="1282"/>
      <c r="G28" s="1282"/>
      <c r="H28" s="1282"/>
      <c r="I28" s="1282"/>
      <c r="J28" s="1282"/>
      <c r="K28" s="1796"/>
      <c r="L28" s="1231"/>
      <c r="M28" s="1231"/>
      <c r="N28" s="1228" t="s">
        <v>903</v>
      </c>
      <c r="O28" s="2399"/>
      <c r="P28" s="2094">
        <f>SUMPRODUCT((地价!A3:A41=YEAR(G23)&amp;"-"&amp;ROUNDUP(MONTH(G23)/3,0))*(地价!AD2:AH2=N28)*(地价!AD3:AH41))</f>
        <v>1.2E-2</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1396</v>
      </c>
      <c r="B29" s="1235" t="s">
        <v>904</v>
      </c>
      <c r="C29" s="1236"/>
      <c r="D29" s="1208"/>
      <c r="E29" s="1208"/>
      <c r="F29" s="1237"/>
      <c r="G29" s="1208"/>
      <c r="H29" s="1208"/>
      <c r="I29" s="1208"/>
      <c r="J29" s="1209"/>
      <c r="K29" s="1790"/>
      <c r="L29" s="1796"/>
      <c r="M29" s="1796"/>
      <c r="N29" s="2401" t="s">
        <v>1928</v>
      </c>
      <c r="O29" s="2402"/>
      <c r="P29" s="1968">
        <f>SUMPRODUCT((地价!A3:A41=YEAR(G23)&amp;"-"&amp;ROUNDUP(MONTH(G23)/3,0))*(地价!AD2:AH2=N29)*(地价!AD3:AH41))</f>
        <v>2.07E-2</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908</v>
      </c>
      <c r="C30" s="2554" t="e">
        <f>IF(B25="容积率修正",E33+SUM(E37:E42),SUM(V2:V16)+SUM(E37:E42))</f>
        <v>#DIV/0!</v>
      </c>
      <c r="D30" s="1239"/>
      <c r="E30" s="1186"/>
      <c r="F30" s="1240"/>
      <c r="G30" s="1186"/>
      <c r="H30" s="1186"/>
      <c r="I30" s="1186"/>
      <c r="J30" s="1241"/>
      <c r="K30" s="1790"/>
      <c r="L30" s="1327" t="s">
        <v>831</v>
      </c>
      <c r="M30" s="1207" t="s">
        <v>905</v>
      </c>
      <c r="N30" s="1207" t="s">
        <v>906</v>
      </c>
      <c r="O30" s="1207" t="s">
        <v>833</v>
      </c>
      <c r="P30" s="1226" t="s">
        <v>907</v>
      </c>
      <c r="Q30" s="1226" t="s">
        <v>3233</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910</v>
      </c>
      <c r="C31" s="956" t="e">
        <f>E34+SUM(I37:I42)</f>
        <v>#DIV/0!</v>
      </c>
      <c r="D31" s="1243"/>
      <c r="E31" s="1244"/>
      <c r="F31" s="1245"/>
      <c r="G31" s="1244"/>
      <c r="H31" s="1244"/>
      <c r="I31" s="1244"/>
      <c r="J31" s="1246"/>
      <c r="K31" s="1790"/>
      <c r="L31" s="1219" t="s">
        <v>909</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911</v>
      </c>
      <c r="C32" s="1248" t="s">
        <v>912</v>
      </c>
      <c r="D32" s="1248" t="s">
        <v>913</v>
      </c>
      <c r="E32" s="1249" t="s">
        <v>914</v>
      </c>
      <c r="F32" s="1250"/>
      <c r="G32" s="1213"/>
      <c r="H32" s="1213"/>
      <c r="I32" s="1213"/>
      <c r="J32" s="1214"/>
      <c r="K32" s="1790"/>
      <c r="L32" s="1220" t="s">
        <v>896</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915</v>
      </c>
      <c r="C33" s="955" t="e">
        <f>ROUND(C5*C22*C23*C24*C25*C28,0)</f>
        <v>#DIV/0!</v>
      </c>
      <c r="D33" s="1253"/>
      <c r="E33" s="1539" t="e">
        <f>ROUND(C33*D33/10000,0)</f>
        <v>#DIV/0!</v>
      </c>
      <c r="F33" s="3298" t="s">
        <v>3208</v>
      </c>
      <c r="G33" s="1254"/>
      <c r="H33" s="1254"/>
      <c r="I33" s="1254"/>
      <c r="J33" s="1255"/>
      <c r="K33" s="2744"/>
      <c r="L33" s="3366" t="s">
        <v>3234</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916</v>
      </c>
      <c r="C34" s="947" t="e">
        <f>ROUND(IF(E2="工业",C33*M42,IF(B25="楼层修正",SUM(V2:V16)*M41*10000/D34,C33*M41)),0)</f>
        <v>#DIV/0!</v>
      </c>
      <c r="D34" s="1258"/>
      <c r="E34" s="1539" t="e">
        <f>ROUND(IF(B25="楼层修正",SUM(V2:V16)*#REF!,C34*D34/10000),0)</f>
        <v>#DIV/0!</v>
      </c>
      <c r="F34" s="3299" t="s">
        <v>3209</v>
      </c>
      <c r="G34" s="1259"/>
      <c r="H34" s="1259"/>
      <c r="I34" s="1259"/>
      <c r="J34" s="1260"/>
      <c r="K34" s="1790"/>
      <c r="L34" s="3366" t="s">
        <v>3235</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918</v>
      </c>
      <c r="C35" s="1263" t="s">
        <v>919</v>
      </c>
      <c r="D35" s="1213"/>
      <c r="E35" s="1263"/>
      <c r="F35" s="1263"/>
      <c r="G35" s="1212" t="s">
        <v>917</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912</v>
      </c>
      <c r="D36" s="1267" t="s">
        <v>913</v>
      </c>
      <c r="E36" s="1267" t="s">
        <v>914</v>
      </c>
      <c r="F36" s="1268" t="s">
        <v>920</v>
      </c>
      <c r="G36" s="1229" t="s">
        <v>912</v>
      </c>
      <c r="H36" s="1229" t="s">
        <v>913</v>
      </c>
      <c r="I36" s="1229" t="s">
        <v>914</v>
      </c>
      <c r="J36" s="1269"/>
      <c r="K36" s="3368" t="s">
        <v>3236</v>
      </c>
      <c r="L36" s="3370" t="e">
        <f ca="1">'数据-取费表'!B40</f>
        <v>#VALUE!</v>
      </c>
      <c r="M36" s="3371" t="e">
        <f ca="1">ROUND($L$36*(1+M31),3)</f>
        <v>#VALUE!</v>
      </c>
      <c r="N36" s="3371" t="e">
        <f ca="1">ROUND($L$36*(1+N31),3)</f>
        <v>#VALUE!</v>
      </c>
      <c r="O36" s="3371" t="e">
        <f ca="1">ROUND($L$36*(1+O31),3)</f>
        <v>#VALUE!</v>
      </c>
      <c r="P36" s="3371" t="e">
        <f ca="1">ROUND($L$36*(1+P31),3)</f>
        <v>#VALUE!</v>
      </c>
      <c r="Q36" s="3371"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778"/>
      <c r="B37" s="1271" t="s">
        <v>921</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778"/>
      <c r="K37" s="3369" t="s">
        <v>3237</v>
      </c>
      <c r="L37" s="3370" t="e">
        <f ca="1">L36+K38</f>
        <v>#VALUE!</v>
      </c>
      <c r="M37" s="3371" t="e">
        <f ca="1">ROUND($L$37*(1+M31),3)</f>
        <v>#VALUE!</v>
      </c>
      <c r="N37" s="3371" t="e">
        <f t="shared" ref="N37:Q37" ca="1" si="3">ROUND($L$37*(1+N31),3)</f>
        <v>#VALUE!</v>
      </c>
      <c r="O37" s="3371" t="e">
        <f t="shared" ca="1" si="3"/>
        <v>#VALUE!</v>
      </c>
      <c r="P37" s="3371" t="e">
        <f t="shared" ca="1" si="3"/>
        <v>#VALUE!</v>
      </c>
      <c r="Q37" s="3371" t="e">
        <f t="shared" ca="1" si="3"/>
        <v>#VALUE!</v>
      </c>
      <c r="R37" s="1791"/>
      <c r="S37" s="1791"/>
      <c r="T37" s="1791"/>
      <c r="U37" s="1791"/>
      <c r="V37" s="1791"/>
      <c r="W37" s="1790"/>
      <c r="X37" s="1790"/>
      <c r="Y37" s="1790"/>
      <c r="Z37" s="1790"/>
      <c r="AA37" s="1790"/>
      <c r="AB37" s="1790"/>
      <c r="AC37" s="1791"/>
    </row>
    <row r="38" spans="1:44" ht="12.75">
      <c r="A38" s="3779"/>
      <c r="B38" s="1216" t="s">
        <v>922</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779"/>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779"/>
      <c r="B39" s="3300" t="s">
        <v>3210</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779"/>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923</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1231</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924</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2" t="s">
        <v>3238</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925</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1232</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2240</v>
      </c>
      <c r="C44" s="773" t="e">
        <f>ROUND(POWER(1+E44,H44-G44)*(POWER(1+E44,G44)-1)/(POWER(1+E44,H44)-1),4)</f>
        <v>#DIV/0!</v>
      </c>
      <c r="D44" s="348" t="s">
        <v>2238</v>
      </c>
      <c r="E44" s="2396">
        <f>G24</f>
        <v>0</v>
      </c>
      <c r="F44" s="348" t="s">
        <v>2239</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926</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5">
      <c r="A48" s="3314" t="s">
        <v>927</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928</v>
      </c>
      <c r="B49" s="3319" t="s">
        <v>929</v>
      </c>
      <c r="C49" s="3320" t="s">
        <v>930</v>
      </c>
      <c r="D49" s="3321" t="s">
        <v>931</v>
      </c>
      <c r="E49" s="3322" t="s">
        <v>933</v>
      </c>
      <c r="F49" s="3196" t="s">
        <v>1607</v>
      </c>
      <c r="G49" s="3321" t="s">
        <v>934</v>
      </c>
      <c r="H49" s="3323" t="s">
        <v>1770</v>
      </c>
      <c r="I49" s="3321" t="s">
        <v>932</v>
      </c>
      <c r="J49" s="3324" t="s">
        <v>935</v>
      </c>
      <c r="K49" s="3324" t="s">
        <v>936</v>
      </c>
      <c r="L49" s="3324" t="s">
        <v>937</v>
      </c>
      <c r="M49" s="3324" t="s">
        <v>938</v>
      </c>
      <c r="N49" s="3324" t="s">
        <v>939</v>
      </c>
      <c r="P49" s="1799"/>
      <c r="Q49" s="1799"/>
      <c r="R49" s="1799"/>
      <c r="S49" s="1799"/>
      <c r="T49" s="1799"/>
      <c r="U49" s="1799"/>
      <c r="V49" s="1799"/>
      <c r="W49" s="1799"/>
      <c r="X49" s="1799"/>
      <c r="Y49" s="1799"/>
      <c r="Z49" s="1799"/>
      <c r="AA49" s="1799"/>
      <c r="AB49" s="1799"/>
      <c r="AC49" s="1799"/>
      <c r="AD49" s="1799"/>
    </row>
    <row r="50" spans="1:30" s="3313" customFormat="1" ht="36">
      <c r="A50" s="3318" t="s">
        <v>940</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36">
      <c r="A51" s="3318" t="s">
        <v>941</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36">
      <c r="A52" s="3301" t="s">
        <v>3212</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943</v>
      </c>
      <c r="B53" s="3334" t="s">
        <v>2197</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944</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24">
      <c r="A55" s="3318" t="s">
        <v>945</v>
      </c>
      <c r="B55" s="3335" t="s">
        <v>2196</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946</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947</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24.75" thickBot="1">
      <c r="A58" s="3338" t="s">
        <v>948</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5">
      <c r="A59" s="3314" t="s">
        <v>949</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928</v>
      </c>
      <c r="B60" s="3319"/>
      <c r="C60" s="3320" t="s">
        <v>930</v>
      </c>
      <c r="D60" s="3321" t="s">
        <v>931</v>
      </c>
      <c r="E60" s="3322" t="s">
        <v>933</v>
      </c>
      <c r="F60" s="3196" t="s">
        <v>1608</v>
      </c>
      <c r="G60" s="3321" t="s">
        <v>934</v>
      </c>
      <c r="H60" s="3323" t="s">
        <v>1770</v>
      </c>
      <c r="I60" s="3321" t="s">
        <v>932</v>
      </c>
      <c r="J60" s="3324" t="s">
        <v>935</v>
      </c>
      <c r="K60" s="3324" t="s">
        <v>936</v>
      </c>
      <c r="L60" s="3324" t="s">
        <v>937</v>
      </c>
      <c r="M60" s="3324" t="s">
        <v>938</v>
      </c>
      <c r="N60" s="3324" t="s">
        <v>939</v>
      </c>
      <c r="P60" s="1799"/>
      <c r="Q60" s="1799"/>
      <c r="R60" s="1799"/>
      <c r="S60" s="1799"/>
      <c r="T60" s="1799"/>
      <c r="U60" s="1799"/>
      <c r="V60" s="1799"/>
      <c r="W60" s="1799"/>
      <c r="X60" s="1799"/>
      <c r="Y60" s="1799"/>
      <c r="Z60" s="1799"/>
      <c r="AA60" s="1799"/>
      <c r="AB60" s="1799"/>
      <c r="AC60" s="1799"/>
      <c r="AD60" s="1799"/>
    </row>
    <row r="61" spans="1:30" s="3313" customFormat="1" ht="36">
      <c r="A61" s="3318" t="s">
        <v>950</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36">
      <c r="A62" s="3318" t="s">
        <v>941</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3212</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943</v>
      </c>
      <c r="B64" s="3334" t="s">
        <v>2198</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944</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945</v>
      </c>
      <c r="B66" s="3335" t="s">
        <v>2196</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946</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947</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948</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951</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928</v>
      </c>
      <c r="B71" s="3319"/>
      <c r="C71" s="3320" t="s">
        <v>930</v>
      </c>
      <c r="D71" s="3321" t="s">
        <v>931</v>
      </c>
      <c r="E71" s="3322" t="s">
        <v>933</v>
      </c>
      <c r="F71" s="3196" t="s">
        <v>1609</v>
      </c>
      <c r="G71" s="3321" t="s">
        <v>934</v>
      </c>
      <c r="H71" s="3323" t="s">
        <v>1770</v>
      </c>
      <c r="I71" s="3321" t="s">
        <v>932</v>
      </c>
      <c r="J71" s="3324" t="s">
        <v>935</v>
      </c>
      <c r="K71" s="3324" t="s">
        <v>936</v>
      </c>
      <c r="L71" s="3324" t="s">
        <v>937</v>
      </c>
      <c r="M71" s="3324" t="s">
        <v>938</v>
      </c>
      <c r="N71" s="3324" t="s">
        <v>939</v>
      </c>
      <c r="P71" s="1799"/>
      <c r="Q71" s="1799"/>
      <c r="R71" s="1799"/>
      <c r="S71" s="1799"/>
      <c r="T71" s="1799"/>
      <c r="U71" s="1799"/>
      <c r="V71" s="1799"/>
      <c r="W71" s="1799"/>
      <c r="X71" s="1799"/>
      <c r="Y71" s="1799"/>
      <c r="Z71" s="1799"/>
      <c r="AA71" s="1799"/>
      <c r="AB71" s="1799"/>
      <c r="AC71" s="1799"/>
      <c r="AD71" s="1799"/>
    </row>
    <row r="72" spans="1:36" s="3313" customFormat="1" ht="48">
      <c r="A72" s="3318" t="s">
        <v>952</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36">
      <c r="A73" s="3318" t="s">
        <v>953</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3212</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954</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946</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947</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945</v>
      </c>
      <c r="B78" s="3335" t="s">
        <v>2196</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948</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955</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956</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928</v>
      </c>
      <c r="B82" s="3319"/>
      <c r="C82" s="3320" t="s">
        <v>930</v>
      </c>
      <c r="D82" s="3321" t="s">
        <v>931</v>
      </c>
      <c r="E82" s="3322" t="s">
        <v>933</v>
      </c>
      <c r="F82" s="3196" t="s">
        <v>1610</v>
      </c>
      <c r="G82" s="3321" t="s">
        <v>934</v>
      </c>
      <c r="H82" s="3323" t="s">
        <v>1770</v>
      </c>
      <c r="I82" s="3321" t="s">
        <v>932</v>
      </c>
      <c r="J82" s="3324" t="s">
        <v>935</v>
      </c>
      <c r="K82" s="3324" t="s">
        <v>936</v>
      </c>
      <c r="L82" s="3324" t="s">
        <v>937</v>
      </c>
      <c r="M82" s="3324" t="s">
        <v>938</v>
      </c>
      <c r="N82" s="3324" t="s">
        <v>939</v>
      </c>
      <c r="AE82" s="3313"/>
      <c r="AF82" s="3313"/>
      <c r="AG82" s="3313"/>
      <c r="AH82" s="3313"/>
      <c r="AI82" s="3313"/>
      <c r="AJ82" s="3313"/>
    </row>
    <row r="83" spans="1:36" s="1275" customFormat="1" ht="24">
      <c r="A83" s="3318" t="s">
        <v>957</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60">
      <c r="A84" s="3318" t="s">
        <v>953</v>
      </c>
      <c r="B84" s="3319" t="str">
        <f>估价对象房地状况!G16</f>
        <v>地块临近村道，周边3公里范围内有高速公路——京藏高速、城市次干道——康张路，有880路等3条以下公交线路通过并设立站点，综合评价交通便捷度一般</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942</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954</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946</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947</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945</v>
      </c>
      <c r="B89" s="3335" t="s">
        <v>2196</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958</v>
      </c>
      <c r="B90" s="3348" t="str">
        <f>估价对象房地状况!G18</f>
        <v>周边无污染型企业，5公里范围内有八达岭长城自然风景区等自然和人文景观，环境状况较好</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3221</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3222</v>
      </c>
      <c r="B92" s="3303"/>
      <c r="C92" s="3303" t="s">
        <v>3227</v>
      </c>
      <c r="D92" s="3303" t="s">
        <v>3214</v>
      </c>
      <c r="E92" s="346" t="s">
        <v>3215</v>
      </c>
      <c r="F92" s="3358" t="s">
        <v>1607</v>
      </c>
      <c r="G92" s="3321" t="s">
        <v>934</v>
      </c>
      <c r="H92" s="3323" t="s">
        <v>1770</v>
      </c>
      <c r="I92" s="3321" t="s">
        <v>932</v>
      </c>
      <c r="J92" s="3324" t="s">
        <v>935</v>
      </c>
      <c r="K92" s="3324" t="s">
        <v>936</v>
      </c>
      <c r="L92" s="3324" t="s">
        <v>937</v>
      </c>
      <c r="M92" s="3324" t="s">
        <v>938</v>
      </c>
      <c r="N92" s="3324" t="s">
        <v>939</v>
      </c>
      <c r="AE92" s="3313"/>
      <c r="AF92" s="3313"/>
      <c r="AG92" s="3313"/>
      <c r="AH92" s="3313"/>
      <c r="AI92" s="3313"/>
      <c r="AJ92" s="3313"/>
    </row>
    <row r="93" spans="1:36" s="1275" customFormat="1" ht="24">
      <c r="A93" s="3357" t="s">
        <v>3223</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60">
      <c r="A94" s="3303" t="s">
        <v>3224</v>
      </c>
      <c r="B94" s="3319" t="str">
        <f>估价对象房地状况!G16</f>
        <v>地块临近村道，周边3公里范围内有高速公路——京藏高速、城市次干道——康张路，有880路等3条以下公交线路通过并设立站点，综合评价交通便捷度一般</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3212</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3216</v>
      </c>
      <c r="B96" s="3307" t="s">
        <v>3217</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3218</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3225</v>
      </c>
      <c r="B98" s="3334" t="s">
        <v>2196</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3226</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3219</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3220</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776" t="s">
        <v>1170</v>
      </c>
      <c r="B104" s="3776"/>
      <c r="C104" s="3776"/>
      <c r="D104" s="3776"/>
      <c r="E104" s="3776"/>
      <c r="F104" s="3776"/>
      <c r="G104" s="3776"/>
      <c r="H104" s="3776"/>
      <c r="I104" s="3776"/>
      <c r="J104" s="3776"/>
      <c r="K104" s="1001"/>
      <c r="L104" s="1001"/>
      <c r="M104" s="1001"/>
      <c r="N104" s="1001"/>
    </row>
    <row r="105" spans="1:36">
      <c r="A105" s="3777" t="s">
        <v>1159</v>
      </c>
      <c r="B105" s="3777" t="s">
        <v>1171</v>
      </c>
      <c r="C105" s="989" t="s">
        <v>1172</v>
      </c>
      <c r="D105" s="990"/>
      <c r="E105" s="990"/>
      <c r="F105" s="990"/>
      <c r="G105" s="990"/>
      <c r="H105" s="990"/>
      <c r="I105" s="990"/>
      <c r="J105" s="991"/>
      <c r="K105" s="984"/>
      <c r="L105" s="984"/>
      <c r="M105" s="984"/>
      <c r="N105" s="984"/>
    </row>
    <row r="106" spans="1:36">
      <c r="A106" s="3777"/>
      <c r="B106" s="3777"/>
      <c r="C106" s="1000" t="s">
        <v>834</v>
      </c>
      <c r="D106" s="1000" t="s">
        <v>818</v>
      </c>
      <c r="E106" s="1000" t="s">
        <v>819</v>
      </c>
      <c r="F106" s="1000" t="s">
        <v>837</v>
      </c>
      <c r="G106" s="1000" t="s">
        <v>821</v>
      </c>
      <c r="H106" s="1000" t="s">
        <v>822</v>
      </c>
      <c r="I106" s="1000" t="s">
        <v>823</v>
      </c>
      <c r="J106" s="1000" t="s">
        <v>824</v>
      </c>
      <c r="K106" s="1000" t="s">
        <v>842</v>
      </c>
      <c r="L106" s="1000" t="s">
        <v>826</v>
      </c>
      <c r="M106" s="1000" t="s">
        <v>827</v>
      </c>
      <c r="N106" s="1000" t="s">
        <v>845</v>
      </c>
    </row>
    <row r="107" spans="1:36">
      <c r="A107" s="3783" t="s">
        <v>2043</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784"/>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784"/>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784"/>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784"/>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784"/>
      <c r="B112" s="992" t="s">
        <v>3228</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785"/>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773" t="s">
        <v>1173</v>
      </c>
      <c r="B114" s="3773"/>
      <c r="C114" s="3773"/>
      <c r="D114" s="3773"/>
      <c r="E114" s="3773"/>
      <c r="F114" s="3773"/>
      <c r="G114" s="3773"/>
      <c r="H114" s="3773"/>
      <c r="I114" s="3773"/>
      <c r="J114" s="3773"/>
      <c r="K114" s="1969"/>
      <c r="L114" s="1969"/>
      <c r="M114" s="1969"/>
      <c r="N114" s="1969"/>
    </row>
    <row r="116" spans="1:14" ht="12.75" thickBot="1"/>
    <row r="117" spans="1:14" ht="25.5" thickBot="1">
      <c r="A117" s="927" t="s">
        <v>829</v>
      </c>
      <c r="B117" s="1970">
        <f>G3</f>
        <v>0</v>
      </c>
      <c r="C117" s="928" t="s">
        <v>830</v>
      </c>
      <c r="D117" s="929" t="e">
        <f>SUMPRODUCT((A118:A122=F116)*(B117:M117=H116)*B118:M122)</f>
        <v>#VALUE!</v>
      </c>
      <c r="E117" s="930" t="s">
        <v>831</v>
      </c>
      <c r="F117" s="931">
        <f>E2</f>
        <v>0</v>
      </c>
      <c r="G117" s="930" t="s">
        <v>832</v>
      </c>
      <c r="H117" s="931">
        <f>G2</f>
        <v>0</v>
      </c>
      <c r="I117" s="930"/>
      <c r="J117" s="922"/>
      <c r="K117" s="922"/>
      <c r="L117" s="922"/>
      <c r="M117" s="922"/>
    </row>
    <row r="118" spans="1:14" ht="12.75">
      <c r="A118" s="933"/>
      <c r="B118" s="934" t="s">
        <v>817</v>
      </c>
      <c r="C118" s="934" t="s">
        <v>818</v>
      </c>
      <c r="D118" s="934" t="s">
        <v>819</v>
      </c>
      <c r="E118" s="935" t="s">
        <v>820</v>
      </c>
      <c r="F118" s="935" t="s">
        <v>821</v>
      </c>
      <c r="G118" s="935" t="s">
        <v>822</v>
      </c>
      <c r="H118" s="936" t="s">
        <v>823</v>
      </c>
      <c r="I118" s="936" t="s">
        <v>824</v>
      </c>
      <c r="J118" s="937" t="s">
        <v>825</v>
      </c>
      <c r="K118" s="937" t="s">
        <v>826</v>
      </c>
      <c r="L118" s="937" t="s">
        <v>827</v>
      </c>
      <c r="M118" s="938" t="s">
        <v>828</v>
      </c>
    </row>
    <row r="119" spans="1:14" ht="12.75">
      <c r="A119" s="3360" t="s">
        <v>3229</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3230</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3231</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3232</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3213</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2758</v>
      </c>
      <c r="B1" s="963" t="s">
        <v>988</v>
      </c>
      <c r="C1" s="963" t="s">
        <v>1029</v>
      </c>
      <c r="D1" s="963" t="s">
        <v>1143</v>
      </c>
      <c r="E1" s="963" t="s">
        <v>851</v>
      </c>
      <c r="F1" s="963" t="s">
        <v>1150</v>
      </c>
      <c r="G1" s="963" t="s">
        <v>1151</v>
      </c>
      <c r="H1" s="963" t="s">
        <v>1152</v>
      </c>
      <c r="I1" s="963" t="s">
        <v>1153</v>
      </c>
      <c r="J1" s="963" t="s">
        <v>1154</v>
      </c>
      <c r="K1" s="963" t="s">
        <v>1155</v>
      </c>
      <c r="L1" s="963" t="s">
        <v>2759</v>
      </c>
      <c r="M1" s="964" t="s">
        <v>2760</v>
      </c>
    </row>
    <row r="2" spans="1:13">
      <c r="A2" s="2985" t="s">
        <v>2735</v>
      </c>
      <c r="B2" s="2986">
        <v>3.5</v>
      </c>
      <c r="C2" s="2986">
        <v>3.5</v>
      </c>
      <c r="D2" s="2987">
        <v>2.5</v>
      </c>
      <c r="E2" s="2987">
        <v>2.5</v>
      </c>
      <c r="F2" s="2987">
        <v>2.5</v>
      </c>
      <c r="G2" s="2987">
        <v>2.5</v>
      </c>
      <c r="H2" s="2987">
        <v>2.5</v>
      </c>
      <c r="I2" s="2986">
        <v>2</v>
      </c>
      <c r="J2" s="2986">
        <v>2</v>
      </c>
      <c r="K2" s="2986">
        <v>2</v>
      </c>
      <c r="L2" s="2986">
        <v>2</v>
      </c>
      <c r="M2" s="2988">
        <v>2</v>
      </c>
    </row>
    <row r="3" spans="1:13">
      <c r="A3" s="2989" t="s">
        <v>1210</v>
      </c>
      <c r="B3" s="2990">
        <v>3.5</v>
      </c>
      <c r="C3" s="2990">
        <v>3.5</v>
      </c>
      <c r="D3" s="2991">
        <v>2.5</v>
      </c>
      <c r="E3" s="2991">
        <v>2.5</v>
      </c>
      <c r="F3" s="2991">
        <v>2.5</v>
      </c>
      <c r="G3" s="2991">
        <v>2.5</v>
      </c>
      <c r="H3" s="2991">
        <v>2.5</v>
      </c>
      <c r="I3" s="2990">
        <v>2</v>
      </c>
      <c r="J3" s="2990">
        <v>2</v>
      </c>
      <c r="K3" s="2990">
        <v>2</v>
      </c>
      <c r="L3" s="2990">
        <v>2</v>
      </c>
      <c r="M3" s="2992">
        <v>2</v>
      </c>
    </row>
    <row r="4" spans="1:13">
      <c r="A4" s="2989" t="s">
        <v>849</v>
      </c>
      <c r="B4" s="2991">
        <v>2.5</v>
      </c>
      <c r="C4" s="2991">
        <v>2.5</v>
      </c>
      <c r="D4" s="2991">
        <v>2.5</v>
      </c>
      <c r="E4" s="2991">
        <v>2.5</v>
      </c>
      <c r="F4" s="2991">
        <v>2.5</v>
      </c>
      <c r="G4" s="2991">
        <v>2.5</v>
      </c>
      <c r="H4" s="2991">
        <v>2.5</v>
      </c>
      <c r="I4" s="2990">
        <v>1.5</v>
      </c>
      <c r="J4" s="2990">
        <v>1.5</v>
      </c>
      <c r="K4" s="2990">
        <v>1.5</v>
      </c>
      <c r="L4" s="2990">
        <v>1.5</v>
      </c>
      <c r="M4" s="2992">
        <v>1.5</v>
      </c>
    </row>
    <row r="5" spans="1:13">
      <c r="A5" s="2993" t="s">
        <v>903</v>
      </c>
      <c r="B5" s="2990">
        <v>1.5</v>
      </c>
      <c r="C5" s="2990">
        <v>1.5</v>
      </c>
      <c r="D5" s="2990">
        <v>1.5</v>
      </c>
      <c r="E5" s="2990">
        <v>1.5</v>
      </c>
      <c r="F5" s="2990">
        <v>1.5</v>
      </c>
      <c r="G5" s="2990">
        <v>1.2</v>
      </c>
      <c r="H5" s="2990">
        <v>1.2</v>
      </c>
      <c r="I5" s="2990">
        <v>1</v>
      </c>
      <c r="J5" s="2990">
        <v>1</v>
      </c>
      <c r="K5" s="2990">
        <v>1</v>
      </c>
      <c r="L5" s="2990">
        <v>1</v>
      </c>
      <c r="M5" s="2992">
        <v>1</v>
      </c>
    </row>
    <row r="6" spans="1:13">
      <c r="A6" s="2994" t="s">
        <v>2761</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2733</v>
      </c>
      <c r="B7" s="2999">
        <v>2.5</v>
      </c>
      <c r="C7" s="2999">
        <v>2.5</v>
      </c>
      <c r="D7" s="2999">
        <v>2</v>
      </c>
      <c r="E7" s="2999">
        <v>2</v>
      </c>
      <c r="F7" s="2999">
        <v>2</v>
      </c>
      <c r="G7" s="2999">
        <v>2</v>
      </c>
      <c r="H7" s="2999">
        <v>2</v>
      </c>
      <c r="I7" s="3000">
        <v>1.5</v>
      </c>
      <c r="J7" s="3000">
        <v>1.5</v>
      </c>
      <c r="K7" s="3000">
        <v>1.5</v>
      </c>
      <c r="L7" s="3000">
        <v>1.5</v>
      </c>
      <c r="M7" s="3001">
        <v>1.5</v>
      </c>
    </row>
    <row r="8" spans="1:13">
      <c r="A8" s="976" t="s">
        <v>2762</v>
      </c>
      <c r="B8" s="3002">
        <v>80</v>
      </c>
      <c r="C8" s="3002">
        <v>80</v>
      </c>
      <c r="D8" s="3002">
        <v>70</v>
      </c>
      <c r="E8" s="3002">
        <v>70</v>
      </c>
      <c r="F8" s="3002">
        <v>70</v>
      </c>
      <c r="G8" s="3002">
        <v>70</v>
      </c>
      <c r="H8" s="3002">
        <v>70</v>
      </c>
      <c r="I8" s="3002">
        <v>60</v>
      </c>
      <c r="J8" s="3002">
        <v>60</v>
      </c>
      <c r="K8" s="3002">
        <v>60</v>
      </c>
      <c r="L8" s="3002">
        <v>60</v>
      </c>
      <c r="M8" s="3003">
        <v>60</v>
      </c>
    </row>
    <row r="9" spans="1:13">
      <c r="A9" s="959" t="s">
        <v>2763</v>
      </c>
      <c r="B9" s="3004">
        <v>70</v>
      </c>
      <c r="C9" s="3004">
        <v>70</v>
      </c>
      <c r="D9" s="3004">
        <v>60</v>
      </c>
      <c r="E9" s="3004">
        <v>60</v>
      </c>
      <c r="F9" s="3004">
        <v>60</v>
      </c>
      <c r="G9" s="3004">
        <v>60</v>
      </c>
      <c r="H9" s="3004">
        <v>60</v>
      </c>
      <c r="I9" s="3004">
        <v>50</v>
      </c>
      <c r="J9" s="3004">
        <v>50</v>
      </c>
      <c r="K9" s="3004">
        <v>50</v>
      </c>
      <c r="L9" s="3004">
        <v>50</v>
      </c>
      <c r="M9" s="3005">
        <v>50</v>
      </c>
    </row>
    <row r="10" spans="1:13">
      <c r="A10" s="959" t="s">
        <v>2764</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2765</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2766</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2767</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2768</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2769</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875</v>
      </c>
      <c r="B16" s="978">
        <v>0</v>
      </c>
      <c r="C16" s="978">
        <v>0</v>
      </c>
      <c r="D16" s="978">
        <v>0</v>
      </c>
      <c r="E16" s="978">
        <v>0</v>
      </c>
      <c r="F16" s="978">
        <v>0</v>
      </c>
      <c r="G16" s="978">
        <v>0</v>
      </c>
      <c r="H16" s="978">
        <v>0</v>
      </c>
      <c r="I16" s="978">
        <v>0</v>
      </c>
      <c r="J16" s="978">
        <v>0</v>
      </c>
      <c r="K16" s="978">
        <v>0</v>
      </c>
      <c r="L16" s="978">
        <v>0</v>
      </c>
      <c r="M16" s="978">
        <v>0</v>
      </c>
    </row>
    <row r="17" spans="1:13">
      <c r="A17" s="2404" t="s">
        <v>2770</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1158</v>
      </c>
      <c r="B18" s="979"/>
      <c r="C18" s="980"/>
      <c r="D18" s="980"/>
      <c r="E18" s="979"/>
      <c r="F18" s="980"/>
      <c r="G18" s="980"/>
    </row>
    <row r="19" spans="1:13" ht="14.25" thickBot="1">
      <c r="A19" s="3006" t="s">
        <v>2452</v>
      </c>
      <c r="B19" s="3008" t="s">
        <v>2453</v>
      </c>
      <c r="C19" s="3009" t="s">
        <v>2454</v>
      </c>
      <c r="D19" s="3010"/>
      <c r="E19" s="3004" t="s">
        <v>2455</v>
      </c>
      <c r="F19" s="982"/>
      <c r="G19" s="982"/>
    </row>
    <row r="20" spans="1:13">
      <c r="A20" s="3792" t="s">
        <v>2446</v>
      </c>
      <c r="B20" s="3795" t="s">
        <v>2456</v>
      </c>
      <c r="C20" s="3011" t="s">
        <v>2457</v>
      </c>
      <c r="D20" s="3012"/>
      <c r="E20" s="3013">
        <v>1</v>
      </c>
      <c r="F20" s="3014" t="s">
        <v>2458</v>
      </c>
      <c r="G20" s="984"/>
    </row>
    <row r="21" spans="1:13">
      <c r="A21" s="3793"/>
      <c r="B21" s="3791"/>
      <c r="C21" s="3015" t="s">
        <v>2459</v>
      </c>
      <c r="D21" s="3016"/>
      <c r="E21" s="3017">
        <v>1</v>
      </c>
      <c r="F21" s="3014" t="s">
        <v>2460</v>
      </c>
      <c r="G21" s="984"/>
    </row>
    <row r="22" spans="1:13">
      <c r="A22" s="3793"/>
      <c r="B22" s="3791"/>
      <c r="C22" s="3015" t="s">
        <v>2461</v>
      </c>
      <c r="D22" s="3016"/>
      <c r="E22" s="3017">
        <v>0.9</v>
      </c>
      <c r="F22" s="3014" t="s">
        <v>2462</v>
      </c>
      <c r="G22" s="984"/>
    </row>
    <row r="23" spans="1:13">
      <c r="A23" s="3793"/>
      <c r="B23" s="3791"/>
      <c r="C23" s="3015" t="s">
        <v>2463</v>
      </c>
      <c r="D23" s="3016"/>
      <c r="E23" s="3017">
        <v>0.9</v>
      </c>
      <c r="F23" s="3014" t="s">
        <v>2464</v>
      </c>
      <c r="G23" s="984"/>
    </row>
    <row r="24" spans="1:13">
      <c r="A24" s="3793"/>
      <c r="B24" s="3791"/>
      <c r="C24" s="3015" t="s">
        <v>2465</v>
      </c>
      <c r="D24" s="3016"/>
      <c r="E24" s="3017">
        <v>0.8</v>
      </c>
      <c r="F24" s="3014" t="s">
        <v>2466</v>
      </c>
      <c r="G24" s="984"/>
    </row>
    <row r="25" spans="1:13" ht="14.25" thickBot="1">
      <c r="A25" s="3794"/>
      <c r="B25" s="3796"/>
      <c r="C25" s="3018" t="s">
        <v>2467</v>
      </c>
      <c r="D25" s="3019"/>
      <c r="E25" s="3020">
        <v>0.8</v>
      </c>
      <c r="F25" s="3014" t="s">
        <v>2468</v>
      </c>
      <c r="G25" s="984"/>
    </row>
    <row r="26" spans="1:13" ht="14.25" thickBot="1">
      <c r="A26" s="3021" t="s">
        <v>2447</v>
      </c>
      <c r="B26" s="3022" t="s">
        <v>2456</v>
      </c>
      <c r="C26" s="3023" t="s">
        <v>2469</v>
      </c>
      <c r="D26" s="3024"/>
      <c r="E26" s="3025">
        <v>1</v>
      </c>
      <c r="F26" s="3014" t="s">
        <v>2470</v>
      </c>
      <c r="G26" s="984"/>
    </row>
    <row r="27" spans="1:13">
      <c r="A27" s="3797" t="s">
        <v>2451</v>
      </c>
      <c r="B27" s="3795" t="s">
        <v>2451</v>
      </c>
      <c r="C27" s="3011" t="s">
        <v>2471</v>
      </c>
      <c r="D27" s="3012"/>
      <c r="E27" s="3013">
        <v>1</v>
      </c>
      <c r="F27" s="3014" t="s">
        <v>2472</v>
      </c>
      <c r="G27" s="984"/>
    </row>
    <row r="28" spans="1:13">
      <c r="A28" s="3798"/>
      <c r="B28" s="3791"/>
      <c r="C28" s="3015" t="s">
        <v>2473</v>
      </c>
      <c r="D28" s="3016"/>
      <c r="E28" s="3017">
        <v>1</v>
      </c>
      <c r="F28" s="3014" t="s">
        <v>2474</v>
      </c>
      <c r="G28" s="984"/>
    </row>
    <row r="29" spans="1:13">
      <c r="A29" s="3798"/>
      <c r="B29" s="3791"/>
      <c r="C29" s="3015" t="s">
        <v>2475</v>
      </c>
      <c r="D29" s="3016"/>
      <c r="E29" s="3017">
        <v>0.8</v>
      </c>
      <c r="F29" s="3014" t="s">
        <v>2476</v>
      </c>
      <c r="G29" s="984"/>
    </row>
    <row r="30" spans="1:13">
      <c r="A30" s="3798"/>
      <c r="B30" s="3791"/>
      <c r="C30" s="3015" t="s">
        <v>2477</v>
      </c>
      <c r="D30" s="3016"/>
      <c r="E30" s="3017">
        <v>0.8</v>
      </c>
      <c r="F30" s="3014" t="s">
        <v>2478</v>
      </c>
      <c r="G30" s="984"/>
    </row>
    <row r="31" spans="1:13">
      <c r="A31" s="3798"/>
      <c r="B31" s="3791"/>
      <c r="C31" s="3015" t="s">
        <v>2479</v>
      </c>
      <c r="D31" s="3016"/>
      <c r="E31" s="3017">
        <v>0.8</v>
      </c>
      <c r="F31" s="3014" t="s">
        <v>2480</v>
      </c>
      <c r="G31" s="984"/>
    </row>
    <row r="32" spans="1:13">
      <c r="A32" s="3798"/>
      <c r="B32" s="3791"/>
      <c r="C32" s="3015" t="s">
        <v>2481</v>
      </c>
      <c r="D32" s="3016"/>
      <c r="E32" s="3017">
        <v>0.7</v>
      </c>
      <c r="F32" s="3014" t="s">
        <v>2482</v>
      </c>
      <c r="G32" s="984"/>
    </row>
    <row r="33" spans="1:7">
      <c r="A33" s="3798"/>
      <c r="B33" s="3791"/>
      <c r="C33" s="3015" t="s">
        <v>2483</v>
      </c>
      <c r="D33" s="3016"/>
      <c r="E33" s="3017">
        <v>0.8</v>
      </c>
      <c r="F33" s="3014" t="s">
        <v>2484</v>
      </c>
      <c r="G33" s="984"/>
    </row>
    <row r="34" spans="1:7">
      <c r="A34" s="3798"/>
      <c r="B34" s="3791"/>
      <c r="C34" s="3015" t="s">
        <v>2485</v>
      </c>
      <c r="D34" s="3016"/>
      <c r="E34" s="3017">
        <v>0.6</v>
      </c>
      <c r="F34" s="3014" t="s">
        <v>2486</v>
      </c>
      <c r="G34" s="984"/>
    </row>
    <row r="35" spans="1:7">
      <c r="A35" s="3798"/>
      <c r="B35" s="3791"/>
      <c r="C35" s="3015" t="s">
        <v>2487</v>
      </c>
      <c r="D35" s="3016"/>
      <c r="E35" s="3017">
        <v>0.2</v>
      </c>
      <c r="F35" s="3014" t="s">
        <v>2488</v>
      </c>
      <c r="G35" s="984"/>
    </row>
    <row r="36" spans="1:7">
      <c r="A36" s="3798"/>
      <c r="B36" s="3791"/>
      <c r="C36" s="3015" t="s">
        <v>2489</v>
      </c>
      <c r="D36" s="3016"/>
      <c r="E36" s="3017">
        <v>0.2</v>
      </c>
      <c r="F36" s="3014" t="s">
        <v>2490</v>
      </c>
      <c r="G36" s="984"/>
    </row>
    <row r="37" spans="1:7">
      <c r="A37" s="3798"/>
      <c r="B37" s="3789" t="s">
        <v>2491</v>
      </c>
      <c r="C37" s="3015" t="s">
        <v>2492</v>
      </c>
      <c r="D37" s="3016"/>
      <c r="E37" s="3017">
        <v>0.6</v>
      </c>
      <c r="F37" s="3014" t="s">
        <v>2493</v>
      </c>
      <c r="G37" s="984"/>
    </row>
    <row r="38" spans="1:7">
      <c r="A38" s="3798"/>
      <c r="B38" s="3791"/>
      <c r="C38" s="3015" t="s">
        <v>2494</v>
      </c>
      <c r="D38" s="3016"/>
      <c r="E38" s="3017">
        <v>0.6</v>
      </c>
      <c r="F38" s="3014" t="s">
        <v>2495</v>
      </c>
      <c r="G38" s="984"/>
    </row>
    <row r="39" spans="1:7" ht="14.25" thickBot="1">
      <c r="A39" s="3799"/>
      <c r="B39" s="3796"/>
      <c r="C39" s="3018" t="s">
        <v>2496</v>
      </c>
      <c r="D39" s="3019"/>
      <c r="E39" s="3020">
        <v>0.6</v>
      </c>
      <c r="F39" s="3014" t="s">
        <v>2497</v>
      </c>
      <c r="G39" s="984"/>
    </row>
    <row r="40" spans="1:7" ht="14.25" thickBot="1">
      <c r="A40" s="3021" t="s">
        <v>2448</v>
      </c>
      <c r="B40" s="3022" t="s">
        <v>2448</v>
      </c>
      <c r="C40" s="3023" t="s">
        <v>2498</v>
      </c>
      <c r="D40" s="3024"/>
      <c r="E40" s="3025">
        <v>1</v>
      </c>
      <c r="F40" s="3014" t="s">
        <v>2499</v>
      </c>
      <c r="G40" s="984"/>
    </row>
    <row r="41" spans="1:7">
      <c r="A41" s="3792" t="s">
        <v>2449</v>
      </c>
      <c r="B41" s="3795" t="s">
        <v>2500</v>
      </c>
      <c r="C41" s="3011" t="s">
        <v>2501</v>
      </c>
      <c r="D41" s="3012"/>
      <c r="E41" s="3013">
        <v>1</v>
      </c>
      <c r="F41" s="3014" t="s">
        <v>2502</v>
      </c>
      <c r="G41" s="984"/>
    </row>
    <row r="42" spans="1:7">
      <c r="A42" s="3793"/>
      <c r="B42" s="3791"/>
      <c r="C42" s="3015" t="s">
        <v>2503</v>
      </c>
      <c r="D42" s="3016"/>
      <c r="E42" s="3017">
        <v>1</v>
      </c>
      <c r="F42" s="3014" t="s">
        <v>2504</v>
      </c>
      <c r="G42" s="984"/>
    </row>
    <row r="43" spans="1:7">
      <c r="A43" s="3793"/>
      <c r="B43" s="3790"/>
      <c r="C43" s="3015" t="s">
        <v>2505</v>
      </c>
      <c r="D43" s="3016"/>
      <c r="E43" s="3017">
        <v>1.5</v>
      </c>
      <c r="F43" s="3014" t="s">
        <v>2506</v>
      </c>
      <c r="G43" s="984"/>
    </row>
    <row r="44" spans="1:7">
      <c r="A44" s="3793"/>
      <c r="B44" s="3026" t="s">
        <v>2451</v>
      </c>
      <c r="C44" s="3015" t="s">
        <v>2450</v>
      </c>
      <c r="D44" s="3016"/>
      <c r="E44" s="3017">
        <v>2</v>
      </c>
      <c r="F44" s="3014" t="s">
        <v>2507</v>
      </c>
      <c r="G44" s="984"/>
    </row>
    <row r="45" spans="1:7">
      <c r="A45" s="3793"/>
      <c r="B45" s="3789" t="s">
        <v>2508</v>
      </c>
      <c r="C45" s="3015" t="s">
        <v>2509</v>
      </c>
      <c r="D45" s="3016"/>
      <c r="E45" s="3017">
        <v>1</v>
      </c>
      <c r="F45" s="3014" t="s">
        <v>2510</v>
      </c>
      <c r="G45" s="984"/>
    </row>
    <row r="46" spans="1:7">
      <c r="A46" s="3793"/>
      <c r="B46" s="3791"/>
      <c r="C46" s="3015" t="s">
        <v>2511</v>
      </c>
      <c r="D46" s="3016"/>
      <c r="E46" s="3017">
        <v>1</v>
      </c>
      <c r="F46" s="3014" t="s">
        <v>2512</v>
      </c>
      <c r="G46" s="984"/>
    </row>
    <row r="47" spans="1:7">
      <c r="A47" s="3793"/>
      <c r="B47" s="3791"/>
      <c r="C47" s="3015" t="s">
        <v>2513</v>
      </c>
      <c r="D47" s="3016"/>
      <c r="E47" s="3017">
        <v>1</v>
      </c>
      <c r="F47" s="3014" t="s">
        <v>2514</v>
      </c>
      <c r="G47" s="984"/>
    </row>
    <row r="48" spans="1:7">
      <c r="A48" s="3793"/>
      <c r="B48" s="3791"/>
      <c r="C48" s="3015" t="s">
        <v>2515</v>
      </c>
      <c r="D48" s="3016"/>
      <c r="E48" s="3017">
        <v>1</v>
      </c>
      <c r="F48" s="3014" t="s">
        <v>2516</v>
      </c>
      <c r="G48" s="984"/>
    </row>
    <row r="49" spans="1:9">
      <c r="A49" s="3793"/>
      <c r="B49" s="3791"/>
      <c r="C49" s="3015" t="s">
        <v>2517</v>
      </c>
      <c r="D49" s="3016"/>
      <c r="E49" s="3017">
        <v>1</v>
      </c>
      <c r="F49" s="3014" t="s">
        <v>2518</v>
      </c>
      <c r="G49" s="984"/>
    </row>
    <row r="50" spans="1:9">
      <c r="A50" s="3793"/>
      <c r="B50" s="3791"/>
      <c r="C50" s="3015" t="s">
        <v>2519</v>
      </c>
      <c r="D50" s="3016"/>
      <c r="E50" s="3017">
        <v>1</v>
      </c>
      <c r="F50" s="3014" t="s">
        <v>2520</v>
      </c>
      <c r="G50" s="984"/>
    </row>
    <row r="51" spans="1:9" ht="14.25" thickBot="1">
      <c r="A51" s="3794"/>
      <c r="B51" s="3796"/>
      <c r="C51" s="3018" t="s">
        <v>2521</v>
      </c>
      <c r="D51" s="3019"/>
      <c r="E51" s="3020">
        <v>1</v>
      </c>
      <c r="F51" s="3014" t="s">
        <v>2522</v>
      </c>
      <c r="G51" s="984"/>
    </row>
    <row r="52" spans="1:9">
      <c r="A52" s="1328"/>
      <c r="B52" s="1328"/>
      <c r="C52" s="1328"/>
      <c r="D52" s="1328"/>
      <c r="E52" s="1328"/>
      <c r="F52" s="983"/>
      <c r="G52" s="983"/>
    </row>
    <row r="54" spans="1:9">
      <c r="A54" s="985"/>
      <c r="B54" s="960" t="s">
        <v>1160</v>
      </c>
      <c r="C54" s="960" t="s">
        <v>1160</v>
      </c>
      <c r="D54" s="960" t="s">
        <v>1160</v>
      </c>
      <c r="E54" s="999" t="s">
        <v>1160</v>
      </c>
      <c r="F54" s="999" t="s">
        <v>1161</v>
      </c>
      <c r="G54" s="999" t="s">
        <v>1160</v>
      </c>
      <c r="I54" s="958"/>
    </row>
    <row r="55" spans="1:9">
      <c r="A55" s="986"/>
      <c r="B55" s="999" t="s">
        <v>927</v>
      </c>
      <c r="C55" s="999" t="s">
        <v>927</v>
      </c>
      <c r="D55" s="999" t="s">
        <v>927</v>
      </c>
      <c r="E55" s="960" t="s">
        <v>949</v>
      </c>
      <c r="F55" s="960" t="s">
        <v>1156</v>
      </c>
      <c r="G55" s="960" t="s">
        <v>1162</v>
      </c>
      <c r="I55" s="958"/>
    </row>
    <row r="56" spans="1:9">
      <c r="A56" s="987"/>
      <c r="B56" s="960">
        <v>1</v>
      </c>
      <c r="C56" s="960">
        <v>2</v>
      </c>
      <c r="D56" s="960">
        <v>3</v>
      </c>
      <c r="E56" s="981" t="s">
        <v>2771</v>
      </c>
      <c r="F56" s="981" t="s">
        <v>2771</v>
      </c>
      <c r="G56" s="981" t="s">
        <v>2771</v>
      </c>
      <c r="I56" s="958"/>
    </row>
    <row r="57" spans="1:9">
      <c r="A57" s="998" t="s">
        <v>834</v>
      </c>
      <c r="B57" s="3004">
        <v>0.7</v>
      </c>
      <c r="C57" s="3004">
        <v>0.4</v>
      </c>
      <c r="D57" s="3004">
        <v>0.3</v>
      </c>
      <c r="E57" s="3010">
        <v>0.3</v>
      </c>
      <c r="F57" s="3004">
        <v>0.3</v>
      </c>
      <c r="G57" s="3004">
        <v>0.2</v>
      </c>
      <c r="I57" s="958"/>
    </row>
    <row r="58" spans="1:9">
      <c r="A58" s="998" t="s">
        <v>835</v>
      </c>
      <c r="B58" s="3004">
        <v>0.7</v>
      </c>
      <c r="C58" s="3004">
        <v>0.4</v>
      </c>
      <c r="D58" s="3004">
        <v>0.3</v>
      </c>
      <c r="E58" s="3004">
        <v>0.3</v>
      </c>
      <c r="F58" s="3004">
        <v>0.3</v>
      </c>
      <c r="G58" s="3004">
        <v>0.2</v>
      </c>
      <c r="I58" s="958"/>
    </row>
    <row r="59" spans="1:9">
      <c r="A59" s="998" t="s">
        <v>836</v>
      </c>
      <c r="B59" s="3004">
        <v>0.6</v>
      </c>
      <c r="C59" s="3004">
        <v>0.3</v>
      </c>
      <c r="D59" s="3004">
        <v>0.25</v>
      </c>
      <c r="E59" s="3004">
        <v>0.25</v>
      </c>
      <c r="F59" s="3004">
        <v>0.25</v>
      </c>
      <c r="G59" s="3004">
        <v>0.15</v>
      </c>
      <c r="I59" s="958"/>
    </row>
    <row r="60" spans="1:9">
      <c r="A60" s="998" t="s">
        <v>837</v>
      </c>
      <c r="B60" s="3004">
        <v>0.6</v>
      </c>
      <c r="C60" s="3004">
        <v>0.3</v>
      </c>
      <c r="D60" s="3004">
        <v>0.25</v>
      </c>
      <c r="E60" s="3004">
        <v>0.25</v>
      </c>
      <c r="F60" s="3004">
        <v>0.25</v>
      </c>
      <c r="G60" s="3004">
        <v>0.15</v>
      </c>
      <c r="I60" s="958"/>
    </row>
    <row r="61" spans="1:9" s="974" customFormat="1">
      <c r="A61" s="998" t="s">
        <v>838</v>
      </c>
      <c r="B61" s="3004">
        <v>0.6</v>
      </c>
      <c r="C61" s="3004">
        <v>0.3</v>
      </c>
      <c r="D61" s="3004">
        <v>0.25</v>
      </c>
      <c r="E61" s="3004">
        <v>0.25</v>
      </c>
      <c r="F61" s="3004">
        <v>0.25</v>
      </c>
      <c r="G61" s="3004">
        <v>0.15</v>
      </c>
    </row>
    <row r="62" spans="1:9" s="974" customFormat="1">
      <c r="A62" s="998" t="s">
        <v>839</v>
      </c>
      <c r="B62" s="3004">
        <v>0.6</v>
      </c>
      <c r="C62" s="3004">
        <v>0.3</v>
      </c>
      <c r="D62" s="3004">
        <v>0.25</v>
      </c>
      <c r="E62" s="3004">
        <v>0.25</v>
      </c>
      <c r="F62" s="3004">
        <v>0.25</v>
      </c>
      <c r="G62" s="3004">
        <v>0.15</v>
      </c>
    </row>
    <row r="63" spans="1:9" s="974" customFormat="1">
      <c r="A63" s="998" t="s">
        <v>840</v>
      </c>
      <c r="B63" s="3004">
        <v>0.6</v>
      </c>
      <c r="C63" s="3004">
        <v>0.3</v>
      </c>
      <c r="D63" s="3004">
        <v>0.25</v>
      </c>
      <c r="E63" s="3004">
        <v>0.25</v>
      </c>
      <c r="F63" s="3004">
        <v>0.25</v>
      </c>
      <c r="G63" s="3004">
        <v>0.15</v>
      </c>
    </row>
    <row r="64" spans="1:9" s="974" customFormat="1">
      <c r="A64" s="998" t="s">
        <v>841</v>
      </c>
      <c r="B64" s="3004">
        <v>0.5</v>
      </c>
      <c r="C64" s="3004">
        <v>0.2</v>
      </c>
      <c r="D64" s="3004">
        <v>0.2</v>
      </c>
      <c r="E64" s="3004">
        <v>0.2</v>
      </c>
      <c r="F64" s="3004">
        <v>0.2</v>
      </c>
      <c r="G64" s="3004">
        <v>0.1</v>
      </c>
    </row>
    <row r="65" spans="1:8" s="974" customFormat="1">
      <c r="A65" s="998" t="s">
        <v>842</v>
      </c>
      <c r="B65" s="3004">
        <v>0.5</v>
      </c>
      <c r="C65" s="3004">
        <v>0.2</v>
      </c>
      <c r="D65" s="3004">
        <v>0.2</v>
      </c>
      <c r="E65" s="3004">
        <v>0.2</v>
      </c>
      <c r="F65" s="3004">
        <v>0.2</v>
      </c>
      <c r="G65" s="3004">
        <v>0.1</v>
      </c>
    </row>
    <row r="66" spans="1:8" s="974" customFormat="1">
      <c r="A66" s="998" t="s">
        <v>843</v>
      </c>
      <c r="B66" s="3004">
        <v>0.5</v>
      </c>
      <c r="C66" s="3004">
        <v>0.2</v>
      </c>
      <c r="D66" s="3004">
        <v>0.2</v>
      </c>
      <c r="E66" s="3004">
        <v>0.2</v>
      </c>
      <c r="F66" s="3004">
        <v>0.2</v>
      </c>
      <c r="G66" s="3004">
        <v>0.1</v>
      </c>
    </row>
    <row r="67" spans="1:8" s="974" customFormat="1">
      <c r="A67" s="998" t="s">
        <v>844</v>
      </c>
      <c r="B67" s="3004">
        <v>0.5</v>
      </c>
      <c r="C67" s="3004">
        <v>0.2</v>
      </c>
      <c r="D67" s="3004">
        <v>0.2</v>
      </c>
      <c r="E67" s="3004">
        <v>0.2</v>
      </c>
      <c r="F67" s="3004">
        <v>0.2</v>
      </c>
      <c r="G67" s="3004">
        <v>0.1</v>
      </c>
    </row>
    <row r="68" spans="1:8" s="974" customFormat="1">
      <c r="A68" s="998" t="s">
        <v>845</v>
      </c>
      <c r="B68" s="3004">
        <v>0.5</v>
      </c>
      <c r="C68" s="3004">
        <v>0.2</v>
      </c>
      <c r="D68" s="3004">
        <v>0.2</v>
      </c>
      <c r="E68" s="3004">
        <v>0.2</v>
      </c>
      <c r="F68" s="3004">
        <v>0.2</v>
      </c>
      <c r="G68" s="3004">
        <v>0.1</v>
      </c>
    </row>
    <row r="70" spans="1:8" s="974" customFormat="1">
      <c r="A70" s="984"/>
      <c r="B70" s="979"/>
      <c r="C70" s="979"/>
      <c r="D70" s="979" t="s">
        <v>1163</v>
      </c>
      <c r="E70" s="979"/>
      <c r="F70" s="979"/>
    </row>
    <row r="71" spans="1:8" s="974" customFormat="1">
      <c r="A71" s="1000" t="s">
        <v>1164</v>
      </c>
      <c r="B71" s="1000" t="s">
        <v>1165</v>
      </c>
      <c r="C71" s="1000" t="s">
        <v>1166</v>
      </c>
      <c r="D71" s="1000" t="s">
        <v>1167</v>
      </c>
      <c r="E71" s="1000" t="s">
        <v>1168</v>
      </c>
      <c r="F71" s="1000" t="s">
        <v>1169</v>
      </c>
    </row>
    <row r="72" spans="1:8" s="974" customFormat="1">
      <c r="A72" s="1000"/>
      <c r="B72" s="1000"/>
      <c r="C72" s="1000" t="s">
        <v>2523</v>
      </c>
      <c r="D72" s="1000"/>
      <c r="E72" s="988" t="s">
        <v>1157</v>
      </c>
      <c r="F72" s="1000" t="s">
        <v>1157</v>
      </c>
    </row>
    <row r="73" spans="1:8" s="974" customFormat="1">
      <c r="A73" s="3026">
        <v>1</v>
      </c>
      <c r="B73" s="3789" t="s">
        <v>2524</v>
      </c>
      <c r="C73" s="3004" t="s">
        <v>2525</v>
      </c>
      <c r="D73" s="3004" t="s">
        <v>2526</v>
      </c>
      <c r="E73" s="3027">
        <v>0.2</v>
      </c>
      <c r="F73" s="3026">
        <v>25</v>
      </c>
      <c r="H73" s="974">
        <f>SUMIF(C71:C139,基准地价!C8,E71:E139)</f>
        <v>0</v>
      </c>
    </row>
    <row r="74" spans="1:8" s="974" customFormat="1" ht="24">
      <c r="A74" s="3026">
        <v>2</v>
      </c>
      <c r="B74" s="3791"/>
      <c r="C74" s="3004" t="s">
        <v>2527</v>
      </c>
      <c r="D74" s="3004" t="s">
        <v>2528</v>
      </c>
      <c r="E74" s="3027">
        <v>0.2</v>
      </c>
      <c r="F74" s="3026">
        <v>25</v>
      </c>
    </row>
    <row r="75" spans="1:8" s="974" customFormat="1" ht="24">
      <c r="A75" s="3026">
        <v>3</v>
      </c>
      <c r="B75" s="3791"/>
      <c r="C75" s="3004" t="s">
        <v>2529</v>
      </c>
      <c r="D75" s="3004" t="s">
        <v>2530</v>
      </c>
      <c r="E75" s="3027">
        <v>0.2</v>
      </c>
      <c r="F75" s="3026">
        <v>25</v>
      </c>
    </row>
    <row r="76" spans="1:8" s="974" customFormat="1">
      <c r="A76" s="3026">
        <v>4</v>
      </c>
      <c r="B76" s="3791"/>
      <c r="C76" s="3004" t="s">
        <v>2531</v>
      </c>
      <c r="D76" s="3004" t="s">
        <v>2532</v>
      </c>
      <c r="E76" s="3027">
        <v>0.15</v>
      </c>
      <c r="F76" s="3026">
        <v>20</v>
      </c>
    </row>
    <row r="77" spans="1:8" s="974" customFormat="1" ht="24">
      <c r="A77" s="3026">
        <v>5</v>
      </c>
      <c r="B77" s="3791"/>
      <c r="C77" s="3004" t="s">
        <v>2533</v>
      </c>
      <c r="D77" s="3004" t="s">
        <v>2534</v>
      </c>
      <c r="E77" s="3027">
        <v>0.15</v>
      </c>
      <c r="F77" s="3026">
        <v>20</v>
      </c>
    </row>
    <row r="78" spans="1:8" s="974" customFormat="1" ht="24">
      <c r="A78" s="3026">
        <v>6</v>
      </c>
      <c r="B78" s="3791"/>
      <c r="C78" s="3004" t="s">
        <v>2535</v>
      </c>
      <c r="D78" s="3004" t="s">
        <v>2536</v>
      </c>
      <c r="E78" s="3027">
        <v>0.15</v>
      </c>
      <c r="F78" s="3026">
        <v>20</v>
      </c>
    </row>
    <row r="79" spans="1:8" s="974" customFormat="1" ht="24">
      <c r="A79" s="3026">
        <v>7</v>
      </c>
      <c r="B79" s="3791"/>
      <c r="C79" s="3004" t="s">
        <v>2537</v>
      </c>
      <c r="D79" s="3004" t="s">
        <v>2538</v>
      </c>
      <c r="E79" s="3027">
        <v>0.15</v>
      </c>
      <c r="F79" s="3026">
        <v>20</v>
      </c>
    </row>
    <row r="80" spans="1:8" s="974" customFormat="1" ht="24">
      <c r="A80" s="3026">
        <v>8</v>
      </c>
      <c r="B80" s="3791"/>
      <c r="C80" s="3004" t="s">
        <v>2539</v>
      </c>
      <c r="D80" s="3004" t="s">
        <v>2540</v>
      </c>
      <c r="E80" s="3027">
        <v>0.1</v>
      </c>
      <c r="F80" s="3026">
        <v>15</v>
      </c>
    </row>
    <row r="81" spans="1:6" s="974" customFormat="1" ht="24">
      <c r="A81" s="3026">
        <v>9</v>
      </c>
      <c r="B81" s="3791"/>
      <c r="C81" s="3004" t="s">
        <v>2541</v>
      </c>
      <c r="D81" s="3004" t="s">
        <v>2542</v>
      </c>
      <c r="E81" s="3027">
        <v>0.1</v>
      </c>
      <c r="F81" s="3026">
        <v>15</v>
      </c>
    </row>
    <row r="82" spans="1:6" s="974" customFormat="1" ht="24">
      <c r="A82" s="3026">
        <v>10</v>
      </c>
      <c r="B82" s="3791"/>
      <c r="C82" s="3004" t="s">
        <v>2543</v>
      </c>
      <c r="D82" s="3004" t="s">
        <v>2544</v>
      </c>
      <c r="E82" s="3027">
        <v>0.1</v>
      </c>
      <c r="F82" s="3026">
        <v>15</v>
      </c>
    </row>
    <row r="83" spans="1:6" s="974" customFormat="1" ht="24">
      <c r="A83" s="3026">
        <v>11</v>
      </c>
      <c r="B83" s="3791"/>
      <c r="C83" s="3004" t="s">
        <v>2545</v>
      </c>
      <c r="D83" s="3004" t="s">
        <v>2546</v>
      </c>
      <c r="E83" s="3027">
        <v>0.1</v>
      </c>
      <c r="F83" s="3026">
        <v>15</v>
      </c>
    </row>
    <row r="84" spans="1:6" s="974" customFormat="1" ht="24">
      <c r="A84" s="3026">
        <v>12</v>
      </c>
      <c r="B84" s="3791"/>
      <c r="C84" s="3004" t="s">
        <v>2547</v>
      </c>
      <c r="D84" s="3004" t="s">
        <v>2548</v>
      </c>
      <c r="E84" s="3027">
        <v>0.1</v>
      </c>
      <c r="F84" s="3026">
        <v>15</v>
      </c>
    </row>
    <row r="85" spans="1:6" s="974" customFormat="1">
      <c r="A85" s="3026">
        <v>13</v>
      </c>
      <c r="B85" s="3791"/>
      <c r="C85" s="3004" t="s">
        <v>2549</v>
      </c>
      <c r="D85" s="3004" t="s">
        <v>2550</v>
      </c>
      <c r="E85" s="3027">
        <v>0.1</v>
      </c>
      <c r="F85" s="3026">
        <v>15</v>
      </c>
    </row>
    <row r="86" spans="1:6" s="974" customFormat="1">
      <c r="A86" s="3026">
        <v>14</v>
      </c>
      <c r="B86" s="3791"/>
      <c r="C86" s="3004" t="s">
        <v>2551</v>
      </c>
      <c r="D86" s="3004" t="s">
        <v>2552</v>
      </c>
      <c r="E86" s="3027">
        <v>0.1</v>
      </c>
      <c r="F86" s="3026">
        <v>15</v>
      </c>
    </row>
    <row r="87" spans="1:6" s="974" customFormat="1">
      <c r="A87" s="3026">
        <v>15</v>
      </c>
      <c r="B87" s="3791"/>
      <c r="C87" s="3004" t="s">
        <v>2553</v>
      </c>
      <c r="D87" s="3004" t="s">
        <v>2554</v>
      </c>
      <c r="E87" s="3027">
        <v>0.1</v>
      </c>
      <c r="F87" s="3026">
        <v>15</v>
      </c>
    </row>
    <row r="88" spans="1:6" s="974" customFormat="1" ht="24">
      <c r="A88" s="3026">
        <v>16</v>
      </c>
      <c r="B88" s="3791"/>
      <c r="C88" s="3004" t="s">
        <v>2555</v>
      </c>
      <c r="D88" s="3004" t="s">
        <v>2556</v>
      </c>
      <c r="E88" s="3027">
        <v>0.1</v>
      </c>
      <c r="F88" s="3026">
        <v>15</v>
      </c>
    </row>
    <row r="89" spans="1:6" s="974" customFormat="1" ht="24">
      <c r="A89" s="3026">
        <v>17</v>
      </c>
      <c r="B89" s="3790"/>
      <c r="C89" s="3004" t="s">
        <v>2557</v>
      </c>
      <c r="D89" s="3004" t="s">
        <v>2558</v>
      </c>
      <c r="E89" s="3027">
        <v>0.1</v>
      </c>
      <c r="F89" s="3026">
        <v>15</v>
      </c>
    </row>
    <row r="90" spans="1:6" s="974" customFormat="1">
      <c r="A90" s="3026">
        <v>18</v>
      </c>
      <c r="B90" s="3789" t="s">
        <v>2559</v>
      </c>
      <c r="C90" s="3004" t="s">
        <v>2560</v>
      </c>
      <c r="D90" s="3004" t="s">
        <v>2561</v>
      </c>
      <c r="E90" s="3027">
        <v>0.2</v>
      </c>
      <c r="F90" s="3026">
        <v>25</v>
      </c>
    </row>
    <row r="91" spans="1:6" s="974" customFormat="1" ht="24">
      <c r="A91" s="3026">
        <v>19</v>
      </c>
      <c r="B91" s="3791"/>
      <c r="C91" s="3004" t="s">
        <v>2562</v>
      </c>
      <c r="D91" s="3004" t="s">
        <v>2563</v>
      </c>
      <c r="E91" s="3027">
        <v>0.2</v>
      </c>
      <c r="F91" s="3026">
        <v>25</v>
      </c>
    </row>
    <row r="92" spans="1:6" s="974" customFormat="1">
      <c r="A92" s="3026">
        <v>20</v>
      </c>
      <c r="B92" s="3791"/>
      <c r="C92" s="3004" t="s">
        <v>2564</v>
      </c>
      <c r="D92" s="3004" t="s">
        <v>2565</v>
      </c>
      <c r="E92" s="3027">
        <v>0.15</v>
      </c>
      <c r="F92" s="3026">
        <v>20</v>
      </c>
    </row>
    <row r="93" spans="1:6" s="974" customFormat="1" ht="24">
      <c r="A93" s="3026">
        <v>21</v>
      </c>
      <c r="B93" s="3791"/>
      <c r="C93" s="3004" t="s">
        <v>2566</v>
      </c>
      <c r="D93" s="3004" t="s">
        <v>2567</v>
      </c>
      <c r="E93" s="3027">
        <v>0.15</v>
      </c>
      <c r="F93" s="3026">
        <v>20</v>
      </c>
    </row>
    <row r="94" spans="1:6" s="974" customFormat="1" ht="24">
      <c r="A94" s="3026">
        <v>22</v>
      </c>
      <c r="B94" s="3791"/>
      <c r="C94" s="3004" t="s">
        <v>2568</v>
      </c>
      <c r="D94" s="3004" t="s">
        <v>2569</v>
      </c>
      <c r="E94" s="3027">
        <v>0.15</v>
      </c>
      <c r="F94" s="3026">
        <v>20</v>
      </c>
    </row>
    <row r="95" spans="1:6" s="974" customFormat="1" ht="36">
      <c r="A95" s="3026">
        <v>23</v>
      </c>
      <c r="B95" s="3791"/>
      <c r="C95" s="3004" t="s">
        <v>2570</v>
      </c>
      <c r="D95" s="3004" t="s">
        <v>2571</v>
      </c>
      <c r="E95" s="3027">
        <v>0.15</v>
      </c>
      <c r="F95" s="3026">
        <v>20</v>
      </c>
    </row>
    <row r="96" spans="1:6" s="974" customFormat="1">
      <c r="A96" s="3026">
        <v>24</v>
      </c>
      <c r="B96" s="3791"/>
      <c r="C96" s="3004" t="s">
        <v>2572</v>
      </c>
      <c r="D96" s="3004" t="s">
        <v>2573</v>
      </c>
      <c r="E96" s="3027">
        <v>0.1</v>
      </c>
      <c r="F96" s="3026">
        <v>15</v>
      </c>
    </row>
    <row r="97" spans="1:6" s="974" customFormat="1" ht="24">
      <c r="A97" s="3026">
        <v>25</v>
      </c>
      <c r="B97" s="3791"/>
      <c r="C97" s="3004" t="s">
        <v>2574</v>
      </c>
      <c r="D97" s="3004" t="s">
        <v>2575</v>
      </c>
      <c r="E97" s="3027">
        <v>0.1</v>
      </c>
      <c r="F97" s="3026">
        <v>15</v>
      </c>
    </row>
    <row r="98" spans="1:6" s="974" customFormat="1" ht="24">
      <c r="A98" s="3026">
        <v>26</v>
      </c>
      <c r="B98" s="3791"/>
      <c r="C98" s="3004" t="s">
        <v>2576</v>
      </c>
      <c r="D98" s="3004" t="s">
        <v>2577</v>
      </c>
      <c r="E98" s="3027">
        <v>0.1</v>
      </c>
      <c r="F98" s="3026">
        <v>15</v>
      </c>
    </row>
    <row r="99" spans="1:6" s="974" customFormat="1" ht="24">
      <c r="A99" s="3026">
        <v>27</v>
      </c>
      <c r="B99" s="3791"/>
      <c r="C99" s="3004" t="s">
        <v>2578</v>
      </c>
      <c r="D99" s="3004" t="s">
        <v>2579</v>
      </c>
      <c r="E99" s="3027">
        <v>0.1</v>
      </c>
      <c r="F99" s="3026">
        <v>15</v>
      </c>
    </row>
    <row r="100" spans="1:6" s="974" customFormat="1" ht="24">
      <c r="A100" s="3026">
        <v>28</v>
      </c>
      <c r="B100" s="3791"/>
      <c r="C100" s="3004" t="s">
        <v>2580</v>
      </c>
      <c r="D100" s="3004" t="s">
        <v>2581</v>
      </c>
      <c r="E100" s="3027">
        <v>0.1</v>
      </c>
      <c r="F100" s="3026">
        <v>15</v>
      </c>
    </row>
    <row r="101" spans="1:6" s="974" customFormat="1" ht="24">
      <c r="A101" s="3026">
        <v>29</v>
      </c>
      <c r="B101" s="3791"/>
      <c r="C101" s="3004" t="s">
        <v>2582</v>
      </c>
      <c r="D101" s="3004" t="s">
        <v>2583</v>
      </c>
      <c r="E101" s="3027">
        <v>0.1</v>
      </c>
      <c r="F101" s="3026">
        <v>15</v>
      </c>
    </row>
    <row r="102" spans="1:6" s="974" customFormat="1" ht="24">
      <c r="A102" s="3026">
        <v>30</v>
      </c>
      <c r="B102" s="3791"/>
      <c r="C102" s="3004" t="s">
        <v>2584</v>
      </c>
      <c r="D102" s="3004" t="s">
        <v>2585</v>
      </c>
      <c r="E102" s="3027">
        <v>0.1</v>
      </c>
      <c r="F102" s="3026">
        <v>15</v>
      </c>
    </row>
    <row r="103" spans="1:6" s="974" customFormat="1" ht="24">
      <c r="A103" s="3026">
        <v>31</v>
      </c>
      <c r="B103" s="3791"/>
      <c r="C103" s="3004" t="s">
        <v>2586</v>
      </c>
      <c r="D103" s="3004" t="s">
        <v>2587</v>
      </c>
      <c r="E103" s="3027">
        <v>0.1</v>
      </c>
      <c r="F103" s="3026">
        <v>15</v>
      </c>
    </row>
    <row r="104" spans="1:6" s="974" customFormat="1" ht="24">
      <c r="A104" s="3026">
        <v>32</v>
      </c>
      <c r="B104" s="3791"/>
      <c r="C104" s="3004" t="s">
        <v>2588</v>
      </c>
      <c r="D104" s="3004" t="s">
        <v>2589</v>
      </c>
      <c r="E104" s="3027">
        <v>0.1</v>
      </c>
      <c r="F104" s="3026">
        <v>15</v>
      </c>
    </row>
    <row r="105" spans="1:6" s="974" customFormat="1" ht="24">
      <c r="A105" s="3026">
        <v>33</v>
      </c>
      <c r="B105" s="3791"/>
      <c r="C105" s="3004" t="s">
        <v>2590</v>
      </c>
      <c r="D105" s="3004" t="s">
        <v>2591</v>
      </c>
      <c r="E105" s="3027">
        <v>0.1</v>
      </c>
      <c r="F105" s="3026">
        <v>15</v>
      </c>
    </row>
    <row r="106" spans="1:6" s="974" customFormat="1" ht="24">
      <c r="A106" s="3026">
        <v>34</v>
      </c>
      <c r="B106" s="3790"/>
      <c r="C106" s="3004" t="s">
        <v>2592</v>
      </c>
      <c r="D106" s="3004" t="s">
        <v>2593</v>
      </c>
      <c r="E106" s="3027">
        <v>0.1</v>
      </c>
      <c r="F106" s="3026">
        <v>15</v>
      </c>
    </row>
    <row r="107" spans="1:6" s="974" customFormat="1" ht="24">
      <c r="A107" s="3026">
        <v>35</v>
      </c>
      <c r="B107" s="3789" t="s">
        <v>2594</v>
      </c>
      <c r="C107" s="3026" t="s">
        <v>2595</v>
      </c>
      <c r="D107" s="3004" t="s">
        <v>2596</v>
      </c>
      <c r="E107" s="3027">
        <v>0.15</v>
      </c>
      <c r="F107" s="3026">
        <v>20</v>
      </c>
    </row>
    <row r="108" spans="1:6" s="974" customFormat="1" ht="24">
      <c r="A108" s="3026">
        <v>36</v>
      </c>
      <c r="B108" s="3791"/>
      <c r="C108" s="3026" t="s">
        <v>2597</v>
      </c>
      <c r="D108" s="3004" t="s">
        <v>2598</v>
      </c>
      <c r="E108" s="3027">
        <v>0.15</v>
      </c>
      <c r="F108" s="3026">
        <v>20</v>
      </c>
    </row>
    <row r="109" spans="1:6" s="974" customFormat="1" ht="24">
      <c r="A109" s="3026">
        <v>37</v>
      </c>
      <c r="B109" s="3791"/>
      <c r="C109" s="3026" t="s">
        <v>2599</v>
      </c>
      <c r="D109" s="3004" t="s">
        <v>2600</v>
      </c>
      <c r="E109" s="3027">
        <v>0.15</v>
      </c>
      <c r="F109" s="3026">
        <v>20</v>
      </c>
    </row>
    <row r="110" spans="1:6" s="974" customFormat="1">
      <c r="A110" s="3026">
        <v>38</v>
      </c>
      <c r="B110" s="3791"/>
      <c r="C110" s="3026" t="s">
        <v>2601</v>
      </c>
      <c r="D110" s="3004" t="s">
        <v>2602</v>
      </c>
      <c r="E110" s="3027">
        <v>0.1</v>
      </c>
      <c r="F110" s="3026">
        <v>15</v>
      </c>
    </row>
    <row r="111" spans="1:6" s="974" customFormat="1" ht="24">
      <c r="A111" s="3026">
        <v>39</v>
      </c>
      <c r="B111" s="3791"/>
      <c r="C111" s="3026" t="s">
        <v>2603</v>
      </c>
      <c r="D111" s="3004" t="s">
        <v>2604</v>
      </c>
      <c r="E111" s="3027">
        <v>0.1</v>
      </c>
      <c r="F111" s="3026">
        <v>15</v>
      </c>
    </row>
    <row r="112" spans="1:6" s="974" customFormat="1" ht="24">
      <c r="A112" s="3026">
        <v>40</v>
      </c>
      <c r="B112" s="3790"/>
      <c r="C112" s="3026" t="s">
        <v>2605</v>
      </c>
      <c r="D112" s="3004" t="s">
        <v>2606</v>
      </c>
      <c r="E112" s="3027">
        <v>0.1</v>
      </c>
      <c r="F112" s="3026">
        <v>15</v>
      </c>
    </row>
    <row r="113" spans="1:6" s="974" customFormat="1" ht="24">
      <c r="A113" s="3026">
        <v>41</v>
      </c>
      <c r="B113" s="3788" t="s">
        <v>2607</v>
      </c>
      <c r="C113" s="3026" t="s">
        <v>2608</v>
      </c>
      <c r="D113" s="3004" t="s">
        <v>2609</v>
      </c>
      <c r="E113" s="3027">
        <v>0.1</v>
      </c>
      <c r="F113" s="3026">
        <v>15</v>
      </c>
    </row>
    <row r="114" spans="1:6" s="974" customFormat="1">
      <c r="A114" s="3026">
        <v>42</v>
      </c>
      <c r="B114" s="3788"/>
      <c r="C114" s="3026" t="s">
        <v>2610</v>
      </c>
      <c r="D114" s="3004" t="s">
        <v>2611</v>
      </c>
      <c r="E114" s="3027">
        <v>0.1</v>
      </c>
      <c r="F114" s="3026">
        <v>15</v>
      </c>
    </row>
    <row r="115" spans="1:6" s="974" customFormat="1" ht="24">
      <c r="A115" s="3026">
        <v>43</v>
      </c>
      <c r="B115" s="3788"/>
      <c r="C115" s="3026" t="s">
        <v>2612</v>
      </c>
      <c r="D115" s="3004" t="s">
        <v>2613</v>
      </c>
      <c r="E115" s="3027">
        <v>0.1</v>
      </c>
      <c r="F115" s="3026">
        <v>15</v>
      </c>
    </row>
    <row r="116" spans="1:6" s="974" customFormat="1" ht="24">
      <c r="A116" s="3026">
        <v>44</v>
      </c>
      <c r="B116" s="3789" t="s">
        <v>2614</v>
      </c>
      <c r="C116" s="3026" t="s">
        <v>2615</v>
      </c>
      <c r="D116" s="3004" t="s">
        <v>2616</v>
      </c>
      <c r="E116" s="3027">
        <v>0.1</v>
      </c>
      <c r="F116" s="3026">
        <v>15</v>
      </c>
    </row>
    <row r="117" spans="1:6" s="974" customFormat="1" ht="24">
      <c r="A117" s="3026">
        <v>45</v>
      </c>
      <c r="B117" s="3790"/>
      <c r="C117" s="3004" t="s">
        <v>2617</v>
      </c>
      <c r="D117" s="3004" t="s">
        <v>2618</v>
      </c>
      <c r="E117" s="3027">
        <v>0.1</v>
      </c>
      <c r="F117" s="3026">
        <v>15</v>
      </c>
    </row>
    <row r="118" spans="1:6" s="974" customFormat="1" ht="24">
      <c r="A118" s="3026">
        <v>46</v>
      </c>
      <c r="B118" s="3789" t="s">
        <v>2619</v>
      </c>
      <c r="C118" s="3026" t="s">
        <v>2620</v>
      </c>
      <c r="D118" s="3004" t="s">
        <v>2621</v>
      </c>
      <c r="E118" s="3027">
        <v>0.1</v>
      </c>
      <c r="F118" s="3026">
        <v>15</v>
      </c>
    </row>
    <row r="119" spans="1:6" s="974" customFormat="1" ht="24">
      <c r="A119" s="3026">
        <v>47</v>
      </c>
      <c r="B119" s="3790"/>
      <c r="C119" s="3026" t="s">
        <v>2622</v>
      </c>
      <c r="D119" s="3004" t="s">
        <v>2623</v>
      </c>
      <c r="E119" s="3027">
        <v>0.1</v>
      </c>
      <c r="F119" s="3026">
        <v>15</v>
      </c>
    </row>
    <row r="120" spans="1:6" s="974" customFormat="1" ht="24">
      <c r="A120" s="3026">
        <v>48</v>
      </c>
      <c r="B120" s="3789" t="s">
        <v>2624</v>
      </c>
      <c r="C120" s="3026" t="s">
        <v>2625</v>
      </c>
      <c r="D120" s="3004" t="s">
        <v>2626</v>
      </c>
      <c r="E120" s="3027">
        <v>0.1</v>
      </c>
      <c r="F120" s="3026">
        <v>15</v>
      </c>
    </row>
    <row r="121" spans="1:6" s="974" customFormat="1">
      <c r="A121" s="3026">
        <v>49</v>
      </c>
      <c r="B121" s="3790"/>
      <c r="C121" s="3026" t="s">
        <v>2627</v>
      </c>
      <c r="D121" s="3004" t="s">
        <v>2628</v>
      </c>
      <c r="E121" s="3027">
        <v>0.1</v>
      </c>
      <c r="F121" s="3026">
        <v>15</v>
      </c>
    </row>
    <row r="122" spans="1:6" s="974" customFormat="1" ht="24">
      <c r="A122" s="3026">
        <v>50</v>
      </c>
      <c r="B122" s="3788" t="s">
        <v>2629</v>
      </c>
      <c r="C122" s="3026" t="s">
        <v>2630</v>
      </c>
      <c r="D122" s="3004" t="s">
        <v>2631</v>
      </c>
      <c r="E122" s="3027">
        <v>0.1</v>
      </c>
      <c r="F122" s="3026">
        <v>15</v>
      </c>
    </row>
    <row r="123" spans="1:6" s="974" customFormat="1" ht="24">
      <c r="A123" s="3026">
        <v>51</v>
      </c>
      <c r="B123" s="3788"/>
      <c r="C123" s="3026" t="s">
        <v>2632</v>
      </c>
      <c r="D123" s="3004" t="s">
        <v>2633</v>
      </c>
      <c r="E123" s="3027">
        <v>0.1</v>
      </c>
      <c r="F123" s="3026">
        <v>15</v>
      </c>
    </row>
    <row r="124" spans="1:6" s="974" customFormat="1" ht="24">
      <c r="A124" s="3026">
        <v>52</v>
      </c>
      <c r="B124" s="3788" t="s">
        <v>2634</v>
      </c>
      <c r="C124" s="3026" t="s">
        <v>2635</v>
      </c>
      <c r="D124" s="3004" t="s">
        <v>2636</v>
      </c>
      <c r="E124" s="3027">
        <v>0.1</v>
      </c>
      <c r="F124" s="3026">
        <v>15</v>
      </c>
    </row>
    <row r="125" spans="1:6" s="974" customFormat="1" ht="24">
      <c r="A125" s="3026">
        <v>53</v>
      </c>
      <c r="B125" s="3788"/>
      <c r="C125" s="3026" t="s">
        <v>2637</v>
      </c>
      <c r="D125" s="3004" t="s">
        <v>2638</v>
      </c>
      <c r="E125" s="3027">
        <v>0.1</v>
      </c>
      <c r="F125" s="3026">
        <v>15</v>
      </c>
    </row>
    <row r="126" spans="1:6" ht="24">
      <c r="A126" s="3026">
        <v>54</v>
      </c>
      <c r="B126" s="3026" t="s">
        <v>2639</v>
      </c>
      <c r="C126" s="3026" t="s">
        <v>2640</v>
      </c>
      <c r="D126" s="3004" t="s">
        <v>2641</v>
      </c>
      <c r="E126" s="3027">
        <v>0.1</v>
      </c>
      <c r="F126" s="3026">
        <v>15</v>
      </c>
    </row>
    <row r="127" spans="1:6">
      <c r="A127" s="3026">
        <v>55</v>
      </c>
      <c r="B127" s="3788" t="s">
        <v>2642</v>
      </c>
      <c r="C127" s="3026" t="s">
        <v>2643</v>
      </c>
      <c r="D127" s="3004" t="s">
        <v>2644</v>
      </c>
      <c r="E127" s="3027">
        <v>0.1</v>
      </c>
      <c r="F127" s="3026">
        <v>15</v>
      </c>
    </row>
    <row r="128" spans="1:6">
      <c r="A128" s="3026">
        <v>56</v>
      </c>
      <c r="B128" s="3788"/>
      <c r="C128" s="3026" t="s">
        <v>2645</v>
      </c>
      <c r="D128" s="3004" t="s">
        <v>2646</v>
      </c>
      <c r="E128" s="3027">
        <v>0.1</v>
      </c>
      <c r="F128" s="3026">
        <v>15</v>
      </c>
    </row>
    <row r="129" spans="1:14" ht="24">
      <c r="A129" s="3026">
        <v>57</v>
      </c>
      <c r="B129" s="3788"/>
      <c r="C129" s="3026" t="s">
        <v>2647</v>
      </c>
      <c r="D129" s="3004" t="s">
        <v>2648</v>
      </c>
      <c r="E129" s="3027">
        <v>0.1</v>
      </c>
      <c r="F129" s="3026">
        <v>15</v>
      </c>
    </row>
    <row r="130" spans="1:14" ht="24">
      <c r="A130" s="3026">
        <v>58</v>
      </c>
      <c r="B130" s="3788" t="s">
        <v>2649</v>
      </c>
      <c r="C130" s="3026" t="s">
        <v>2650</v>
      </c>
      <c r="D130" s="3004" t="s">
        <v>2651</v>
      </c>
      <c r="E130" s="3027">
        <v>0.1</v>
      </c>
      <c r="F130" s="3026">
        <v>15</v>
      </c>
    </row>
    <row r="131" spans="1:14" ht="24">
      <c r="A131" s="3026">
        <v>59</v>
      </c>
      <c r="B131" s="3788"/>
      <c r="C131" s="3026" t="s">
        <v>2652</v>
      </c>
      <c r="D131" s="3004" t="s">
        <v>2653</v>
      </c>
      <c r="E131" s="3027">
        <v>0.1</v>
      </c>
      <c r="F131" s="3026">
        <v>15</v>
      </c>
    </row>
    <row r="132" spans="1:14" ht="24">
      <c r="A132" s="3026">
        <v>60</v>
      </c>
      <c r="B132" s="3789" t="s">
        <v>2654</v>
      </c>
      <c r="C132" s="3026" t="s">
        <v>2655</v>
      </c>
      <c r="D132" s="3004" t="s">
        <v>2656</v>
      </c>
      <c r="E132" s="3027">
        <v>0.1</v>
      </c>
      <c r="F132" s="3026">
        <v>15</v>
      </c>
    </row>
    <row r="133" spans="1:14" ht="24">
      <c r="A133" s="3026">
        <v>61</v>
      </c>
      <c r="B133" s="3790"/>
      <c r="C133" s="3026" t="s">
        <v>2657</v>
      </c>
      <c r="D133" s="3004" t="s">
        <v>2658</v>
      </c>
      <c r="E133" s="3027">
        <v>0.1</v>
      </c>
      <c r="F133" s="3026">
        <v>15</v>
      </c>
    </row>
    <row r="134" spans="1:14" ht="24">
      <c r="A134" s="3026">
        <v>62</v>
      </c>
      <c r="B134" s="3026" t="s">
        <v>2659</v>
      </c>
      <c r="C134" s="3026" t="s">
        <v>2660</v>
      </c>
      <c r="D134" s="3004" t="s">
        <v>2661</v>
      </c>
      <c r="E134" s="3027">
        <v>0.1</v>
      </c>
      <c r="F134" s="3026">
        <v>15</v>
      </c>
    </row>
    <row r="135" spans="1:14" ht="24">
      <c r="A135" s="3026">
        <v>63</v>
      </c>
      <c r="B135" s="3788" t="s">
        <v>2662</v>
      </c>
      <c r="C135" s="3026" t="s">
        <v>2663</v>
      </c>
      <c r="D135" s="3004" t="s">
        <v>2664</v>
      </c>
      <c r="E135" s="3027">
        <v>0.1</v>
      </c>
      <c r="F135" s="3026">
        <v>15</v>
      </c>
    </row>
    <row r="136" spans="1:14">
      <c r="A136" s="3026">
        <v>64</v>
      </c>
      <c r="B136" s="3788"/>
      <c r="C136" s="3026" t="s">
        <v>2665</v>
      </c>
      <c r="D136" s="3004" t="s">
        <v>2666</v>
      </c>
      <c r="E136" s="3027">
        <v>0.1</v>
      </c>
      <c r="F136" s="3026">
        <v>15</v>
      </c>
    </row>
    <row r="137" spans="1:14" ht="24">
      <c r="A137" s="3026">
        <v>65</v>
      </c>
      <c r="B137" s="3026" t="s">
        <v>2667</v>
      </c>
      <c r="C137" s="3026" t="s">
        <v>2668</v>
      </c>
      <c r="D137" s="3004" t="s">
        <v>2669</v>
      </c>
      <c r="E137" s="3027">
        <v>0.1</v>
      </c>
      <c r="F137" s="3026">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800" t="s">
        <v>2808</v>
      </c>
      <c r="B1" s="3800"/>
      <c r="C1" s="3800"/>
      <c r="D1" s="3800"/>
      <c r="E1" s="3800"/>
      <c r="F1" s="3800"/>
      <c r="G1" s="3801"/>
      <c r="I1" s="962"/>
      <c r="J1" s="3190" t="s">
        <v>959</v>
      </c>
      <c r="K1" s="3191" t="s">
        <v>960</v>
      </c>
      <c r="L1" s="3191" t="s">
        <v>961</v>
      </c>
      <c r="M1" s="3191" t="s">
        <v>962</v>
      </c>
      <c r="N1" s="3191" t="s">
        <v>963</v>
      </c>
      <c r="O1" s="3191" t="s">
        <v>964</v>
      </c>
      <c r="P1" s="3191" t="s">
        <v>965</v>
      </c>
      <c r="Q1" s="3191" t="s">
        <v>966</v>
      </c>
      <c r="R1" s="3191" t="s">
        <v>967</v>
      </c>
      <c r="S1" s="3191" t="s">
        <v>968</v>
      </c>
      <c r="T1" s="3191" t="s">
        <v>969</v>
      </c>
      <c r="U1" s="3192" t="s">
        <v>970</v>
      </c>
    </row>
    <row r="2" spans="1:21" ht="14.25" thickBot="1">
      <c r="A2" s="3154" t="s">
        <v>2809</v>
      </c>
      <c r="B2" s="3154"/>
      <c r="C2" s="3154"/>
      <c r="D2" s="3154"/>
      <c r="E2" s="3154"/>
      <c r="F2" s="3154"/>
      <c r="G2" s="3149" t="s">
        <v>2810</v>
      </c>
      <c r="J2" s="3178" t="s">
        <v>2816</v>
      </c>
      <c r="K2" s="3158" t="s">
        <v>2818</v>
      </c>
      <c r="L2" s="3158" t="s">
        <v>2820</v>
      </c>
      <c r="M2" s="3158" t="s">
        <v>2826</v>
      </c>
      <c r="N2" s="3158" t="s">
        <v>2836</v>
      </c>
      <c r="O2" s="3158" t="s">
        <v>2851</v>
      </c>
      <c r="P2" s="3158" t="s">
        <v>2888</v>
      </c>
      <c r="Q2" s="3158" t="s">
        <v>2919</v>
      </c>
      <c r="R2" s="3158" t="s">
        <v>2947</v>
      </c>
      <c r="S2" s="3158" t="s">
        <v>2982</v>
      </c>
      <c r="T2" s="3158" t="s">
        <v>3002</v>
      </c>
      <c r="U2" s="3158" t="s">
        <v>3014</v>
      </c>
    </row>
    <row r="3" spans="1:21" s="962" customFormat="1" ht="19.5" customHeight="1">
      <c r="A3" s="3802" t="s">
        <v>2811</v>
      </c>
      <c r="B3" s="3150"/>
      <c r="C3" s="3151" t="s">
        <v>2789</v>
      </c>
      <c r="D3" s="3151" t="s">
        <v>2812</v>
      </c>
      <c r="E3" s="3151" t="s">
        <v>2791</v>
      </c>
      <c r="F3" s="3151" t="s">
        <v>2813</v>
      </c>
      <c r="G3" s="3151" t="s">
        <v>2734</v>
      </c>
      <c r="H3" s="965"/>
      <c r="J3" s="3178" t="s">
        <v>2817</v>
      </c>
      <c r="K3" s="3158" t="s">
        <v>971</v>
      </c>
      <c r="L3" s="3158" t="s">
        <v>972</v>
      </c>
      <c r="M3" s="3158" t="s">
        <v>973</v>
      </c>
      <c r="N3" s="3158" t="s">
        <v>974</v>
      </c>
      <c r="O3" s="3158" t="s">
        <v>975</v>
      </c>
      <c r="P3" s="3158" t="s">
        <v>976</v>
      </c>
      <c r="Q3" s="3158" t="s">
        <v>977</v>
      </c>
      <c r="R3" s="3158" t="s">
        <v>978</v>
      </c>
      <c r="S3" s="3158" t="s">
        <v>979</v>
      </c>
      <c r="T3" s="3158" t="s">
        <v>3003</v>
      </c>
      <c r="U3" s="3158" t="s">
        <v>3015</v>
      </c>
    </row>
    <row r="4" spans="1:21" s="962" customFormat="1" ht="19.5" customHeight="1" thickBot="1">
      <c r="A4" s="3803"/>
      <c r="B4" s="3152" t="s">
        <v>2814</v>
      </c>
      <c r="C4" s="3152" t="s">
        <v>2815</v>
      </c>
      <c r="D4" s="3152" t="s">
        <v>2815</v>
      </c>
      <c r="E4" s="3152" t="s">
        <v>2815</v>
      </c>
      <c r="F4" s="3153" t="s">
        <v>2815</v>
      </c>
      <c r="G4" s="3153" t="s">
        <v>2815</v>
      </c>
      <c r="H4" s="965"/>
      <c r="J4" s="3178" t="s">
        <v>980</v>
      </c>
      <c r="K4" s="3158" t="s">
        <v>981</v>
      </c>
      <c r="L4" s="3158" t="s">
        <v>982</v>
      </c>
      <c r="M4" s="3158" t="s">
        <v>983</v>
      </c>
      <c r="N4" s="3158" t="s">
        <v>984</v>
      </c>
      <c r="O4" s="3158" t="s">
        <v>985</v>
      </c>
      <c r="P4" s="3158" t="s">
        <v>986</v>
      </c>
      <c r="Q4" s="3158" t="s">
        <v>987</v>
      </c>
      <c r="R4" s="3158" t="s">
        <v>2948</v>
      </c>
      <c r="S4" s="3158" t="s">
        <v>2983</v>
      </c>
      <c r="T4" s="3158" t="s">
        <v>3004</v>
      </c>
      <c r="U4" s="3158" t="s">
        <v>3016</v>
      </c>
    </row>
    <row r="5" spans="1:21" ht="14.25" customHeight="1">
      <c r="A5" s="3155" t="s">
        <v>988</v>
      </c>
      <c r="B5" s="3156" t="s">
        <v>2816</v>
      </c>
      <c r="C5" s="3156">
        <v>34550</v>
      </c>
      <c r="D5" s="3156">
        <v>34470</v>
      </c>
      <c r="E5" s="3156">
        <v>34330</v>
      </c>
      <c r="F5" s="3157">
        <v>13400</v>
      </c>
      <c r="G5" s="3157">
        <v>25450</v>
      </c>
      <c r="H5" s="966" t="s">
        <v>959</v>
      </c>
      <c r="I5" s="967">
        <f>SUMPRODUCT((B5:B9=基准地价!I2)*(C3:G3=基准地价!E2)*(C5:G9))</f>
        <v>0</v>
      </c>
      <c r="J5" s="3178" t="s">
        <v>989</v>
      </c>
      <c r="K5" s="3158" t="s">
        <v>990</v>
      </c>
      <c r="L5" s="3158" t="s">
        <v>991</v>
      </c>
      <c r="M5" s="3158" t="s">
        <v>992</v>
      </c>
      <c r="N5" s="3158" t="s">
        <v>993</v>
      </c>
      <c r="O5" s="3158" t="s">
        <v>994</v>
      </c>
      <c r="P5" s="3158" t="s">
        <v>995</v>
      </c>
      <c r="Q5" s="3158" t="s">
        <v>996</v>
      </c>
      <c r="R5" s="3158" t="s">
        <v>2949</v>
      </c>
      <c r="S5" s="3158" t="s">
        <v>2984</v>
      </c>
      <c r="T5" s="3158" t="s">
        <v>997</v>
      </c>
      <c r="U5" s="3158" t="s">
        <v>3017</v>
      </c>
    </row>
    <row r="6" spans="1:21" ht="14.25" customHeight="1">
      <c r="A6" s="3158" t="s">
        <v>988</v>
      </c>
      <c r="B6" s="3158" t="s">
        <v>2817</v>
      </c>
      <c r="C6" s="3158">
        <v>36990</v>
      </c>
      <c r="D6" s="3158">
        <v>36850</v>
      </c>
      <c r="E6" s="3158">
        <v>36700</v>
      </c>
      <c r="F6" s="3159">
        <v>14590</v>
      </c>
      <c r="G6" s="3159">
        <v>27450</v>
      </c>
      <c r="H6" s="968" t="s">
        <v>998</v>
      </c>
      <c r="I6" s="969">
        <f>SUMPRODUCT((B10:B29=基准地价!I2)*(C3:G3=基准地价!E2)*(C10:G29))</f>
        <v>0</v>
      </c>
      <c r="J6" s="3178" t="s">
        <v>999</v>
      </c>
      <c r="K6" s="3158" t="s">
        <v>1000</v>
      </c>
      <c r="L6" s="3158" t="s">
        <v>1001</v>
      </c>
      <c r="M6" s="3158" t="s">
        <v>1002</v>
      </c>
      <c r="N6" s="3158" t="s">
        <v>1003</v>
      </c>
      <c r="O6" s="3158" t="s">
        <v>1004</v>
      </c>
      <c r="P6" s="3158" t="s">
        <v>1005</v>
      </c>
      <c r="Q6" s="3158" t="s">
        <v>2920</v>
      </c>
      <c r="R6" s="3158" t="s">
        <v>2950</v>
      </c>
      <c r="S6" s="3158" t="s">
        <v>1006</v>
      </c>
      <c r="T6" s="3158" t="s">
        <v>3005</v>
      </c>
      <c r="U6" s="3158" t="s">
        <v>3018</v>
      </c>
    </row>
    <row r="7" spans="1:21" ht="14.25" customHeight="1">
      <c r="A7" s="3158" t="s">
        <v>988</v>
      </c>
      <c r="B7" s="1217" t="s">
        <v>980</v>
      </c>
      <c r="C7" s="3158">
        <v>34850</v>
      </c>
      <c r="D7" s="3158">
        <v>34690</v>
      </c>
      <c r="E7" s="3158">
        <v>34550</v>
      </c>
      <c r="F7" s="3159">
        <v>14360</v>
      </c>
      <c r="G7" s="3159">
        <v>25620</v>
      </c>
      <c r="H7" s="968" t="s">
        <v>836</v>
      </c>
      <c r="I7" s="969">
        <f>SUMPRODUCT((B30:B54=基准地价!I2)*(C3:G3=基准地价!E2)*(C30:G54))</f>
        <v>0</v>
      </c>
      <c r="K7" s="3158" t="s">
        <v>1007</v>
      </c>
      <c r="L7" s="3158" t="s">
        <v>1008</v>
      </c>
      <c r="M7" s="3158" t="s">
        <v>1009</v>
      </c>
      <c r="N7" s="3158" t="s">
        <v>1010</v>
      </c>
      <c r="O7" s="3158" t="s">
        <v>1011</v>
      </c>
      <c r="P7" s="3158" t="s">
        <v>1012</v>
      </c>
      <c r="Q7" s="3158" t="s">
        <v>2921</v>
      </c>
      <c r="R7" s="3158" t="s">
        <v>2951</v>
      </c>
      <c r="S7" s="3158" t="s">
        <v>2985</v>
      </c>
      <c r="T7" s="3158" t="s">
        <v>3006</v>
      </c>
      <c r="U7" s="1217" t="s">
        <v>3019</v>
      </c>
    </row>
    <row r="8" spans="1:21" ht="14.25" customHeight="1">
      <c r="A8" s="3158" t="s">
        <v>988</v>
      </c>
      <c r="B8" s="3158" t="s">
        <v>989</v>
      </c>
      <c r="C8" s="3158">
        <v>32630</v>
      </c>
      <c r="D8" s="3158">
        <v>32510</v>
      </c>
      <c r="E8" s="3158">
        <v>32420</v>
      </c>
      <c r="F8" s="3159">
        <v>13300</v>
      </c>
      <c r="G8" s="3159">
        <v>24010</v>
      </c>
      <c r="H8" s="968" t="s">
        <v>837</v>
      </c>
      <c r="I8" s="969">
        <f>SUMPRODUCT((B55:B86=基准地价!I2)*(C3:G3=基准地价!E2)*(C55:G86))</f>
        <v>0</v>
      </c>
      <c r="K8" s="3158" t="s">
        <v>1013</v>
      </c>
      <c r="L8" s="3158" t="s">
        <v>1014</v>
      </c>
      <c r="M8" s="3158" t="s">
        <v>1015</v>
      </c>
      <c r="N8" s="3158" t="s">
        <v>1016</v>
      </c>
      <c r="O8" s="3158" t="s">
        <v>1017</v>
      </c>
      <c r="P8" s="3158" t="s">
        <v>1018</v>
      </c>
      <c r="Q8" s="3158" t="s">
        <v>2922</v>
      </c>
      <c r="R8" s="3158" t="s">
        <v>1019</v>
      </c>
      <c r="S8" s="3158" t="s">
        <v>2986</v>
      </c>
      <c r="T8" s="3158" t="s">
        <v>3007</v>
      </c>
      <c r="U8" s="3158" t="s">
        <v>3020</v>
      </c>
    </row>
    <row r="9" spans="1:21" ht="14.25" customHeight="1" thickBot="1">
      <c r="A9" s="3172" t="s">
        <v>988</v>
      </c>
      <c r="B9" s="3160" t="s">
        <v>999</v>
      </c>
      <c r="C9" s="3161">
        <v>36370</v>
      </c>
      <c r="D9" s="3161">
        <v>36210</v>
      </c>
      <c r="E9" s="3161">
        <v>36050</v>
      </c>
      <c r="F9" s="3162"/>
      <c r="G9" s="3163">
        <v>26740</v>
      </c>
      <c r="H9" s="968" t="s">
        <v>838</v>
      </c>
      <c r="I9" s="969">
        <f>SUMPRODUCT((B87:B126=基准地价!I2)*(C3:G3=基准地价!E2)*(C87:G126))</f>
        <v>0</v>
      </c>
      <c r="K9" s="3158" t="s">
        <v>1020</v>
      </c>
      <c r="L9" s="3158" t="s">
        <v>1021</v>
      </c>
      <c r="M9" s="3158" t="s">
        <v>1022</v>
      </c>
      <c r="N9" s="3158" t="s">
        <v>1023</v>
      </c>
      <c r="O9" s="3158" t="s">
        <v>1024</v>
      </c>
      <c r="P9" s="3158" t="s">
        <v>1025</v>
      </c>
      <c r="Q9" s="3158" t="s">
        <v>2923</v>
      </c>
      <c r="R9" s="3158" t="s">
        <v>1027</v>
      </c>
      <c r="S9" s="3158" t="s">
        <v>1028</v>
      </c>
      <c r="T9" s="3158" t="s">
        <v>1045</v>
      </c>
    </row>
    <row r="10" spans="1:21" ht="14.25" customHeight="1">
      <c r="A10" s="3155" t="s">
        <v>1029</v>
      </c>
      <c r="B10" s="3156" t="s">
        <v>2818</v>
      </c>
      <c r="C10" s="3156">
        <v>32350</v>
      </c>
      <c r="D10" s="3156">
        <v>31430</v>
      </c>
      <c r="E10" s="3156">
        <v>31320</v>
      </c>
      <c r="F10" s="3157">
        <v>10850</v>
      </c>
      <c r="G10" s="3157">
        <v>22860</v>
      </c>
      <c r="H10" s="968" t="s">
        <v>839</v>
      </c>
      <c r="I10" s="969">
        <f>SUMPRODUCT((B127:B189=基准地价!I2)*(C3:G3=基准地价!E2)*(C127:G189))</f>
        <v>0</v>
      </c>
      <c r="K10" s="3158" t="s">
        <v>1030</v>
      </c>
      <c r="L10" s="3158" t="s">
        <v>1031</v>
      </c>
      <c r="M10" s="3158" t="s">
        <v>1032</v>
      </c>
      <c r="N10" s="3158" t="s">
        <v>1033</v>
      </c>
      <c r="O10" s="3158" t="s">
        <v>1034</v>
      </c>
      <c r="P10" s="3158" t="s">
        <v>1035</v>
      </c>
      <c r="Q10" s="3158" t="s">
        <v>1026</v>
      </c>
      <c r="R10" s="3158" t="s">
        <v>1037</v>
      </c>
      <c r="S10" s="3158" t="s">
        <v>1038</v>
      </c>
      <c r="T10" s="3158" t="s">
        <v>3008</v>
      </c>
    </row>
    <row r="11" spans="1:21" ht="14.25" customHeight="1">
      <c r="A11" s="3158" t="s">
        <v>1029</v>
      </c>
      <c r="B11" s="1217" t="s">
        <v>971</v>
      </c>
      <c r="C11" s="3158">
        <v>31590</v>
      </c>
      <c r="D11" s="3158">
        <v>29490</v>
      </c>
      <c r="E11" s="3158">
        <v>28700</v>
      </c>
      <c r="F11" s="3164">
        <v>10410</v>
      </c>
      <c r="G11" s="3164">
        <v>21460</v>
      </c>
      <c r="H11" s="968" t="s">
        <v>840</v>
      </c>
      <c r="I11" s="969">
        <f>SUMPRODUCT((B190:B233=基准地价!I2)*(C3:G3=基准地价!E2)*(C190:G233))</f>
        <v>0</v>
      </c>
      <c r="K11" s="3158" t="s">
        <v>1039</v>
      </c>
      <c r="L11" s="3158" t="s">
        <v>1040</v>
      </c>
      <c r="M11" s="3158" t="s">
        <v>1041</v>
      </c>
      <c r="N11" s="3158" t="s">
        <v>1042</v>
      </c>
      <c r="O11" s="3158" t="s">
        <v>1043</v>
      </c>
      <c r="P11" s="3158" t="s">
        <v>2889</v>
      </c>
      <c r="Q11" s="3158" t="s">
        <v>1036</v>
      </c>
      <c r="R11" s="3158" t="s">
        <v>1044</v>
      </c>
      <c r="S11" s="3158" t="s">
        <v>2987</v>
      </c>
      <c r="T11" s="3158" t="s">
        <v>3009</v>
      </c>
    </row>
    <row r="12" spans="1:21" ht="14.25" customHeight="1">
      <c r="A12" s="3158" t="s">
        <v>1029</v>
      </c>
      <c r="B12" s="1217" t="s">
        <v>981</v>
      </c>
      <c r="C12" s="3158">
        <v>29640</v>
      </c>
      <c r="D12" s="3158">
        <v>27550</v>
      </c>
      <c r="E12" s="3158">
        <v>28010</v>
      </c>
      <c r="F12" s="3164">
        <v>8730</v>
      </c>
      <c r="G12" s="3164">
        <v>20050</v>
      </c>
      <c r="H12" s="968" t="s">
        <v>841</v>
      </c>
      <c r="I12" s="969">
        <f>SUMPRODUCT((B234:B276=基准地价!I2)*(C3:G3=基准地价!E2)*(C234:G276))</f>
        <v>0</v>
      </c>
      <c r="K12" s="3158" t="s">
        <v>1046</v>
      </c>
      <c r="L12" s="3158" t="s">
        <v>1047</v>
      </c>
      <c r="M12" s="3158" t="s">
        <v>1048</v>
      </c>
      <c r="N12" s="3158" t="s">
        <v>1049</v>
      </c>
      <c r="O12" s="3158" t="s">
        <v>1050</v>
      </c>
      <c r="P12" s="3158" t="s">
        <v>2890</v>
      </c>
      <c r="Q12" s="3158" t="s">
        <v>2924</v>
      </c>
      <c r="R12" s="3158" t="s">
        <v>2952</v>
      </c>
      <c r="S12" s="3158" t="s">
        <v>2988</v>
      </c>
      <c r="T12" s="3158" t="s">
        <v>3010</v>
      </c>
    </row>
    <row r="13" spans="1:21" ht="14.25" customHeight="1">
      <c r="A13" s="3158" t="s">
        <v>1029</v>
      </c>
      <c r="B13" s="1217" t="s">
        <v>990</v>
      </c>
      <c r="C13" s="3158">
        <v>29680</v>
      </c>
      <c r="D13" s="3158">
        <v>27660</v>
      </c>
      <c r="E13" s="3158">
        <v>28210</v>
      </c>
      <c r="F13" s="3164">
        <v>9590</v>
      </c>
      <c r="G13" s="3164">
        <v>20120</v>
      </c>
      <c r="H13" s="968" t="s">
        <v>842</v>
      </c>
      <c r="I13" s="969">
        <f>SUMPRODUCT((B277:B326=基准地价!I2)*(C3:G3=基准地价!E2)*(C277:G326))</f>
        <v>0</v>
      </c>
      <c r="K13" s="3158" t="s">
        <v>1053</v>
      </c>
      <c r="L13" s="3158" t="s">
        <v>1054</v>
      </c>
      <c r="M13" s="3158" t="s">
        <v>1055</v>
      </c>
      <c r="N13" s="3158" t="s">
        <v>1056</v>
      </c>
      <c r="O13" s="3158" t="s">
        <v>1057</v>
      </c>
      <c r="P13" s="3158" t="s">
        <v>2891</v>
      </c>
      <c r="Q13" s="3158" t="s">
        <v>1051</v>
      </c>
      <c r="R13" s="3158" t="s">
        <v>1065</v>
      </c>
      <c r="S13" s="3158" t="s">
        <v>1066</v>
      </c>
      <c r="T13" s="3158" t="s">
        <v>1059</v>
      </c>
    </row>
    <row r="14" spans="1:21" ht="14.25" customHeight="1">
      <c r="A14" s="3158" t="s">
        <v>1029</v>
      </c>
      <c r="B14" s="1217" t="s">
        <v>1000</v>
      </c>
      <c r="C14" s="3158">
        <v>30520</v>
      </c>
      <c r="D14" s="3158">
        <v>29510</v>
      </c>
      <c r="E14" s="3158">
        <v>29400</v>
      </c>
      <c r="F14" s="3164">
        <v>9630</v>
      </c>
      <c r="G14" s="3164">
        <v>21480</v>
      </c>
      <c r="H14" s="968" t="s">
        <v>843</v>
      </c>
      <c r="I14" s="969">
        <f>SUMPRODUCT((B327:B357=基准地价!I2)*(C3:G3=基准地价!E2)*(C327:G357))</f>
        <v>0</v>
      </c>
      <c r="K14" s="3158" t="s">
        <v>1060</v>
      </c>
      <c r="L14" s="3158" t="s">
        <v>1061</v>
      </c>
      <c r="M14" s="3158" t="s">
        <v>1062</v>
      </c>
      <c r="N14" s="3158" t="s">
        <v>1063</v>
      </c>
      <c r="O14" s="3158" t="s">
        <v>1064</v>
      </c>
      <c r="P14" s="3158" t="s">
        <v>1086</v>
      </c>
      <c r="Q14" s="3158" t="s">
        <v>1058</v>
      </c>
      <c r="R14" s="3158" t="s">
        <v>2953</v>
      </c>
      <c r="S14" s="3158" t="s">
        <v>1074</v>
      </c>
      <c r="T14" s="3158" t="s">
        <v>1067</v>
      </c>
    </row>
    <row r="15" spans="1:21" ht="14.25" customHeight="1">
      <c r="A15" s="3158" t="s">
        <v>1029</v>
      </c>
      <c r="B15" s="1217" t="s">
        <v>1007</v>
      </c>
      <c r="C15" s="3158">
        <v>29090</v>
      </c>
      <c r="D15" s="3158">
        <v>27590</v>
      </c>
      <c r="E15" s="3158">
        <v>28120</v>
      </c>
      <c r="F15" s="3164">
        <v>9110</v>
      </c>
      <c r="G15" s="3164">
        <v>20070</v>
      </c>
      <c r="H15" s="968" t="s">
        <v>844</v>
      </c>
      <c r="I15" s="969">
        <f>SUMPRODUCT((B358:B377=基准地价!I2)*(C3:G3=基准地价!E2)*(C358:G377))</f>
        <v>0</v>
      </c>
      <c r="K15" s="3158" t="s">
        <v>1068</v>
      </c>
      <c r="L15" s="3158" t="s">
        <v>1069</v>
      </c>
      <c r="M15" s="3158" t="s">
        <v>1070</v>
      </c>
      <c r="N15" s="3158" t="s">
        <v>1071</v>
      </c>
      <c r="O15" s="3158" t="s">
        <v>1072</v>
      </c>
      <c r="P15" s="3158" t="s">
        <v>2892</v>
      </c>
      <c r="Q15" s="3158" t="s">
        <v>2925</v>
      </c>
      <c r="R15" s="3158" t="s">
        <v>1088</v>
      </c>
      <c r="S15" s="3158" t="s">
        <v>2989</v>
      </c>
      <c r="T15" s="3158" t="s">
        <v>1075</v>
      </c>
    </row>
    <row r="16" spans="1:21" ht="14.25" customHeight="1" thickBot="1">
      <c r="A16" s="3158" t="s">
        <v>1029</v>
      </c>
      <c r="B16" s="1217" t="s">
        <v>1013</v>
      </c>
      <c r="C16" s="3158">
        <v>26790</v>
      </c>
      <c r="D16" s="3158">
        <v>30370</v>
      </c>
      <c r="E16" s="3158">
        <v>30240</v>
      </c>
      <c r="F16" s="3164">
        <v>11590</v>
      </c>
      <c r="G16" s="3164">
        <v>22090</v>
      </c>
      <c r="H16" s="970" t="s">
        <v>845</v>
      </c>
      <c r="I16" s="971">
        <f>SUMPRODUCT((B378:B384=基准地价!I2)*(C3:G3=基准地价!E2)*(C378:G384))</f>
        <v>0</v>
      </c>
      <c r="K16" s="3158" t="s">
        <v>1076</v>
      </c>
      <c r="L16" s="3158" t="s">
        <v>1077</v>
      </c>
      <c r="M16" s="3158" t="s">
        <v>1078</v>
      </c>
      <c r="N16" s="3158" t="s">
        <v>1079</v>
      </c>
      <c r="O16" s="3158" t="s">
        <v>1080</v>
      </c>
      <c r="P16" s="3158" t="s">
        <v>2893</v>
      </c>
      <c r="Q16" s="3158" t="s">
        <v>1073</v>
      </c>
      <c r="R16" s="3158" t="s">
        <v>1096</v>
      </c>
      <c r="S16" s="3158" t="s">
        <v>1052</v>
      </c>
      <c r="T16" s="3158" t="s">
        <v>3011</v>
      </c>
    </row>
    <row r="17" spans="1:20" ht="14.25" customHeight="1">
      <c r="A17" s="3158" t="s">
        <v>1029</v>
      </c>
      <c r="B17" s="1217" t="s">
        <v>1020</v>
      </c>
      <c r="C17" s="3158">
        <v>29180</v>
      </c>
      <c r="D17" s="3158">
        <v>27620</v>
      </c>
      <c r="E17" s="3158">
        <v>28180</v>
      </c>
      <c r="F17" s="3164">
        <v>10790</v>
      </c>
      <c r="G17" s="3165">
        <v>20090</v>
      </c>
      <c r="I17" s="972"/>
      <c r="K17" s="3158" t="s">
        <v>1081</v>
      </c>
      <c r="L17" s="3158" t="s">
        <v>1082</v>
      </c>
      <c r="M17" s="3158" t="s">
        <v>1083</v>
      </c>
      <c r="N17" s="3158" t="s">
        <v>1084</v>
      </c>
      <c r="O17" s="3158" t="s">
        <v>1085</v>
      </c>
      <c r="P17" s="3158" t="s">
        <v>2894</v>
      </c>
      <c r="Q17" s="3158" t="s">
        <v>2926</v>
      </c>
      <c r="R17" s="3158" t="s">
        <v>1102</v>
      </c>
      <c r="S17" s="3158" t="s">
        <v>2990</v>
      </c>
      <c r="T17" s="3158" t="s">
        <v>1104</v>
      </c>
    </row>
    <row r="18" spans="1:20" ht="14.25" customHeight="1">
      <c r="A18" s="3158" t="s">
        <v>1029</v>
      </c>
      <c r="B18" s="1217" t="s">
        <v>1030</v>
      </c>
      <c r="C18" s="3158">
        <v>26840</v>
      </c>
      <c r="D18" s="3158">
        <v>28930</v>
      </c>
      <c r="E18" s="3158">
        <v>28820</v>
      </c>
      <c r="F18" s="3164"/>
      <c r="G18" s="3165">
        <v>21050</v>
      </c>
      <c r="I18" s="972"/>
      <c r="K18" s="3158" t="s">
        <v>1090</v>
      </c>
      <c r="L18" s="3158" t="s">
        <v>1091</v>
      </c>
      <c r="M18" s="3158" t="s">
        <v>1092</v>
      </c>
      <c r="N18" s="3158" t="s">
        <v>1093</v>
      </c>
      <c r="O18" s="3158" t="s">
        <v>1094</v>
      </c>
      <c r="P18" s="3158" t="s">
        <v>2895</v>
      </c>
      <c r="Q18" s="3158" t="s">
        <v>1087</v>
      </c>
      <c r="R18" s="3158" t="s">
        <v>2954</v>
      </c>
      <c r="S18" s="3158" t="s">
        <v>1103</v>
      </c>
      <c r="T18" s="3158" t="s">
        <v>1112</v>
      </c>
    </row>
    <row r="19" spans="1:20" ht="14.25" customHeight="1">
      <c r="A19" s="3158" t="s">
        <v>1029</v>
      </c>
      <c r="B19" s="1217" t="s">
        <v>1039</v>
      </c>
      <c r="C19" s="3158">
        <v>27750</v>
      </c>
      <c r="D19" s="3158">
        <v>26680</v>
      </c>
      <c r="E19" s="3158">
        <v>26590</v>
      </c>
      <c r="F19" s="3164"/>
      <c r="G19" s="3165">
        <v>19420</v>
      </c>
      <c r="I19" s="972"/>
      <c r="K19" s="3158" t="s">
        <v>1097</v>
      </c>
      <c r="L19" s="3158" t="s">
        <v>1098</v>
      </c>
      <c r="M19" s="3158" t="s">
        <v>1099</v>
      </c>
      <c r="N19" s="3158" t="s">
        <v>1100</v>
      </c>
      <c r="O19" s="3158" t="s">
        <v>1101</v>
      </c>
      <c r="P19" s="3158" t="s">
        <v>2896</v>
      </c>
      <c r="Q19" s="3158" t="s">
        <v>1095</v>
      </c>
      <c r="R19" s="3158" t="s">
        <v>2955</v>
      </c>
      <c r="S19" s="3158" t="s">
        <v>1111</v>
      </c>
      <c r="T19" s="3158" t="s">
        <v>3012</v>
      </c>
    </row>
    <row r="20" spans="1:20" ht="14.25" customHeight="1">
      <c r="A20" s="3158" t="s">
        <v>1029</v>
      </c>
      <c r="B20" s="1217" t="s">
        <v>1046</v>
      </c>
      <c r="C20" s="3158">
        <v>27050</v>
      </c>
      <c r="D20" s="3158">
        <v>29010</v>
      </c>
      <c r="E20" s="3158">
        <v>28910</v>
      </c>
      <c r="F20" s="3164"/>
      <c r="G20" s="3165">
        <v>21110</v>
      </c>
      <c r="K20" s="3158" t="s">
        <v>1105</v>
      </c>
      <c r="L20" s="3158" t="s">
        <v>1106</v>
      </c>
      <c r="M20" s="3158" t="s">
        <v>1107</v>
      </c>
      <c r="N20" s="3158" t="s">
        <v>1108</v>
      </c>
      <c r="O20" s="3158" t="s">
        <v>1109</v>
      </c>
      <c r="P20" s="3158" t="s">
        <v>2897</v>
      </c>
      <c r="Q20" s="3158" t="s">
        <v>2927</v>
      </c>
      <c r="R20" s="3158" t="s">
        <v>1137</v>
      </c>
      <c r="S20" s="3158" t="s">
        <v>2991</v>
      </c>
      <c r="T20" s="3158" t="s">
        <v>1124</v>
      </c>
    </row>
    <row r="21" spans="1:20" ht="14.25" customHeight="1">
      <c r="A21" s="3158" t="s">
        <v>1029</v>
      </c>
      <c r="B21" s="1217" t="s">
        <v>1053</v>
      </c>
      <c r="C21" s="3158">
        <v>32370</v>
      </c>
      <c r="D21" s="3158">
        <v>26730</v>
      </c>
      <c r="E21" s="3158">
        <v>26640</v>
      </c>
      <c r="F21" s="3164"/>
      <c r="G21" s="3165">
        <v>19440</v>
      </c>
      <c r="K21" s="3167" t="s">
        <v>2819</v>
      </c>
      <c r="L21" s="3158" t="s">
        <v>1113</v>
      </c>
      <c r="M21" s="3158" t="s">
        <v>1114</v>
      </c>
      <c r="N21" s="3158" t="s">
        <v>1115</v>
      </c>
      <c r="O21" s="3158" t="s">
        <v>1116</v>
      </c>
      <c r="P21" s="3158" t="s">
        <v>1110</v>
      </c>
      <c r="Q21" s="3158" t="s">
        <v>1130</v>
      </c>
      <c r="R21" s="3158" t="s">
        <v>1140</v>
      </c>
      <c r="S21" s="3158" t="s">
        <v>2992</v>
      </c>
      <c r="T21" s="3158" t="s">
        <v>3013</v>
      </c>
    </row>
    <row r="22" spans="1:20" ht="14.25" customHeight="1">
      <c r="A22" s="3158" t="s">
        <v>1029</v>
      </c>
      <c r="B22" s="1217" t="s">
        <v>1060</v>
      </c>
      <c r="C22" s="3158">
        <v>29830</v>
      </c>
      <c r="D22" s="3158">
        <v>27600</v>
      </c>
      <c r="E22" s="3158">
        <v>28150</v>
      </c>
      <c r="F22" s="3164"/>
      <c r="G22" s="3165">
        <v>20080</v>
      </c>
      <c r="L22" s="3167" t="s">
        <v>2821</v>
      </c>
      <c r="M22" s="3158" t="s">
        <v>1118</v>
      </c>
      <c r="N22" s="3158" t="s">
        <v>1119</v>
      </c>
      <c r="O22" s="3158" t="s">
        <v>1120</v>
      </c>
      <c r="P22" s="3158" t="s">
        <v>2898</v>
      </c>
      <c r="Q22" s="3158" t="s">
        <v>1133</v>
      </c>
      <c r="R22" s="3158" t="s">
        <v>1142</v>
      </c>
      <c r="S22" s="3158" t="s">
        <v>1089</v>
      </c>
      <c r="T22" s="1217"/>
    </row>
    <row r="23" spans="1:20" ht="14.25" customHeight="1">
      <c r="A23" s="3158" t="s">
        <v>1029</v>
      </c>
      <c r="B23" s="1217" t="s">
        <v>1068</v>
      </c>
      <c r="C23" s="3158">
        <v>27800</v>
      </c>
      <c r="D23" s="3158">
        <v>26900</v>
      </c>
      <c r="E23" s="3158">
        <v>27170</v>
      </c>
      <c r="F23" s="3164"/>
      <c r="G23" s="3165">
        <v>19570</v>
      </c>
      <c r="L23" s="3167" t="s">
        <v>2822</v>
      </c>
      <c r="M23" s="3158" t="s">
        <v>1125</v>
      </c>
      <c r="N23" s="3158" t="s">
        <v>1126</v>
      </c>
      <c r="O23" s="3158" t="s">
        <v>2852</v>
      </c>
      <c r="P23" s="3158" t="s">
        <v>2899</v>
      </c>
      <c r="Q23" s="3158" t="s">
        <v>1136</v>
      </c>
      <c r="R23" s="3158" t="s">
        <v>1145</v>
      </c>
      <c r="S23" s="3158" t="s">
        <v>2993</v>
      </c>
    </row>
    <row r="24" spans="1:20" ht="14.25" customHeight="1">
      <c r="A24" s="3158" t="s">
        <v>1029</v>
      </c>
      <c r="B24" s="1217" t="s">
        <v>1076</v>
      </c>
      <c r="C24" s="3158">
        <v>27930</v>
      </c>
      <c r="D24" s="3158">
        <v>32260</v>
      </c>
      <c r="E24" s="3158">
        <v>32120</v>
      </c>
      <c r="F24" s="3164"/>
      <c r="G24" s="3165">
        <v>23470</v>
      </c>
      <c r="L24" s="3167" t="s">
        <v>2823</v>
      </c>
      <c r="M24" s="3158" t="s">
        <v>1128</v>
      </c>
      <c r="N24" s="3158" t="s">
        <v>1129</v>
      </c>
      <c r="O24" s="3158" t="s">
        <v>2853</v>
      </c>
      <c r="P24" s="3158" t="s">
        <v>1132</v>
      </c>
      <c r="Q24" s="3158" t="s">
        <v>2928</v>
      </c>
      <c r="R24" s="3158" t="s">
        <v>2956</v>
      </c>
      <c r="S24" s="3158" t="s">
        <v>2994</v>
      </c>
    </row>
    <row r="25" spans="1:20" ht="14.25" customHeight="1">
      <c r="A25" s="3158" t="s">
        <v>1029</v>
      </c>
      <c r="B25" s="1217" t="s">
        <v>1081</v>
      </c>
      <c r="C25" s="3158">
        <v>32230</v>
      </c>
      <c r="D25" s="3158">
        <v>29640</v>
      </c>
      <c r="E25" s="3158">
        <v>29510</v>
      </c>
      <c r="F25" s="3164"/>
      <c r="G25" s="3165">
        <v>21560</v>
      </c>
      <c r="L25" s="3167" t="s">
        <v>2824</v>
      </c>
      <c r="M25" s="3158" t="s">
        <v>2827</v>
      </c>
      <c r="N25" s="3158" t="s">
        <v>1131</v>
      </c>
      <c r="O25" s="3158" t="s">
        <v>1139</v>
      </c>
      <c r="P25" s="3158" t="s">
        <v>1135</v>
      </c>
      <c r="Q25" s="3158" t="s">
        <v>1122</v>
      </c>
      <c r="R25" s="3158" t="s">
        <v>1117</v>
      </c>
      <c r="S25" s="3158" t="s">
        <v>2995</v>
      </c>
    </row>
    <row r="26" spans="1:20" ht="14.25" customHeight="1">
      <c r="A26" s="3158" t="s">
        <v>1029</v>
      </c>
      <c r="B26" s="1217" t="s">
        <v>1090</v>
      </c>
      <c r="C26" s="3158">
        <v>31690</v>
      </c>
      <c r="D26" s="3158">
        <v>27650</v>
      </c>
      <c r="E26" s="3158">
        <v>28200</v>
      </c>
      <c r="F26" s="3164"/>
      <c r="G26" s="3165">
        <v>20110</v>
      </c>
      <c r="L26" s="3167" t="s">
        <v>2825</v>
      </c>
      <c r="M26" s="3158" t="s">
        <v>2828</v>
      </c>
      <c r="N26" s="3158" t="s">
        <v>1134</v>
      </c>
      <c r="O26" s="3158" t="s">
        <v>1141</v>
      </c>
      <c r="P26" s="3158" t="s">
        <v>2900</v>
      </c>
      <c r="Q26" s="3158" t="s">
        <v>2929</v>
      </c>
      <c r="R26" s="3158" t="s">
        <v>1123</v>
      </c>
      <c r="S26" s="3158" t="s">
        <v>2996</v>
      </c>
    </row>
    <row r="27" spans="1:20" ht="14.25" customHeight="1">
      <c r="A27" s="3158" t="s">
        <v>1029</v>
      </c>
      <c r="B27" s="1217" t="s">
        <v>1097</v>
      </c>
      <c r="C27" s="3158">
        <v>29610</v>
      </c>
      <c r="D27" s="3158">
        <v>27770</v>
      </c>
      <c r="E27" s="3158">
        <v>28300</v>
      </c>
      <c r="F27" s="3164"/>
      <c r="G27" s="3165">
        <v>20210</v>
      </c>
      <c r="M27" s="3158" t="s">
        <v>2829</v>
      </c>
      <c r="N27" s="3158" t="s">
        <v>1138</v>
      </c>
      <c r="O27" s="3158" t="s">
        <v>1144</v>
      </c>
      <c r="P27" s="3158" t="s">
        <v>1121</v>
      </c>
      <c r="Q27" s="3158" t="s">
        <v>2930</v>
      </c>
      <c r="R27" s="3158" t="s">
        <v>2957</v>
      </c>
      <c r="S27" s="3158" t="s">
        <v>2997</v>
      </c>
    </row>
    <row r="28" spans="1:20" ht="14.25" customHeight="1">
      <c r="A28" s="3172" t="s">
        <v>1029</v>
      </c>
      <c r="B28" s="2407" t="s">
        <v>1105</v>
      </c>
      <c r="C28" s="1215"/>
      <c r="D28" s="1215">
        <v>31520</v>
      </c>
      <c r="E28" s="1215">
        <v>31410</v>
      </c>
      <c r="F28" s="3169"/>
      <c r="G28" s="3170">
        <v>22940</v>
      </c>
      <c r="M28" s="3158" t="s">
        <v>2830</v>
      </c>
      <c r="N28" s="3158" t="s">
        <v>2837</v>
      </c>
      <c r="O28" s="3158" t="s">
        <v>2854</v>
      </c>
      <c r="P28" s="3158" t="s">
        <v>2901</v>
      </c>
      <c r="Q28" s="3158" t="s">
        <v>2931</v>
      </c>
      <c r="R28" s="3158" t="s">
        <v>2958</v>
      </c>
      <c r="S28" s="3167" t="s">
        <v>2998</v>
      </c>
    </row>
    <row r="29" spans="1:20" ht="14.25" customHeight="1" thickBot="1">
      <c r="A29" s="3173" t="s">
        <v>1029</v>
      </c>
      <c r="B29" s="3161" t="s">
        <v>2819</v>
      </c>
      <c r="C29" s="3161"/>
      <c r="D29" s="3161">
        <v>29460</v>
      </c>
      <c r="E29" s="3161">
        <v>28640</v>
      </c>
      <c r="F29" s="3162"/>
      <c r="G29" s="3174">
        <v>21430</v>
      </c>
      <c r="M29" s="3167" t="s">
        <v>2831</v>
      </c>
      <c r="N29" s="3158" t="s">
        <v>2838</v>
      </c>
      <c r="O29" s="3158" t="s">
        <v>2855</v>
      </c>
      <c r="P29" s="3158" t="s">
        <v>2902</v>
      </c>
      <c r="Q29" s="3158" t="s">
        <v>2932</v>
      </c>
      <c r="R29" s="3158" t="s">
        <v>2959</v>
      </c>
      <c r="S29" s="3167" t="s">
        <v>1127</v>
      </c>
    </row>
    <row r="30" spans="1:20" ht="14.25" customHeight="1">
      <c r="A30" s="3172" t="s">
        <v>1143</v>
      </c>
      <c r="B30" s="1217" t="s">
        <v>2820</v>
      </c>
      <c r="C30" s="1217">
        <v>26890</v>
      </c>
      <c r="D30" s="1217">
        <v>26770</v>
      </c>
      <c r="E30" s="1217">
        <v>25700</v>
      </c>
      <c r="F30" s="3159">
        <v>8180</v>
      </c>
      <c r="G30" s="3159">
        <v>18740</v>
      </c>
      <c r="I30" s="972"/>
      <c r="M30" s="3167" t="s">
        <v>2832</v>
      </c>
      <c r="N30" s="3158" t="s">
        <v>2839</v>
      </c>
      <c r="O30" s="3158" t="s">
        <v>2856</v>
      </c>
      <c r="P30" s="3158" t="s">
        <v>2903</v>
      </c>
      <c r="Q30" s="3158" t="s">
        <v>2933</v>
      </c>
      <c r="R30" s="3158" t="s">
        <v>2960</v>
      </c>
      <c r="S30" s="3167" t="s">
        <v>2999</v>
      </c>
    </row>
    <row r="31" spans="1:20" ht="14.25" customHeight="1">
      <c r="A31" s="3158" t="s">
        <v>1143</v>
      </c>
      <c r="B31" s="1217" t="s">
        <v>972</v>
      </c>
      <c r="C31" s="3158">
        <v>24550</v>
      </c>
      <c r="D31" s="3158">
        <v>23990</v>
      </c>
      <c r="E31" s="3158">
        <v>22930</v>
      </c>
      <c r="F31" s="3164">
        <v>7470</v>
      </c>
      <c r="G31" s="3164">
        <v>16790</v>
      </c>
      <c r="I31" s="972"/>
      <c r="M31" s="3167" t="s">
        <v>2833</v>
      </c>
      <c r="N31" s="3158" t="s">
        <v>2840</v>
      </c>
      <c r="O31" s="3158" t="s">
        <v>2857</v>
      </c>
      <c r="P31" s="3158" t="s">
        <v>2904</v>
      </c>
      <c r="Q31" s="3158" t="s">
        <v>2934</v>
      </c>
      <c r="R31" s="3158" t="s">
        <v>2961</v>
      </c>
      <c r="S31" s="3167" t="s">
        <v>3000</v>
      </c>
    </row>
    <row r="32" spans="1:20" ht="14.25" customHeight="1">
      <c r="A32" s="3158" t="s">
        <v>1143</v>
      </c>
      <c r="B32" s="1217" t="s">
        <v>982</v>
      </c>
      <c r="C32" s="3158">
        <v>27210</v>
      </c>
      <c r="D32" s="3158">
        <v>23240</v>
      </c>
      <c r="E32" s="3158">
        <v>23260</v>
      </c>
      <c r="F32" s="3164">
        <v>7130</v>
      </c>
      <c r="G32" s="3164">
        <v>16270</v>
      </c>
      <c r="I32" s="972"/>
      <c r="M32" s="3167" t="s">
        <v>2834</v>
      </c>
      <c r="N32" s="3158" t="s">
        <v>2841</v>
      </c>
      <c r="O32" s="3158" t="s">
        <v>1147</v>
      </c>
      <c r="P32" s="3158" t="s">
        <v>2905</v>
      </c>
      <c r="Q32" s="3158" t="s">
        <v>1146</v>
      </c>
      <c r="R32" s="3158" t="s">
        <v>2962</v>
      </c>
      <c r="S32" s="3167" t="s">
        <v>3001</v>
      </c>
    </row>
    <row r="33" spans="1:18" ht="14.25" customHeight="1">
      <c r="A33" s="3158" t="s">
        <v>1143</v>
      </c>
      <c r="B33" s="1217" t="s">
        <v>991</v>
      </c>
      <c r="C33" s="3158">
        <v>27300</v>
      </c>
      <c r="D33" s="3158">
        <v>22980</v>
      </c>
      <c r="E33" s="3158">
        <v>24260</v>
      </c>
      <c r="F33" s="3164">
        <v>5860</v>
      </c>
      <c r="G33" s="3164">
        <v>16090</v>
      </c>
      <c r="I33" s="972"/>
      <c r="M33" s="3167" t="s">
        <v>2835</v>
      </c>
      <c r="N33" s="3158" t="s">
        <v>2842</v>
      </c>
      <c r="O33" s="3158" t="s">
        <v>1148</v>
      </c>
      <c r="P33" s="3158" t="s">
        <v>2906</v>
      </c>
      <c r="Q33" s="3158" t="s">
        <v>2935</v>
      </c>
      <c r="R33" s="3158" t="s">
        <v>2963</v>
      </c>
    </row>
    <row r="34" spans="1:18" ht="14.25" customHeight="1">
      <c r="A34" s="3158" t="s">
        <v>1143</v>
      </c>
      <c r="B34" s="1217" t="s">
        <v>1001</v>
      </c>
      <c r="C34" s="3158">
        <v>23090</v>
      </c>
      <c r="D34" s="3158">
        <v>23390</v>
      </c>
      <c r="E34" s="3158">
        <v>23510</v>
      </c>
      <c r="F34" s="3164">
        <v>6700</v>
      </c>
      <c r="G34" s="3164">
        <v>16370</v>
      </c>
      <c r="I34" s="972"/>
      <c r="N34" s="3158" t="s">
        <v>2843</v>
      </c>
      <c r="O34" s="3158" t="s">
        <v>1149</v>
      </c>
      <c r="P34" s="3158" t="s">
        <v>2907</v>
      </c>
      <c r="Q34" s="3158" t="s">
        <v>2936</v>
      </c>
      <c r="R34" s="3158" t="s">
        <v>2964</v>
      </c>
    </row>
    <row r="35" spans="1:18" ht="14.25" customHeight="1">
      <c r="A35" s="3158" t="s">
        <v>1143</v>
      </c>
      <c r="B35" s="1217" t="s">
        <v>1008</v>
      </c>
      <c r="C35" s="3158">
        <v>27270</v>
      </c>
      <c r="D35" s="3158">
        <v>24270</v>
      </c>
      <c r="E35" s="3158">
        <v>24950</v>
      </c>
      <c r="F35" s="3164">
        <v>6600</v>
      </c>
      <c r="G35" s="3164">
        <v>16990</v>
      </c>
      <c r="I35" s="972"/>
      <c r="N35" s="3158" t="s">
        <v>2844</v>
      </c>
      <c r="O35" s="3158" t="s">
        <v>2858</v>
      </c>
      <c r="P35" s="3158" t="s">
        <v>2908</v>
      </c>
      <c r="Q35" s="3158" t="s">
        <v>2937</v>
      </c>
      <c r="R35" s="3158" t="s">
        <v>2965</v>
      </c>
    </row>
    <row r="36" spans="1:18" ht="14.25" customHeight="1">
      <c r="A36" s="3158" t="s">
        <v>1143</v>
      </c>
      <c r="B36" s="1217" t="s">
        <v>1014</v>
      </c>
      <c r="C36" s="3158">
        <v>23490</v>
      </c>
      <c r="D36" s="3158">
        <v>23020</v>
      </c>
      <c r="E36" s="3158">
        <v>25230</v>
      </c>
      <c r="F36" s="3164">
        <v>6780</v>
      </c>
      <c r="G36" s="3164">
        <v>16120</v>
      </c>
      <c r="I36" s="972"/>
      <c r="N36" s="3167" t="s">
        <v>2845</v>
      </c>
      <c r="O36" s="3194" t="s">
        <v>2859</v>
      </c>
      <c r="P36" s="3158" t="s">
        <v>2909</v>
      </c>
      <c r="Q36" s="3158" t="s">
        <v>2938</v>
      </c>
      <c r="R36" s="3158" t="s">
        <v>2966</v>
      </c>
    </row>
    <row r="37" spans="1:18" ht="14.25" customHeight="1">
      <c r="A37" s="3158" t="s">
        <v>1143</v>
      </c>
      <c r="B37" s="1217" t="s">
        <v>1021</v>
      </c>
      <c r="C37" s="3158">
        <v>24380</v>
      </c>
      <c r="D37" s="3158">
        <v>22240</v>
      </c>
      <c r="E37" s="3158">
        <v>25980</v>
      </c>
      <c r="F37" s="3164">
        <v>8160</v>
      </c>
      <c r="G37" s="3164">
        <v>15570</v>
      </c>
      <c r="I37" s="973"/>
      <c r="N37" s="3167" t="s">
        <v>2846</v>
      </c>
      <c r="O37" s="3194" t="s">
        <v>2860</v>
      </c>
      <c r="P37" s="3158" t="s">
        <v>2910</v>
      </c>
      <c r="Q37" s="3158" t="s">
        <v>2939</v>
      </c>
      <c r="R37" s="3158" t="s">
        <v>2967</v>
      </c>
    </row>
    <row r="38" spans="1:18" ht="14.25" customHeight="1">
      <c r="A38" s="3158" t="s">
        <v>1143</v>
      </c>
      <c r="B38" s="1217" t="s">
        <v>1031</v>
      </c>
      <c r="C38" s="3158">
        <v>23120</v>
      </c>
      <c r="D38" s="3158">
        <v>24630</v>
      </c>
      <c r="E38" s="3158">
        <v>25030</v>
      </c>
      <c r="F38" s="3164">
        <v>7710</v>
      </c>
      <c r="G38" s="3164">
        <v>17240</v>
      </c>
      <c r="I38" s="972"/>
      <c r="N38" s="3167" t="s">
        <v>2847</v>
      </c>
      <c r="O38" s="3194" t="s">
        <v>2861</v>
      </c>
      <c r="P38" s="3158" t="s">
        <v>2911</v>
      </c>
      <c r="Q38" s="3158" t="s">
        <v>2940</v>
      </c>
      <c r="R38" s="3158" t="s">
        <v>2968</v>
      </c>
    </row>
    <row r="39" spans="1:18" ht="14.25" customHeight="1">
      <c r="A39" s="3158" t="s">
        <v>1143</v>
      </c>
      <c r="B39" s="1217" t="s">
        <v>1040</v>
      </c>
      <c r="C39" s="3158">
        <v>22330</v>
      </c>
      <c r="D39" s="3158">
        <v>21140</v>
      </c>
      <c r="E39" s="3158">
        <v>23970</v>
      </c>
      <c r="F39" s="3164">
        <v>7940</v>
      </c>
      <c r="G39" s="3164">
        <v>14790</v>
      </c>
      <c r="I39" s="972"/>
      <c r="N39" s="3167" t="s">
        <v>2848</v>
      </c>
      <c r="O39" s="3194" t="s">
        <v>2862</v>
      </c>
      <c r="P39" s="3158" t="s">
        <v>2912</v>
      </c>
      <c r="Q39" s="3158" t="s">
        <v>2941</v>
      </c>
      <c r="R39" s="3158" t="s">
        <v>2969</v>
      </c>
    </row>
    <row r="40" spans="1:18" ht="14.25" customHeight="1">
      <c r="A40" s="3158" t="s">
        <v>1143</v>
      </c>
      <c r="B40" s="1217" t="s">
        <v>1047</v>
      </c>
      <c r="C40" s="3158">
        <v>24740</v>
      </c>
      <c r="D40" s="3158">
        <v>24690</v>
      </c>
      <c r="E40" s="3158">
        <v>22610</v>
      </c>
      <c r="F40" s="3164"/>
      <c r="G40" s="3164">
        <v>17280</v>
      </c>
      <c r="I40" s="972"/>
      <c r="N40" s="3167" t="s">
        <v>2849</v>
      </c>
      <c r="O40" s="3194" t="s">
        <v>2863</v>
      </c>
      <c r="P40" s="3158" t="s">
        <v>2913</v>
      </c>
      <c r="Q40" s="3158" t="s">
        <v>2942</v>
      </c>
      <c r="R40" s="3158" t="s">
        <v>2970</v>
      </c>
    </row>
    <row r="41" spans="1:18" ht="14.25" customHeight="1">
      <c r="A41" s="3158" t="s">
        <v>1143</v>
      </c>
      <c r="B41" s="1217" t="s">
        <v>1054</v>
      </c>
      <c r="C41" s="3158">
        <v>21220</v>
      </c>
      <c r="D41" s="3158">
        <v>21120</v>
      </c>
      <c r="E41" s="3158">
        <v>22590</v>
      </c>
      <c r="F41" s="3164"/>
      <c r="G41" s="3164">
        <v>14780</v>
      </c>
      <c r="I41" s="972"/>
      <c r="N41" s="3167" t="s">
        <v>2850</v>
      </c>
      <c r="O41" s="3195" t="s">
        <v>2864</v>
      </c>
      <c r="P41" s="1217" t="s">
        <v>2914</v>
      </c>
      <c r="Q41" s="3167" t="s">
        <v>2943</v>
      </c>
      <c r="R41" s="1217" t="s">
        <v>2971</v>
      </c>
    </row>
    <row r="42" spans="1:18" ht="14.25" customHeight="1">
      <c r="A42" s="3158" t="s">
        <v>1143</v>
      </c>
      <c r="B42" s="1217" t="s">
        <v>1061</v>
      </c>
      <c r="C42" s="3158">
        <v>24800</v>
      </c>
      <c r="D42" s="3158">
        <v>22280</v>
      </c>
      <c r="E42" s="3158">
        <v>24350</v>
      </c>
      <c r="F42" s="3164"/>
      <c r="G42" s="3164">
        <v>15590</v>
      </c>
      <c r="I42" s="972"/>
      <c r="O42" s="3158" t="s">
        <v>2865</v>
      </c>
      <c r="P42" s="3158" t="s">
        <v>2915</v>
      </c>
      <c r="Q42" s="3167" t="s">
        <v>2944</v>
      </c>
      <c r="R42" s="3158" t="s">
        <v>2972</v>
      </c>
    </row>
    <row r="43" spans="1:18" ht="14.25" customHeight="1">
      <c r="A43" s="3158" t="s">
        <v>1143</v>
      </c>
      <c r="B43" s="1217" t="s">
        <v>1069</v>
      </c>
      <c r="C43" s="3158">
        <v>21210</v>
      </c>
      <c r="D43" s="3158">
        <v>21160</v>
      </c>
      <c r="E43" s="3158">
        <v>22650</v>
      </c>
      <c r="F43" s="3164"/>
      <c r="G43" s="3164">
        <v>14800</v>
      </c>
      <c r="I43" s="972"/>
      <c r="O43" s="3158" t="s">
        <v>2866</v>
      </c>
      <c r="P43" s="3158" t="s">
        <v>2916</v>
      </c>
      <c r="Q43" s="3167" t="s">
        <v>2945</v>
      </c>
      <c r="R43" s="3158" t="s">
        <v>2973</v>
      </c>
    </row>
    <row r="44" spans="1:18" ht="14.25" customHeight="1">
      <c r="A44" s="3158" t="s">
        <v>1143</v>
      </c>
      <c r="B44" s="1217" t="s">
        <v>1077</v>
      </c>
      <c r="C44" s="3158">
        <v>22370</v>
      </c>
      <c r="D44" s="3158">
        <v>23140</v>
      </c>
      <c r="E44" s="3158">
        <v>25090</v>
      </c>
      <c r="F44" s="3164"/>
      <c r="G44" s="3164">
        <v>16190</v>
      </c>
      <c r="I44" s="972"/>
      <c r="O44" s="3158" t="s">
        <v>2867</v>
      </c>
      <c r="P44" s="3158" t="s">
        <v>2917</v>
      </c>
      <c r="Q44" s="3167" t="s">
        <v>2946</v>
      </c>
      <c r="R44" s="3158" t="s">
        <v>2974</v>
      </c>
    </row>
    <row r="45" spans="1:18" ht="14.25" customHeight="1">
      <c r="A45" s="3158" t="s">
        <v>1143</v>
      </c>
      <c r="B45" s="1217" t="s">
        <v>1082</v>
      </c>
      <c r="C45" s="3158">
        <v>21240</v>
      </c>
      <c r="D45" s="3158">
        <v>27050</v>
      </c>
      <c r="E45" s="3158">
        <v>28000</v>
      </c>
      <c r="F45" s="3164"/>
      <c r="G45" s="3164">
        <v>18940</v>
      </c>
      <c r="I45" s="972"/>
      <c r="O45" s="3158" t="s">
        <v>2868</v>
      </c>
      <c r="P45" s="3158" t="s">
        <v>2918</v>
      </c>
      <c r="R45" s="3158" t="s">
        <v>2975</v>
      </c>
    </row>
    <row r="46" spans="1:18" ht="14.25" customHeight="1">
      <c r="A46" s="3158" t="s">
        <v>1143</v>
      </c>
      <c r="B46" s="1217" t="s">
        <v>1091</v>
      </c>
      <c r="C46" s="3158">
        <v>23240</v>
      </c>
      <c r="D46" s="3158">
        <v>23000</v>
      </c>
      <c r="E46" s="3158">
        <v>24980</v>
      </c>
      <c r="F46" s="3164"/>
      <c r="G46" s="3164">
        <v>16100</v>
      </c>
      <c r="I46" s="972"/>
      <c r="O46" s="3158" t="s">
        <v>2869</v>
      </c>
      <c r="P46" s="3158"/>
      <c r="R46" s="3158" t="s">
        <v>2976</v>
      </c>
    </row>
    <row r="47" spans="1:18" ht="14.25" customHeight="1">
      <c r="A47" s="3158" t="s">
        <v>1143</v>
      </c>
      <c r="B47" s="2407" t="s">
        <v>1098</v>
      </c>
      <c r="C47" s="1215">
        <v>27150</v>
      </c>
      <c r="D47" s="1215">
        <v>23310</v>
      </c>
      <c r="E47" s="1215">
        <v>25150</v>
      </c>
      <c r="F47" s="3169"/>
      <c r="G47" s="3169">
        <v>16310</v>
      </c>
      <c r="I47" s="972"/>
      <c r="O47" s="3158" t="s">
        <v>2870</v>
      </c>
      <c r="P47" s="3158"/>
      <c r="R47" s="3167" t="s">
        <v>2977</v>
      </c>
    </row>
    <row r="48" spans="1:18" ht="14.25" customHeight="1">
      <c r="A48" s="3158" t="s">
        <v>1143</v>
      </c>
      <c r="B48" s="3158" t="s">
        <v>1106</v>
      </c>
      <c r="C48" s="3158">
        <v>23100</v>
      </c>
      <c r="D48" s="3158">
        <v>21110</v>
      </c>
      <c r="E48" s="3158">
        <v>23080</v>
      </c>
      <c r="F48" s="3164"/>
      <c r="G48" s="3171">
        <v>14780</v>
      </c>
      <c r="I48" s="972"/>
      <c r="O48" s="3158" t="s">
        <v>2871</v>
      </c>
      <c r="P48" s="3158"/>
      <c r="R48" s="3167" t="s">
        <v>2978</v>
      </c>
    </row>
    <row r="49" spans="1:18" ht="14.25" customHeight="1">
      <c r="A49" s="3158" t="s">
        <v>1143</v>
      </c>
      <c r="B49" s="1217" t="s">
        <v>1113</v>
      </c>
      <c r="C49" s="1217">
        <v>23400</v>
      </c>
      <c r="D49" s="1217">
        <v>22920</v>
      </c>
      <c r="E49" s="1217">
        <v>24900</v>
      </c>
      <c r="F49" s="3159"/>
      <c r="G49" s="3159">
        <v>16040</v>
      </c>
      <c r="I49" s="972"/>
      <c r="O49" s="3158" t="s">
        <v>2872</v>
      </c>
      <c r="P49" s="3158"/>
      <c r="R49" s="3167" t="s">
        <v>2979</v>
      </c>
    </row>
    <row r="50" spans="1:18" ht="14.25" customHeight="1">
      <c r="A50" s="3158" t="s">
        <v>1143</v>
      </c>
      <c r="B50" s="3158" t="s">
        <v>2821</v>
      </c>
      <c r="C50" s="3158">
        <v>21200</v>
      </c>
      <c r="D50" s="3158">
        <v>26540</v>
      </c>
      <c r="E50" s="3158">
        <v>23200</v>
      </c>
      <c r="F50" s="3164"/>
      <c r="G50" s="3164">
        <v>18580</v>
      </c>
      <c r="I50" s="972"/>
      <c r="O50" s="3167" t="s">
        <v>2873</v>
      </c>
      <c r="R50" s="3167" t="s">
        <v>2980</v>
      </c>
    </row>
    <row r="51" spans="1:18" ht="14.25" customHeight="1">
      <c r="A51" s="3158" t="s">
        <v>1143</v>
      </c>
      <c r="B51" s="3158" t="s">
        <v>2822</v>
      </c>
      <c r="C51" s="3158">
        <v>23000</v>
      </c>
      <c r="D51" s="3158">
        <v>23460</v>
      </c>
      <c r="E51" s="3158">
        <v>25290</v>
      </c>
      <c r="F51" s="3164"/>
      <c r="G51" s="3164">
        <v>16420</v>
      </c>
      <c r="I51" s="972"/>
      <c r="O51" s="3167" t="s">
        <v>2874</v>
      </c>
      <c r="R51" s="3167" t="s">
        <v>2981</v>
      </c>
    </row>
    <row r="52" spans="1:18" ht="14.25" customHeight="1">
      <c r="A52" s="3158" t="s">
        <v>1143</v>
      </c>
      <c r="B52" s="3158" t="s">
        <v>2823</v>
      </c>
      <c r="C52" s="3158">
        <v>26660</v>
      </c>
      <c r="D52" s="3158">
        <v>22350</v>
      </c>
      <c r="E52" s="3158">
        <v>22920</v>
      </c>
      <c r="F52" s="3164"/>
      <c r="G52" s="3164">
        <v>15640</v>
      </c>
      <c r="I52" s="972"/>
      <c r="O52" s="3167" t="s">
        <v>2875</v>
      </c>
    </row>
    <row r="53" spans="1:18" ht="14.25" customHeight="1">
      <c r="A53" s="3158" t="s">
        <v>1143</v>
      </c>
      <c r="B53" s="3158" t="s">
        <v>2824</v>
      </c>
      <c r="C53" s="3158">
        <v>23580</v>
      </c>
      <c r="D53" s="3158"/>
      <c r="E53" s="3158">
        <v>24280</v>
      </c>
      <c r="F53" s="3164"/>
      <c r="G53" s="3164"/>
      <c r="I53" s="972"/>
      <c r="O53" s="3167" t="s">
        <v>2876</v>
      </c>
    </row>
    <row r="54" spans="1:18" ht="14.25" customHeight="1" thickBot="1">
      <c r="A54" s="3173" t="s">
        <v>1143</v>
      </c>
      <c r="B54" s="3161" t="s">
        <v>2825</v>
      </c>
      <c r="C54" s="3161">
        <v>22460</v>
      </c>
      <c r="D54" s="3161"/>
      <c r="E54" s="3161"/>
      <c r="F54" s="3162"/>
      <c r="G54" s="3174"/>
      <c r="I54" s="972"/>
      <c r="O54" s="3167" t="s">
        <v>2877</v>
      </c>
    </row>
    <row r="55" spans="1:18" ht="14.25" customHeight="1">
      <c r="A55" s="3172" t="s">
        <v>851</v>
      </c>
      <c r="B55" s="1217" t="s">
        <v>2826</v>
      </c>
      <c r="C55" s="1217">
        <v>21970</v>
      </c>
      <c r="D55" s="1217">
        <v>20370</v>
      </c>
      <c r="E55" s="1217">
        <v>20180</v>
      </c>
      <c r="F55" s="3159">
        <v>5730</v>
      </c>
      <c r="G55" s="3159">
        <v>13820</v>
      </c>
      <c r="I55" s="972"/>
      <c r="O55" s="3167" t="s">
        <v>2878</v>
      </c>
    </row>
    <row r="56" spans="1:18" ht="14.25" customHeight="1">
      <c r="A56" s="3158" t="s">
        <v>851</v>
      </c>
      <c r="B56" s="3158" t="s">
        <v>973</v>
      </c>
      <c r="C56" s="3158">
        <v>20470</v>
      </c>
      <c r="D56" s="3158">
        <v>20700</v>
      </c>
      <c r="E56" s="3158">
        <v>20380</v>
      </c>
      <c r="F56" s="3164">
        <v>4760</v>
      </c>
      <c r="G56" s="3164">
        <v>14050</v>
      </c>
      <c r="I56" s="972"/>
      <c r="O56" s="3167" t="s">
        <v>2879</v>
      </c>
    </row>
    <row r="57" spans="1:18" ht="14.25" customHeight="1">
      <c r="A57" s="3158" t="s">
        <v>851</v>
      </c>
      <c r="B57" s="3158" t="s">
        <v>983</v>
      </c>
      <c r="C57" s="3158">
        <v>20790</v>
      </c>
      <c r="D57" s="3158">
        <v>21370</v>
      </c>
      <c r="E57" s="3158">
        <v>20890</v>
      </c>
      <c r="F57" s="3164">
        <v>4910</v>
      </c>
      <c r="G57" s="3164">
        <v>14510</v>
      </c>
      <c r="I57" s="972"/>
      <c r="O57" s="3167" t="s">
        <v>2880</v>
      </c>
    </row>
    <row r="58" spans="1:18" ht="14.25" customHeight="1">
      <c r="A58" s="3158" t="s">
        <v>851</v>
      </c>
      <c r="B58" s="3158" t="s">
        <v>992</v>
      </c>
      <c r="C58" s="3158">
        <v>21460</v>
      </c>
      <c r="D58" s="3158">
        <v>20920</v>
      </c>
      <c r="E58" s="3158">
        <v>23410</v>
      </c>
      <c r="F58" s="3164">
        <v>5100</v>
      </c>
      <c r="G58" s="3164">
        <v>14200</v>
      </c>
      <c r="I58" s="972"/>
      <c r="O58" s="3167" t="s">
        <v>2881</v>
      </c>
    </row>
    <row r="59" spans="1:18" ht="14.25" customHeight="1">
      <c r="A59" s="3158" t="s">
        <v>851</v>
      </c>
      <c r="B59" s="3158" t="s">
        <v>1002</v>
      </c>
      <c r="C59" s="3158">
        <v>21000</v>
      </c>
      <c r="D59" s="3158">
        <v>21550</v>
      </c>
      <c r="E59" s="3158">
        <v>21150</v>
      </c>
      <c r="F59" s="3164">
        <v>5250</v>
      </c>
      <c r="G59" s="3164">
        <v>14630</v>
      </c>
      <c r="I59" s="972"/>
      <c r="O59" s="3167" t="s">
        <v>2882</v>
      </c>
    </row>
    <row r="60" spans="1:18" ht="14.25" customHeight="1">
      <c r="A60" s="3158" t="s">
        <v>851</v>
      </c>
      <c r="B60" s="3158" t="s">
        <v>1009</v>
      </c>
      <c r="C60" s="3158">
        <v>21640</v>
      </c>
      <c r="D60" s="3158">
        <v>21260</v>
      </c>
      <c r="E60" s="3158">
        <v>24040</v>
      </c>
      <c r="F60" s="3164">
        <v>4470</v>
      </c>
      <c r="G60" s="3164">
        <v>14430</v>
      </c>
      <c r="I60" s="972"/>
      <c r="O60" s="3167" t="s">
        <v>2883</v>
      </c>
    </row>
    <row r="61" spans="1:18" ht="14.25" customHeight="1">
      <c r="A61" s="3158" t="s">
        <v>851</v>
      </c>
      <c r="B61" s="3158" t="s">
        <v>1015</v>
      </c>
      <c r="C61" s="3158">
        <v>21330</v>
      </c>
      <c r="D61" s="3158">
        <v>18640</v>
      </c>
      <c r="E61" s="3158">
        <v>21190</v>
      </c>
      <c r="F61" s="3164">
        <v>4180</v>
      </c>
      <c r="G61" s="3166">
        <v>12650</v>
      </c>
      <c r="I61" s="972"/>
      <c r="O61" s="3167" t="s">
        <v>2884</v>
      </c>
    </row>
    <row r="62" spans="1:18" ht="14.25" customHeight="1">
      <c r="A62" s="3158" t="s">
        <v>851</v>
      </c>
      <c r="B62" s="3158" t="s">
        <v>1022</v>
      </c>
      <c r="C62" s="3158">
        <v>18710</v>
      </c>
      <c r="D62" s="3158">
        <v>19400</v>
      </c>
      <c r="E62" s="3158">
        <v>23750</v>
      </c>
      <c r="F62" s="3164">
        <v>4860</v>
      </c>
      <c r="G62" s="3166">
        <v>13170</v>
      </c>
      <c r="I62" s="972"/>
      <c r="O62" s="3167" t="s">
        <v>2885</v>
      </c>
    </row>
    <row r="63" spans="1:18" ht="14.25" customHeight="1">
      <c r="A63" s="3158" t="s">
        <v>851</v>
      </c>
      <c r="B63" s="3158" t="s">
        <v>1032</v>
      </c>
      <c r="C63" s="3158">
        <v>19480</v>
      </c>
      <c r="D63" s="3158">
        <v>16830</v>
      </c>
      <c r="E63" s="3158">
        <v>21590</v>
      </c>
      <c r="F63" s="3164">
        <v>4560</v>
      </c>
      <c r="G63" s="3166">
        <v>11420</v>
      </c>
      <c r="I63" s="972"/>
      <c r="O63" s="3167" t="s">
        <v>2886</v>
      </c>
    </row>
    <row r="64" spans="1:18" ht="14.25" customHeight="1">
      <c r="A64" s="3158" t="s">
        <v>851</v>
      </c>
      <c r="B64" s="3158" t="s">
        <v>1041</v>
      </c>
      <c r="C64" s="3158">
        <v>16920</v>
      </c>
      <c r="D64" s="3158">
        <v>19190</v>
      </c>
      <c r="E64" s="3158">
        <v>22200</v>
      </c>
      <c r="F64" s="3164">
        <v>4390</v>
      </c>
      <c r="G64" s="3166">
        <v>13030</v>
      </c>
      <c r="I64" s="972"/>
      <c r="O64" s="3167" t="s">
        <v>2887</v>
      </c>
    </row>
    <row r="65" spans="1:21" s="961" customFormat="1" ht="14.25" customHeight="1">
      <c r="A65" s="3158" t="s">
        <v>851</v>
      </c>
      <c r="B65" s="3158" t="s">
        <v>1048</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851</v>
      </c>
      <c r="B66" s="3158" t="s">
        <v>1055</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851</v>
      </c>
      <c r="B67" s="3158" t="s">
        <v>1062</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851</v>
      </c>
      <c r="B68" s="3158" t="s">
        <v>1070</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851</v>
      </c>
      <c r="B69" s="3158" t="s">
        <v>1078</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851</v>
      </c>
      <c r="B70" s="3158" t="s">
        <v>1083</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851</v>
      </c>
      <c r="B71" s="3158" t="s">
        <v>1092</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851</v>
      </c>
      <c r="B72" s="3158" t="s">
        <v>1099</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851</v>
      </c>
      <c r="B73" s="3158" t="s">
        <v>1107</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851</v>
      </c>
      <c r="B74" s="3158" t="s">
        <v>1114</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851</v>
      </c>
      <c r="B75" s="3158" t="s">
        <v>1118</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851</v>
      </c>
      <c r="B76" s="1217" t="s">
        <v>1125</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851</v>
      </c>
      <c r="B77" s="3158" t="s">
        <v>1128</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851</v>
      </c>
      <c r="B78" s="3158" t="s">
        <v>2827</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851</v>
      </c>
      <c r="B79" s="3158" t="s">
        <v>2828</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851</v>
      </c>
      <c r="B80" s="3158" t="s">
        <v>2829</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851</v>
      </c>
      <c r="B81" s="3158" t="s">
        <v>2830</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851</v>
      </c>
      <c r="B82" s="3158" t="s">
        <v>2831</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851</v>
      </c>
      <c r="B83" s="3158" t="s">
        <v>2832</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851</v>
      </c>
      <c r="B84" s="3158" t="s">
        <v>2833</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851</v>
      </c>
      <c r="B85" s="1215" t="s">
        <v>2834</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851</v>
      </c>
      <c r="B86" s="3161" t="s">
        <v>2835</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1150</v>
      </c>
      <c r="B87" s="1217" t="s">
        <v>2836</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1150</v>
      </c>
      <c r="B88" s="3158" t="s">
        <v>974</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1150</v>
      </c>
      <c r="B89" s="3158" t="s">
        <v>984</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1150</v>
      </c>
      <c r="B90" s="3158" t="s">
        <v>993</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1150</v>
      </c>
      <c r="B91" s="3158" t="s">
        <v>1003</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1150</v>
      </c>
      <c r="B92" s="3158" t="s">
        <v>1010</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1150</v>
      </c>
      <c r="B93" s="3158" t="s">
        <v>1016</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1150</v>
      </c>
      <c r="B94" s="3158" t="s">
        <v>1023</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1150</v>
      </c>
      <c r="B95" s="3158" t="s">
        <v>1033</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1150</v>
      </c>
      <c r="B96" s="3158" t="s">
        <v>1042</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1150</v>
      </c>
      <c r="B97" s="3158" t="s">
        <v>1049</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1150</v>
      </c>
      <c r="B98" s="3158" t="s">
        <v>1056</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1150</v>
      </c>
      <c r="B99" s="3158" t="s">
        <v>1063</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1150</v>
      </c>
      <c r="B100" s="3158" t="s">
        <v>1071</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1150</v>
      </c>
      <c r="B101" s="3158" t="s">
        <v>1079</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1150</v>
      </c>
      <c r="B102" s="3158" t="s">
        <v>1084</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1150</v>
      </c>
      <c r="B103" s="3158" t="s">
        <v>1093</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1150</v>
      </c>
      <c r="B104" s="3158" t="s">
        <v>1100</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1150</v>
      </c>
      <c r="B105" s="3158" t="s">
        <v>1108</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1150</v>
      </c>
      <c r="B106" s="3158" t="s">
        <v>1115</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1150</v>
      </c>
      <c r="B107" s="3158" t="s">
        <v>1119</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1150</v>
      </c>
      <c r="B108" s="3158" t="s">
        <v>1126</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1150</v>
      </c>
      <c r="B109" s="3158" t="s">
        <v>1129</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1150</v>
      </c>
      <c r="B110" s="1217" t="s">
        <v>1131</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1150</v>
      </c>
      <c r="B111" s="3158" t="s">
        <v>1134</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1150</v>
      </c>
      <c r="B112" s="3158" t="s">
        <v>1138</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1150</v>
      </c>
      <c r="B113" s="3158" t="s">
        <v>2837</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1150</v>
      </c>
      <c r="B114" s="3158" t="s">
        <v>2838</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1150</v>
      </c>
      <c r="B115" s="3158" t="s">
        <v>2839</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1150</v>
      </c>
      <c r="B116" s="3158" t="s">
        <v>2840</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1150</v>
      </c>
      <c r="B117" s="3158" t="s">
        <v>2841</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1150</v>
      </c>
      <c r="B118" s="3158" t="s">
        <v>2842</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1150</v>
      </c>
      <c r="B119" s="3158" t="s">
        <v>2843</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1150</v>
      </c>
      <c r="B120" s="3158" t="s">
        <v>2844</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1150</v>
      </c>
      <c r="B121" s="3158" t="s">
        <v>2845</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1150</v>
      </c>
      <c r="B122" s="3158" t="s">
        <v>2846</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1150</v>
      </c>
      <c r="B123" s="3158" t="s">
        <v>2847</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1150</v>
      </c>
      <c r="B124" s="3158" t="s">
        <v>2848</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1150</v>
      </c>
      <c r="B125" s="1215" t="s">
        <v>2849</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1150</v>
      </c>
      <c r="B126" s="3161" t="s">
        <v>2850</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1151</v>
      </c>
      <c r="B127" s="1217" t="s">
        <v>2851</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1151</v>
      </c>
      <c r="B128" s="3158" t="s">
        <v>975</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1151</v>
      </c>
      <c r="B129" s="3158" t="s">
        <v>985</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1151</v>
      </c>
      <c r="B130" s="3158" t="s">
        <v>994</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1151</v>
      </c>
      <c r="B131" s="3158" t="s">
        <v>1004</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1151</v>
      </c>
      <c r="B132" s="3158" t="s">
        <v>1011</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1151</v>
      </c>
      <c r="B133" s="3158" t="s">
        <v>1017</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1151</v>
      </c>
      <c r="B134" s="3158" t="s">
        <v>1024</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1151</v>
      </c>
      <c r="B135" s="3158" t="s">
        <v>1034</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1151</v>
      </c>
      <c r="B136" s="3158" t="s">
        <v>1043</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1151</v>
      </c>
      <c r="B137" s="3158" t="s">
        <v>1050</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1151</v>
      </c>
      <c r="B138" s="3158" t="s">
        <v>1057</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1151</v>
      </c>
      <c r="B139" s="3158" t="s">
        <v>1064</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1151</v>
      </c>
      <c r="B140" s="3158" t="s">
        <v>1072</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1151</v>
      </c>
      <c r="B141" s="3158" t="s">
        <v>1080</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1151</v>
      </c>
      <c r="B142" s="3158" t="s">
        <v>1085</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1151</v>
      </c>
      <c r="B143" s="3158" t="s">
        <v>1094</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1151</v>
      </c>
      <c r="B144" s="3158" t="s">
        <v>1101</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1151</v>
      </c>
      <c r="B145" s="3158" t="s">
        <v>1109</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1151</v>
      </c>
      <c r="B146" s="3158" t="s">
        <v>1116</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1151</v>
      </c>
      <c r="B147" s="3158" t="s">
        <v>1120</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1151</v>
      </c>
      <c r="B148" s="3158" t="s">
        <v>2852</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1151</v>
      </c>
      <c r="B149" s="3158" t="s">
        <v>2853</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1151</v>
      </c>
      <c r="B150" s="3158" t="s">
        <v>1139</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1151</v>
      </c>
      <c r="B151" s="3158" t="s">
        <v>1141</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1151</v>
      </c>
      <c r="B152" s="3158" t="s">
        <v>1144</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1151</v>
      </c>
      <c r="B153" s="3158" t="s">
        <v>2854</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1151</v>
      </c>
      <c r="B154" s="3158" t="s">
        <v>2855</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1151</v>
      </c>
      <c r="B155" s="3158" t="s">
        <v>2856</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1151</v>
      </c>
      <c r="B156" s="3158" t="s">
        <v>2857</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1151</v>
      </c>
      <c r="B157" s="3158" t="s">
        <v>1147</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1151</v>
      </c>
      <c r="B158" s="1217" t="s">
        <v>1148</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1151</v>
      </c>
      <c r="B159" s="3158" t="s">
        <v>1149</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1151</v>
      </c>
      <c r="B160" s="3158" t="s">
        <v>2858</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1151</v>
      </c>
      <c r="B161" s="3158" t="s">
        <v>2859</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1151</v>
      </c>
      <c r="B162" s="3158" t="s">
        <v>2860</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1151</v>
      </c>
      <c r="B163" s="3158" t="s">
        <v>2861</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1151</v>
      </c>
      <c r="B164" s="3158" t="s">
        <v>2862</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1151</v>
      </c>
      <c r="B165" s="3158" t="s">
        <v>2863</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1151</v>
      </c>
      <c r="B166" s="3158" t="s">
        <v>2864</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1151</v>
      </c>
      <c r="B167" s="3158" t="s">
        <v>2865</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1151</v>
      </c>
      <c r="B168" s="3158" t="s">
        <v>2866</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1151</v>
      </c>
      <c r="B169" s="3158" t="s">
        <v>2867</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1151</v>
      </c>
      <c r="B170" s="3158" t="s">
        <v>2868</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1151</v>
      </c>
      <c r="B171" s="3158" t="s">
        <v>2869</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1151</v>
      </c>
      <c r="B172" s="3158" t="s">
        <v>2870</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1151</v>
      </c>
      <c r="B173" s="3158" t="s">
        <v>2871</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1151</v>
      </c>
      <c r="B174" s="3158" t="s">
        <v>2872</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1151</v>
      </c>
      <c r="B175" s="3158" t="s">
        <v>2873</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1151</v>
      </c>
      <c r="B176" s="3158" t="s">
        <v>2874</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1151</v>
      </c>
      <c r="B177" s="3158" t="s">
        <v>2875</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1151</v>
      </c>
      <c r="B178" s="3158" t="s">
        <v>2876</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1151</v>
      </c>
      <c r="B179" s="3158" t="s">
        <v>2877</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1151</v>
      </c>
      <c r="B180" s="3158" t="s">
        <v>2878</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1151</v>
      </c>
      <c r="B181" s="3158" t="s">
        <v>2879</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1151</v>
      </c>
      <c r="B182" s="3158" t="s">
        <v>2880</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1151</v>
      </c>
      <c r="B183" s="3158" t="s">
        <v>2881</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1151</v>
      </c>
      <c r="B184" s="3158" t="s">
        <v>2882</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1151</v>
      </c>
      <c r="B185" s="3158" t="s">
        <v>2883</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1151</v>
      </c>
      <c r="B186" s="3158" t="s">
        <v>2884</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1151</v>
      </c>
      <c r="B187" s="3158" t="s">
        <v>2885</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1151</v>
      </c>
      <c r="B188" s="3158" t="s">
        <v>2886</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1151</v>
      </c>
      <c r="B189" s="3161" t="s">
        <v>2887</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1152</v>
      </c>
      <c r="B190" s="1217" t="s">
        <v>2888</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1152</v>
      </c>
      <c r="B191" s="3158" t="s">
        <v>976</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1152</v>
      </c>
      <c r="B192" s="3158" t="s">
        <v>986</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1152</v>
      </c>
      <c r="B193" s="3158" t="s">
        <v>995</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1152</v>
      </c>
      <c r="B194" s="3158" t="s">
        <v>1005</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1152</v>
      </c>
      <c r="B195" s="3158" t="s">
        <v>1012</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1152</v>
      </c>
      <c r="B196" s="3158" t="s">
        <v>1018</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1152</v>
      </c>
      <c r="B197" s="3158" t="s">
        <v>1025</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1152</v>
      </c>
      <c r="B198" s="3158" t="s">
        <v>1035</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1152</v>
      </c>
      <c r="B199" s="3158" t="s">
        <v>2889</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1152</v>
      </c>
      <c r="B200" s="3158" t="s">
        <v>2890</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1152</v>
      </c>
      <c r="B201" s="3158" t="s">
        <v>2891</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1152</v>
      </c>
      <c r="B202" s="3158" t="s">
        <v>1086</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1152</v>
      </c>
      <c r="B203" s="3158" t="s">
        <v>2892</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1152</v>
      </c>
      <c r="B204" s="3158" t="s">
        <v>2893</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1152</v>
      </c>
      <c r="B205" s="3158" t="s">
        <v>2894</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1152</v>
      </c>
      <c r="B206" s="1217" t="s">
        <v>2895</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1152</v>
      </c>
      <c r="B207" s="3158" t="s">
        <v>2896</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1152</v>
      </c>
      <c r="B208" s="3158" t="s">
        <v>2897</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1152</v>
      </c>
      <c r="B209" s="3158" t="s">
        <v>1110</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1152</v>
      </c>
      <c r="B210" s="3158" t="s">
        <v>2898</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1152</v>
      </c>
      <c r="B211" s="3158" t="s">
        <v>2899</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1152</v>
      </c>
      <c r="B212" s="3158" t="s">
        <v>1132</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1152</v>
      </c>
      <c r="B213" s="3158" t="s">
        <v>1135</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1152</v>
      </c>
      <c r="B214" s="3158" t="s">
        <v>2900</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1152</v>
      </c>
      <c r="B215" s="3158" t="s">
        <v>1121</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1152</v>
      </c>
      <c r="B216" s="3158" t="s">
        <v>2901</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1152</v>
      </c>
      <c r="B217" s="3158" t="s">
        <v>2902</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1152</v>
      </c>
      <c r="B218" s="3158" t="s">
        <v>2903</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1152</v>
      </c>
      <c r="B219" s="3158" t="s">
        <v>2904</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1152</v>
      </c>
      <c r="B220" s="3158" t="s">
        <v>2905</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1152</v>
      </c>
      <c r="B221" s="3158" t="s">
        <v>2906</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1152</v>
      </c>
      <c r="B222" s="3158" t="s">
        <v>2907</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1152</v>
      </c>
      <c r="B223" s="3158" t="s">
        <v>2908</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1152</v>
      </c>
      <c r="B224" s="3158" t="s">
        <v>2909</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1152</v>
      </c>
      <c r="B225" s="3158" t="s">
        <v>2910</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1152</v>
      </c>
      <c r="B226" s="3158" t="s">
        <v>2911</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1152</v>
      </c>
      <c r="B227" s="3158" t="s">
        <v>2912</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1152</v>
      </c>
      <c r="B228" s="3158" t="s">
        <v>2913</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1152</v>
      </c>
      <c r="B229" s="3158" t="s">
        <v>2914</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1152</v>
      </c>
      <c r="B230" s="3158" t="s">
        <v>2915</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1152</v>
      </c>
      <c r="B231" s="3158" t="s">
        <v>2916</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1152</v>
      </c>
      <c r="B232" s="3158" t="s">
        <v>2917</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1152</v>
      </c>
      <c r="B233" s="3161" t="s">
        <v>2918</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1153</v>
      </c>
      <c r="B234" s="1217" t="s">
        <v>2919</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1153</v>
      </c>
      <c r="B235" s="3158" t="s">
        <v>977</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1153</v>
      </c>
      <c r="B236" s="3158" t="s">
        <v>987</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1153</v>
      </c>
      <c r="B237" s="3158" t="s">
        <v>996</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1153</v>
      </c>
      <c r="B238" s="3158" t="s">
        <v>2920</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1153</v>
      </c>
      <c r="B239" s="3158" t="s">
        <v>2921</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1153</v>
      </c>
      <c r="B240" s="3158" t="s">
        <v>2922</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1153</v>
      </c>
      <c r="B241" s="3158" t="s">
        <v>2923</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1153</v>
      </c>
      <c r="B242" s="3158" t="s">
        <v>1026</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1153</v>
      </c>
      <c r="B243" s="3158" t="s">
        <v>1036</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1153</v>
      </c>
      <c r="B244" s="3158" t="s">
        <v>2924</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1153</v>
      </c>
      <c r="B245" s="1217" t="s">
        <v>1051</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1153</v>
      </c>
      <c r="B246" s="3158" t="s">
        <v>1058</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1153</v>
      </c>
      <c r="B247" s="3158" t="s">
        <v>2925</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1153</v>
      </c>
      <c r="B248" s="3158" t="s">
        <v>1073</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1153</v>
      </c>
      <c r="B249" s="3158" t="s">
        <v>2926</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1153</v>
      </c>
      <c r="B250" s="3158" t="s">
        <v>1087</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1153</v>
      </c>
      <c r="B251" s="3158" t="s">
        <v>1095</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1153</v>
      </c>
      <c r="B252" s="3158" t="s">
        <v>2927</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1153</v>
      </c>
      <c r="B253" s="3158" t="s">
        <v>1130</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1153</v>
      </c>
      <c r="B254" s="3158" t="s">
        <v>1133</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1153</v>
      </c>
      <c r="B255" s="3158" t="s">
        <v>1136</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1153</v>
      </c>
      <c r="B256" s="3158" t="s">
        <v>2928</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1153</v>
      </c>
      <c r="B257" s="3158" t="s">
        <v>1122</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1153</v>
      </c>
      <c r="B258" s="3158" t="s">
        <v>2929</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1153</v>
      </c>
      <c r="B259" s="3158" t="s">
        <v>2930</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1153</v>
      </c>
      <c r="B260" s="3158" t="s">
        <v>2931</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1153</v>
      </c>
      <c r="B261" s="3158" t="s">
        <v>2932</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1153</v>
      </c>
      <c r="B262" s="3158" t="s">
        <v>2933</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1153</v>
      </c>
      <c r="B263" s="3158" t="s">
        <v>2934</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1153</v>
      </c>
      <c r="B264" s="3158" t="s">
        <v>1146</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1153</v>
      </c>
      <c r="B265" s="3158" t="s">
        <v>2935</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1153</v>
      </c>
      <c r="B266" s="3158" t="s">
        <v>2936</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1153</v>
      </c>
      <c r="B267" s="3158" t="s">
        <v>2937</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1153</v>
      </c>
      <c r="B268" s="3158" t="s">
        <v>2938</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1153</v>
      </c>
      <c r="B269" s="3158" t="s">
        <v>2939</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1153</v>
      </c>
      <c r="B270" s="3158" t="s">
        <v>2940</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1153</v>
      </c>
      <c r="B271" s="3158" t="s">
        <v>2941</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1153</v>
      </c>
      <c r="B272" s="3158" t="s">
        <v>2942</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1153</v>
      </c>
      <c r="B273" s="3158" t="s">
        <v>2943</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1153</v>
      </c>
      <c r="B274" s="3158" t="s">
        <v>2944</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1153</v>
      </c>
      <c r="B275" s="3158" t="s">
        <v>2945</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1153</v>
      </c>
      <c r="B276" s="3161" t="s">
        <v>2946</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1154</v>
      </c>
      <c r="B277" s="1217" t="s">
        <v>2947</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1154</v>
      </c>
      <c r="B278" s="3158" t="s">
        <v>978</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1154</v>
      </c>
      <c r="B279" s="3158" t="s">
        <v>2948</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1154</v>
      </c>
      <c r="B280" s="3158" t="s">
        <v>2949</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1154</v>
      </c>
      <c r="B281" s="3158" t="s">
        <v>2950</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1154</v>
      </c>
      <c r="B282" s="3158" t="s">
        <v>2951</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1154</v>
      </c>
      <c r="B283" s="3158" t="s">
        <v>1019</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1154</v>
      </c>
      <c r="B284" s="3158" t="s">
        <v>1027</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1154</v>
      </c>
      <c r="B285" s="3158" t="s">
        <v>1037</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1154</v>
      </c>
      <c r="B286" s="3158" t="s">
        <v>1044</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1154</v>
      </c>
      <c r="B287" s="3158" t="s">
        <v>2952</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1154</v>
      </c>
      <c r="B288" s="3158" t="s">
        <v>1065</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1154</v>
      </c>
      <c r="B289" s="3158" t="s">
        <v>2953</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1154</v>
      </c>
      <c r="B290" s="1217" t="s">
        <v>1088</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1154</v>
      </c>
      <c r="B291" s="3158" t="s">
        <v>1096</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1154</v>
      </c>
      <c r="B292" s="3158" t="s">
        <v>1102</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1154</v>
      </c>
      <c r="B293" s="3158" t="s">
        <v>2954</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1154</v>
      </c>
      <c r="B294" s="3158" t="s">
        <v>2955</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1154</v>
      </c>
      <c r="B295" s="3158" t="s">
        <v>1137</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1154</v>
      </c>
      <c r="B296" s="3158" t="s">
        <v>1140</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1154</v>
      </c>
      <c r="B297" s="3158" t="s">
        <v>1142</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1154</v>
      </c>
      <c r="B298" s="3158" t="s">
        <v>1145</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1154</v>
      </c>
      <c r="B299" s="3158" t="s">
        <v>2956</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1154</v>
      </c>
      <c r="B300" s="3158" t="s">
        <v>1117</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1154</v>
      </c>
      <c r="B301" s="3158" t="s">
        <v>1123</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1154</v>
      </c>
      <c r="B302" s="3158" t="s">
        <v>2957</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1154</v>
      </c>
      <c r="B303" s="3158" t="s">
        <v>2958</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1154</v>
      </c>
      <c r="B304" s="3158" t="s">
        <v>2959</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1154</v>
      </c>
      <c r="B305" s="3158" t="s">
        <v>2960</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1154</v>
      </c>
      <c r="B306" s="3158" t="s">
        <v>2961</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1154</v>
      </c>
      <c r="B307" s="3158" t="s">
        <v>2962</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1154</v>
      </c>
      <c r="B308" s="3158" t="s">
        <v>2963</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1154</v>
      </c>
      <c r="B309" s="3158" t="s">
        <v>2964</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1154</v>
      </c>
      <c r="B310" s="3158" t="s">
        <v>2965</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1154</v>
      </c>
      <c r="B311" s="3158" t="s">
        <v>2966</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1154</v>
      </c>
      <c r="B312" s="3158" t="s">
        <v>2967</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1154</v>
      </c>
      <c r="B313" s="3158" t="s">
        <v>2968</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1154</v>
      </c>
      <c r="B314" s="3158" t="s">
        <v>2969</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1154</v>
      </c>
      <c r="B315" s="3158" t="s">
        <v>2970</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1154</v>
      </c>
      <c r="B316" s="3158" t="s">
        <v>2971</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1154</v>
      </c>
      <c r="B317" s="1217" t="s">
        <v>2972</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1154</v>
      </c>
      <c r="B318" s="3158" t="s">
        <v>2973</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1154</v>
      </c>
      <c r="B319" s="3158" t="s">
        <v>2974</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1154</v>
      </c>
      <c r="B320" s="3158" t="s">
        <v>2975</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1154</v>
      </c>
      <c r="B321" s="3158" t="s">
        <v>2976</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1154</v>
      </c>
      <c r="B322" s="3158" t="s">
        <v>2977</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1154</v>
      </c>
      <c r="B323" s="3158" t="s">
        <v>2978</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1154</v>
      </c>
      <c r="B324" s="3158" t="s">
        <v>2979</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1154</v>
      </c>
      <c r="B325" s="3158" t="s">
        <v>2980</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1154</v>
      </c>
      <c r="B326" s="3161" t="s">
        <v>2981</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1155</v>
      </c>
      <c r="B327" s="2407" t="s">
        <v>2982</v>
      </c>
      <c r="C327" s="2407">
        <v>3750</v>
      </c>
      <c r="D327" s="2407">
        <v>3710</v>
      </c>
      <c r="E327" s="2407">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1155</v>
      </c>
      <c r="B328" s="3158" t="s">
        <v>979</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1155</v>
      </c>
      <c r="B329" s="3158" t="s">
        <v>2983</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1155</v>
      </c>
      <c r="B330" s="3158" t="s">
        <v>2984</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1155</v>
      </c>
      <c r="B331" s="3158" t="s">
        <v>1006</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1155</v>
      </c>
      <c r="B332" s="3158" t="s">
        <v>2985</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1155</v>
      </c>
      <c r="B333" s="3158" t="s">
        <v>2986</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1155</v>
      </c>
      <c r="B334" s="3158" t="s">
        <v>1028</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1155</v>
      </c>
      <c r="B335" s="3158" t="s">
        <v>1038</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1155</v>
      </c>
      <c r="B336" s="3158" t="s">
        <v>2987</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1155</v>
      </c>
      <c r="B337" s="3158" t="s">
        <v>2988</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1155</v>
      </c>
      <c r="B338" s="3158" t="s">
        <v>1066</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1155</v>
      </c>
      <c r="B339" s="3158" t="s">
        <v>1074</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1155</v>
      </c>
      <c r="B340" s="3158" t="s">
        <v>2989</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1155</v>
      </c>
      <c r="B341" s="3158" t="s">
        <v>1052</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1155</v>
      </c>
      <c r="B342" s="3158" t="s">
        <v>2990</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1155</v>
      </c>
      <c r="B343" s="3158" t="s">
        <v>1103</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1155</v>
      </c>
      <c r="B344" s="3158" t="s">
        <v>1111</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1155</v>
      </c>
      <c r="B345" s="3167" t="s">
        <v>2991</v>
      </c>
      <c r="C345" s="3167">
        <v>3190</v>
      </c>
      <c r="D345" s="3167">
        <v>3140</v>
      </c>
      <c r="E345" s="3167">
        <v>3450</v>
      </c>
      <c r="F345" s="3167">
        <v>720</v>
      </c>
      <c r="G345" s="3167">
        <v>1880</v>
      </c>
      <c r="H345" s="958"/>
    </row>
    <row r="346" spans="1:21">
      <c r="A346" s="3167" t="s">
        <v>1155</v>
      </c>
      <c r="B346" s="3167" t="s">
        <v>2992</v>
      </c>
      <c r="C346" s="3167">
        <v>3630</v>
      </c>
      <c r="D346" s="3167">
        <v>3590</v>
      </c>
      <c r="E346" s="3167">
        <v>3940</v>
      </c>
      <c r="F346" s="3167">
        <v>730</v>
      </c>
      <c r="G346" s="3167">
        <v>2150</v>
      </c>
      <c r="H346" s="958"/>
    </row>
    <row r="347" spans="1:21">
      <c r="A347" s="3167" t="s">
        <v>1155</v>
      </c>
      <c r="B347" s="3167" t="s">
        <v>1089</v>
      </c>
      <c r="C347" s="3167">
        <v>3860</v>
      </c>
      <c r="D347" s="3167">
        <v>3820</v>
      </c>
      <c r="E347" s="3167">
        <v>4220</v>
      </c>
      <c r="F347" s="3167">
        <v>750</v>
      </c>
      <c r="G347" s="3167">
        <v>2280</v>
      </c>
      <c r="H347" s="958"/>
    </row>
    <row r="348" spans="1:21">
      <c r="A348" s="3167" t="s">
        <v>1155</v>
      </c>
      <c r="B348" s="3167" t="s">
        <v>2993</v>
      </c>
      <c r="C348" s="3167">
        <v>4000</v>
      </c>
      <c r="D348" s="3167">
        <v>3950</v>
      </c>
      <c r="E348" s="3167">
        <v>4430</v>
      </c>
      <c r="F348" s="3167">
        <v>760</v>
      </c>
      <c r="G348" s="3167">
        <v>2360</v>
      </c>
      <c r="H348" s="958"/>
    </row>
    <row r="349" spans="1:21">
      <c r="A349" s="3167" t="s">
        <v>1155</v>
      </c>
      <c r="B349" s="3167" t="s">
        <v>2994</v>
      </c>
      <c r="C349" s="3167">
        <v>3820</v>
      </c>
      <c r="D349" s="3167">
        <v>3780</v>
      </c>
      <c r="E349" s="3167">
        <v>4170</v>
      </c>
      <c r="F349" s="3167">
        <v>710</v>
      </c>
      <c r="G349" s="3167">
        <v>2260</v>
      </c>
      <c r="H349" s="958"/>
    </row>
    <row r="350" spans="1:21">
      <c r="A350" s="3167" t="s">
        <v>1155</v>
      </c>
      <c r="B350" s="3167" t="s">
        <v>2995</v>
      </c>
      <c r="C350" s="3167">
        <v>3760</v>
      </c>
      <c r="D350" s="3167">
        <v>3730</v>
      </c>
      <c r="E350" s="3167">
        <v>4100</v>
      </c>
      <c r="F350" s="3167">
        <v>800</v>
      </c>
      <c r="G350" s="3167">
        <v>2230</v>
      </c>
      <c r="H350" s="958"/>
    </row>
    <row r="351" spans="1:21">
      <c r="A351" s="3167" t="s">
        <v>1155</v>
      </c>
      <c r="B351" s="3167" t="s">
        <v>2996</v>
      </c>
      <c r="C351" s="3167">
        <v>3610</v>
      </c>
      <c r="D351" s="3167">
        <v>3580</v>
      </c>
      <c r="E351" s="3167">
        <v>3930</v>
      </c>
      <c r="F351" s="3167">
        <v>700</v>
      </c>
      <c r="G351" s="3167">
        <v>2140</v>
      </c>
      <c r="H351" s="958"/>
    </row>
    <row r="352" spans="1:21">
      <c r="A352" s="3167" t="s">
        <v>1155</v>
      </c>
      <c r="B352" s="3167" t="s">
        <v>2997</v>
      </c>
      <c r="C352" s="3167">
        <v>3670</v>
      </c>
      <c r="D352" s="3167">
        <v>3630</v>
      </c>
      <c r="E352" s="3167">
        <v>4000</v>
      </c>
      <c r="F352" s="3167">
        <v>750</v>
      </c>
      <c r="G352" s="3167">
        <v>2180</v>
      </c>
      <c r="H352" s="958"/>
    </row>
    <row r="353" spans="1:8">
      <c r="A353" s="3167" t="s">
        <v>1155</v>
      </c>
      <c r="B353" s="3167" t="s">
        <v>2998</v>
      </c>
      <c r="C353" s="3167">
        <v>3190</v>
      </c>
      <c r="D353" s="3167">
        <v>3150</v>
      </c>
      <c r="E353" s="3167">
        <v>3640</v>
      </c>
      <c r="F353" s="3167">
        <v>630</v>
      </c>
      <c r="G353" s="3167">
        <v>1890</v>
      </c>
      <c r="H353" s="958"/>
    </row>
    <row r="354" spans="1:8">
      <c r="A354" s="3167" t="s">
        <v>1155</v>
      </c>
      <c r="B354" s="3167" t="s">
        <v>1127</v>
      </c>
      <c r="C354" s="3167">
        <v>3450</v>
      </c>
      <c r="D354" s="3167">
        <v>3420</v>
      </c>
      <c r="E354" s="3167">
        <v>3960</v>
      </c>
      <c r="F354" s="3167">
        <v>660</v>
      </c>
      <c r="G354" s="3167">
        <v>2050</v>
      </c>
      <c r="H354" s="958"/>
    </row>
    <row r="355" spans="1:8">
      <c r="A355" s="3167" t="s">
        <v>1155</v>
      </c>
      <c r="B355" s="3167" t="s">
        <v>2999</v>
      </c>
      <c r="C355" s="3167">
        <v>3650</v>
      </c>
      <c r="D355" s="3167">
        <v>3610</v>
      </c>
      <c r="E355" s="3167">
        <v>4200</v>
      </c>
      <c r="F355" s="3167">
        <v>640</v>
      </c>
      <c r="G355" s="3167">
        <v>2160</v>
      </c>
      <c r="H355" s="958"/>
    </row>
    <row r="356" spans="1:8">
      <c r="A356" s="3167" t="s">
        <v>1155</v>
      </c>
      <c r="B356" s="3167" t="s">
        <v>3000</v>
      </c>
      <c r="C356" s="3167">
        <v>3260</v>
      </c>
      <c r="D356" s="3167">
        <v>3230</v>
      </c>
      <c r="E356" s="3167">
        <v>3740</v>
      </c>
      <c r="F356" s="3167">
        <v>600</v>
      </c>
      <c r="G356" s="3167">
        <v>1930</v>
      </c>
      <c r="H356" s="958"/>
    </row>
    <row r="357" spans="1:8" ht="14.25" thickBot="1">
      <c r="A357" s="3182" t="s">
        <v>1155</v>
      </c>
      <c r="B357" s="3182" t="s">
        <v>3001</v>
      </c>
      <c r="C357" s="3182">
        <v>3690</v>
      </c>
      <c r="D357" s="3182">
        <v>3650</v>
      </c>
      <c r="E357" s="3182">
        <v>4020</v>
      </c>
      <c r="F357" s="3182">
        <v>700</v>
      </c>
      <c r="G357" s="3182">
        <v>2190</v>
      </c>
      <c r="H357" s="958"/>
    </row>
    <row r="358" spans="1:8">
      <c r="A358" s="3183" t="s">
        <v>2759</v>
      </c>
      <c r="B358" s="3184" t="s">
        <v>3002</v>
      </c>
      <c r="C358" s="3184">
        <v>2080</v>
      </c>
      <c r="D358" s="3184">
        <v>2040</v>
      </c>
      <c r="E358" s="3184">
        <v>2010</v>
      </c>
      <c r="F358" s="3184">
        <v>530</v>
      </c>
      <c r="G358" s="3185">
        <v>1230</v>
      </c>
      <c r="H358" s="958"/>
    </row>
    <row r="359" spans="1:8">
      <c r="A359" s="3186" t="s">
        <v>2759</v>
      </c>
      <c r="B359" s="3167" t="s">
        <v>3003</v>
      </c>
      <c r="C359" s="3167">
        <v>1850</v>
      </c>
      <c r="D359" s="3167">
        <v>1820</v>
      </c>
      <c r="E359" s="3167">
        <v>1780</v>
      </c>
      <c r="F359" s="3167">
        <v>520</v>
      </c>
      <c r="G359" s="3179">
        <v>1100</v>
      </c>
      <c r="H359" s="958"/>
    </row>
    <row r="360" spans="1:8">
      <c r="A360" s="3186" t="s">
        <v>2759</v>
      </c>
      <c r="B360" s="3167" t="s">
        <v>3004</v>
      </c>
      <c r="C360" s="3167">
        <v>2020</v>
      </c>
      <c r="D360" s="3167">
        <v>1990</v>
      </c>
      <c r="E360" s="3167">
        <v>1950</v>
      </c>
      <c r="F360" s="3167">
        <v>500</v>
      </c>
      <c r="G360" s="3179">
        <v>1200</v>
      </c>
      <c r="H360" s="958"/>
    </row>
    <row r="361" spans="1:8">
      <c r="A361" s="3186" t="s">
        <v>2759</v>
      </c>
      <c r="B361" s="3167" t="s">
        <v>997</v>
      </c>
      <c r="C361" s="3167">
        <v>2260</v>
      </c>
      <c r="D361" s="3167">
        <v>2220</v>
      </c>
      <c r="E361" s="3167">
        <v>2180</v>
      </c>
      <c r="F361" s="3167">
        <v>580</v>
      </c>
      <c r="G361" s="3179">
        <v>1340</v>
      </c>
      <c r="H361" s="958"/>
    </row>
    <row r="362" spans="1:8">
      <c r="A362" s="3186" t="s">
        <v>2759</v>
      </c>
      <c r="B362" s="3167" t="s">
        <v>3005</v>
      </c>
      <c r="C362" s="3167">
        <v>2650</v>
      </c>
      <c r="D362" s="3167">
        <v>2610</v>
      </c>
      <c r="E362" s="3167">
        <v>2570</v>
      </c>
      <c r="F362" s="3167">
        <v>630</v>
      </c>
      <c r="G362" s="3179">
        <v>1570</v>
      </c>
      <c r="H362" s="958"/>
    </row>
    <row r="363" spans="1:8">
      <c r="A363" s="3186" t="s">
        <v>2759</v>
      </c>
      <c r="B363" s="3167" t="s">
        <v>3006</v>
      </c>
      <c r="C363" s="3167">
        <v>2390</v>
      </c>
      <c r="D363" s="3167">
        <v>2360</v>
      </c>
      <c r="E363" s="3167">
        <v>2320</v>
      </c>
      <c r="F363" s="3167">
        <v>600</v>
      </c>
      <c r="G363" s="3179">
        <v>1420</v>
      </c>
      <c r="H363" s="958"/>
    </row>
    <row r="364" spans="1:8">
      <c r="A364" s="3186" t="s">
        <v>2759</v>
      </c>
      <c r="B364" s="3167" t="s">
        <v>3007</v>
      </c>
      <c r="C364" s="3167">
        <v>2050</v>
      </c>
      <c r="D364" s="3167">
        <v>2030</v>
      </c>
      <c r="E364" s="3167">
        <v>1990</v>
      </c>
      <c r="F364" s="3167">
        <v>550</v>
      </c>
      <c r="G364" s="3179">
        <v>1220</v>
      </c>
      <c r="H364" s="958"/>
    </row>
    <row r="365" spans="1:8">
      <c r="A365" s="3186" t="s">
        <v>2759</v>
      </c>
      <c r="B365" s="3167" t="s">
        <v>1045</v>
      </c>
      <c r="C365" s="3167">
        <v>2140</v>
      </c>
      <c r="D365" s="3167">
        <v>2100</v>
      </c>
      <c r="E365" s="3167">
        <v>2060</v>
      </c>
      <c r="F365" s="3167">
        <v>540</v>
      </c>
      <c r="G365" s="3179">
        <v>1270</v>
      </c>
      <c r="H365" s="958"/>
    </row>
    <row r="366" spans="1:8">
      <c r="A366" s="3186" t="s">
        <v>2759</v>
      </c>
      <c r="B366" s="3167" t="s">
        <v>3008</v>
      </c>
      <c r="C366" s="3167">
        <v>2410</v>
      </c>
      <c r="D366" s="3167">
        <v>2370</v>
      </c>
      <c r="E366" s="3167">
        <v>2330</v>
      </c>
      <c r="F366" s="3167">
        <v>570</v>
      </c>
      <c r="G366" s="3179">
        <v>1440</v>
      </c>
      <c r="H366" s="958"/>
    </row>
    <row r="367" spans="1:8">
      <c r="A367" s="3186" t="s">
        <v>2759</v>
      </c>
      <c r="B367" s="3167" t="s">
        <v>3009</v>
      </c>
      <c r="C367" s="3167">
        <v>2300</v>
      </c>
      <c r="D367" s="3167">
        <v>2260</v>
      </c>
      <c r="E367" s="3167">
        <v>2220</v>
      </c>
      <c r="F367" s="3167">
        <v>560</v>
      </c>
      <c r="G367" s="3179">
        <v>1370</v>
      </c>
      <c r="H367" s="958"/>
    </row>
    <row r="368" spans="1:8">
      <c r="A368" s="3186" t="s">
        <v>2759</v>
      </c>
      <c r="B368" s="3167" t="s">
        <v>3010</v>
      </c>
      <c r="C368" s="3167">
        <v>2430</v>
      </c>
      <c r="D368" s="3167">
        <v>2390</v>
      </c>
      <c r="E368" s="3167">
        <v>2350</v>
      </c>
      <c r="F368" s="3167">
        <v>570</v>
      </c>
      <c r="G368" s="3179">
        <v>1450</v>
      </c>
      <c r="H368" s="958"/>
    </row>
    <row r="369" spans="1:8">
      <c r="A369" s="3186" t="s">
        <v>2759</v>
      </c>
      <c r="B369" s="3167" t="s">
        <v>1059</v>
      </c>
      <c r="C369" s="3167">
        <v>2320</v>
      </c>
      <c r="D369" s="3167">
        <v>2290</v>
      </c>
      <c r="E369" s="3167">
        <v>2250</v>
      </c>
      <c r="F369" s="3167">
        <v>550</v>
      </c>
      <c r="G369" s="3179">
        <v>1380</v>
      </c>
      <c r="H369" s="958"/>
    </row>
    <row r="370" spans="1:8">
      <c r="A370" s="3186" t="s">
        <v>2759</v>
      </c>
      <c r="B370" s="3167" t="s">
        <v>1067</v>
      </c>
      <c r="C370" s="3167">
        <v>2190</v>
      </c>
      <c r="D370" s="3167">
        <v>2170</v>
      </c>
      <c r="E370" s="3167">
        <v>2130</v>
      </c>
      <c r="F370" s="3167">
        <v>530</v>
      </c>
      <c r="G370" s="3179">
        <v>1310</v>
      </c>
      <c r="H370" s="958"/>
    </row>
    <row r="371" spans="1:8">
      <c r="A371" s="3186" t="s">
        <v>2759</v>
      </c>
      <c r="B371" s="3167" t="s">
        <v>1075</v>
      </c>
      <c r="C371" s="3167">
        <v>2460</v>
      </c>
      <c r="D371" s="3167">
        <v>2420</v>
      </c>
      <c r="E371" s="3167">
        <v>2370</v>
      </c>
      <c r="F371" s="3167">
        <v>560</v>
      </c>
      <c r="G371" s="3179">
        <v>1470</v>
      </c>
      <c r="H371" s="958"/>
    </row>
    <row r="372" spans="1:8">
      <c r="A372" s="3186" t="s">
        <v>2759</v>
      </c>
      <c r="B372" s="3167" t="s">
        <v>3011</v>
      </c>
      <c r="C372" s="3167">
        <v>2250</v>
      </c>
      <c r="D372" s="3167">
        <v>2210</v>
      </c>
      <c r="E372" s="3167">
        <v>2180</v>
      </c>
      <c r="F372" s="3167">
        <v>550</v>
      </c>
      <c r="G372" s="3179">
        <v>1340</v>
      </c>
      <c r="H372" s="958"/>
    </row>
    <row r="373" spans="1:8">
      <c r="A373" s="3186" t="s">
        <v>2759</v>
      </c>
      <c r="B373" s="3167" t="s">
        <v>1104</v>
      </c>
      <c r="C373" s="3167">
        <v>2210</v>
      </c>
      <c r="D373" s="3167">
        <v>2190</v>
      </c>
      <c r="E373" s="3167">
        <v>2150</v>
      </c>
      <c r="F373" s="3167">
        <v>530</v>
      </c>
      <c r="G373" s="3179">
        <v>1320</v>
      </c>
      <c r="H373" s="958"/>
    </row>
    <row r="374" spans="1:8">
      <c r="A374" s="3186" t="s">
        <v>2759</v>
      </c>
      <c r="B374" s="3167" t="s">
        <v>1112</v>
      </c>
      <c r="C374" s="3167">
        <v>2320</v>
      </c>
      <c r="D374" s="3167">
        <v>2280</v>
      </c>
      <c r="E374" s="3167">
        <v>2230</v>
      </c>
      <c r="F374" s="3167">
        <v>580</v>
      </c>
      <c r="G374" s="3179">
        <v>1380</v>
      </c>
      <c r="H374" s="958"/>
    </row>
    <row r="375" spans="1:8">
      <c r="A375" s="3186" t="s">
        <v>2759</v>
      </c>
      <c r="B375" s="3167" t="s">
        <v>3012</v>
      </c>
      <c r="C375" s="3167">
        <v>2090</v>
      </c>
      <c r="D375" s="3167">
        <v>2050</v>
      </c>
      <c r="E375" s="3167">
        <v>2020</v>
      </c>
      <c r="F375" s="3167">
        <v>520</v>
      </c>
      <c r="G375" s="3179">
        <v>1240</v>
      </c>
      <c r="H375" s="958"/>
    </row>
    <row r="376" spans="1:8">
      <c r="A376" s="3186" t="s">
        <v>2759</v>
      </c>
      <c r="B376" s="3167" t="s">
        <v>1124</v>
      </c>
      <c r="C376" s="3167">
        <v>2010</v>
      </c>
      <c r="D376" s="3167">
        <v>1980</v>
      </c>
      <c r="E376" s="3167">
        <v>1940</v>
      </c>
      <c r="F376" s="3167">
        <v>540</v>
      </c>
      <c r="G376" s="3179">
        <v>1190</v>
      </c>
      <c r="H376" s="958"/>
    </row>
    <row r="377" spans="1:8" ht="14.25" thickBot="1">
      <c r="A377" s="3188" t="s">
        <v>2759</v>
      </c>
      <c r="B377" s="3182" t="s">
        <v>3013</v>
      </c>
      <c r="C377" s="3182">
        <v>1930</v>
      </c>
      <c r="D377" s="3182">
        <v>1890</v>
      </c>
      <c r="E377" s="3182">
        <v>1860</v>
      </c>
      <c r="F377" s="3182">
        <v>530</v>
      </c>
      <c r="G377" s="3189">
        <v>1150</v>
      </c>
      <c r="H377" s="958"/>
    </row>
    <row r="378" spans="1:8">
      <c r="A378" s="3183" t="s">
        <v>2760</v>
      </c>
      <c r="B378" s="3184" t="s">
        <v>3014</v>
      </c>
      <c r="C378" s="3184">
        <v>1520</v>
      </c>
      <c r="D378" s="3184">
        <v>1490</v>
      </c>
      <c r="E378" s="3184">
        <v>1460</v>
      </c>
      <c r="F378" s="3184">
        <v>460</v>
      </c>
      <c r="G378" s="3185">
        <v>940</v>
      </c>
      <c r="H378" s="958"/>
    </row>
    <row r="379" spans="1:8">
      <c r="A379" s="3186" t="s">
        <v>2760</v>
      </c>
      <c r="B379" s="3167" t="s">
        <v>3015</v>
      </c>
      <c r="C379" s="3167">
        <v>1500</v>
      </c>
      <c r="D379" s="3167">
        <v>1470</v>
      </c>
      <c r="E379" s="3167">
        <v>1430</v>
      </c>
      <c r="F379" s="3167">
        <v>460</v>
      </c>
      <c r="G379" s="3179">
        <v>920</v>
      </c>
      <c r="H379" s="958"/>
    </row>
    <row r="380" spans="1:8">
      <c r="A380" s="3186" t="s">
        <v>2760</v>
      </c>
      <c r="B380" s="3167" t="s">
        <v>3016</v>
      </c>
      <c r="C380" s="3167">
        <v>1620</v>
      </c>
      <c r="D380" s="3167">
        <v>1590</v>
      </c>
      <c r="E380" s="3167">
        <v>1560</v>
      </c>
      <c r="F380" s="3167">
        <v>480</v>
      </c>
      <c r="G380" s="3179">
        <v>1000</v>
      </c>
      <c r="H380" s="958"/>
    </row>
    <row r="381" spans="1:8">
      <c r="A381" s="3186" t="s">
        <v>2760</v>
      </c>
      <c r="B381" s="3167" t="s">
        <v>3017</v>
      </c>
      <c r="C381" s="3167">
        <v>1460</v>
      </c>
      <c r="D381" s="3167">
        <v>1430</v>
      </c>
      <c r="E381" s="3167">
        <v>1390</v>
      </c>
      <c r="F381" s="3167">
        <v>450</v>
      </c>
      <c r="G381" s="3179">
        <v>900</v>
      </c>
      <c r="H381" s="958"/>
    </row>
    <row r="382" spans="1:8">
      <c r="A382" s="3186" t="s">
        <v>2760</v>
      </c>
      <c r="B382" s="3167" t="s">
        <v>3018</v>
      </c>
      <c r="C382" s="3167">
        <v>1310</v>
      </c>
      <c r="D382" s="3167">
        <v>1280</v>
      </c>
      <c r="E382" s="3167">
        <v>1250</v>
      </c>
      <c r="F382" s="3167">
        <v>440</v>
      </c>
      <c r="G382" s="3179">
        <v>800</v>
      </c>
      <c r="H382" s="958"/>
    </row>
    <row r="383" spans="1:8">
      <c r="A383" s="3186" t="s">
        <v>2760</v>
      </c>
      <c r="B383" s="3167" t="s">
        <v>3019</v>
      </c>
      <c r="C383" s="3167">
        <v>1260</v>
      </c>
      <c r="D383" s="3167">
        <v>1230</v>
      </c>
      <c r="E383" s="3167">
        <v>1200</v>
      </c>
      <c r="F383" s="3167">
        <v>420</v>
      </c>
      <c r="G383" s="3179">
        <v>770</v>
      </c>
      <c r="H383" s="958"/>
    </row>
    <row r="384" spans="1:8" ht="14.25" thickBot="1">
      <c r="A384" s="3187" t="s">
        <v>2760</v>
      </c>
      <c r="B384" s="3181" t="s">
        <v>3020</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804" t="s">
        <v>3183</v>
      </c>
      <c r="B1" s="3804"/>
      <c r="C1" s="3804"/>
      <c r="D1" s="3804"/>
      <c r="E1" s="3804"/>
      <c r="F1" s="3805"/>
    </row>
    <row r="2" spans="1:6" ht="14.25">
      <c r="A2" s="3232" t="s">
        <v>3184</v>
      </c>
      <c r="B2" s="1491"/>
      <c r="C2" s="1491"/>
      <c r="D2" s="1491"/>
      <c r="E2" s="1491"/>
      <c r="F2" s="1491"/>
    </row>
    <row r="3" spans="1:6" ht="14.25">
      <c r="A3" s="3232" t="s">
        <v>3185</v>
      </c>
      <c r="B3" s="1491"/>
      <c r="C3" s="1491"/>
      <c r="D3" s="1491"/>
      <c r="E3" s="1491"/>
      <c r="F3" s="3233" t="s">
        <v>3186</v>
      </c>
    </row>
    <row r="4" spans="1:6">
      <c r="A4" s="3234" t="s">
        <v>3181</v>
      </c>
      <c r="B4" s="3234" t="s">
        <v>2735</v>
      </c>
      <c r="C4" s="3234" t="s">
        <v>1210</v>
      </c>
      <c r="D4" s="3234" t="s">
        <v>3182</v>
      </c>
      <c r="E4" s="3234" t="s">
        <v>903</v>
      </c>
      <c r="F4" s="3234" t="s">
        <v>3187</v>
      </c>
    </row>
    <row r="5" spans="1:6">
      <c r="A5" s="3235" t="s">
        <v>2758</v>
      </c>
      <c r="B5" s="3234"/>
      <c r="C5" s="3234"/>
      <c r="D5" s="3234"/>
      <c r="E5" s="3234"/>
      <c r="F5" s="3236"/>
    </row>
    <row r="6" spans="1:6">
      <c r="A6" s="3235" t="s">
        <v>988</v>
      </c>
      <c r="B6" s="3237">
        <v>35380</v>
      </c>
      <c r="C6" s="3237">
        <v>35180</v>
      </c>
      <c r="D6" s="3237">
        <v>35030</v>
      </c>
      <c r="E6" s="3237">
        <v>13780</v>
      </c>
      <c r="F6" s="3237">
        <v>25980</v>
      </c>
    </row>
    <row r="7" spans="1:6">
      <c r="A7" s="3235" t="s">
        <v>1029</v>
      </c>
      <c r="B7" s="3237">
        <v>29960</v>
      </c>
      <c r="C7" s="3237">
        <v>29800</v>
      </c>
      <c r="D7" s="3237">
        <v>29690</v>
      </c>
      <c r="E7" s="3237">
        <v>10100</v>
      </c>
      <c r="F7" s="3237">
        <v>21690</v>
      </c>
    </row>
    <row r="8" spans="1:6">
      <c r="A8" s="3235" t="s">
        <v>1143</v>
      </c>
      <c r="B8" s="3237">
        <v>24480</v>
      </c>
      <c r="C8" s="3237">
        <v>24380</v>
      </c>
      <c r="D8" s="3237">
        <v>25590</v>
      </c>
      <c r="E8" s="3237">
        <v>7010</v>
      </c>
      <c r="F8" s="3237">
        <v>17060</v>
      </c>
    </row>
    <row r="9" spans="1:6">
      <c r="A9" s="3235" t="s">
        <v>851</v>
      </c>
      <c r="B9" s="3237">
        <v>19370</v>
      </c>
      <c r="C9" s="3237">
        <v>19290</v>
      </c>
      <c r="D9" s="3237">
        <v>21280</v>
      </c>
      <c r="E9" s="3237">
        <v>4910</v>
      </c>
      <c r="F9" s="3237">
        <v>13090</v>
      </c>
    </row>
    <row r="10" spans="1:6">
      <c r="A10" s="3235" t="s">
        <v>1150</v>
      </c>
      <c r="B10" s="3237">
        <v>15050</v>
      </c>
      <c r="C10" s="3237">
        <v>14980</v>
      </c>
      <c r="D10" s="3237">
        <v>17300</v>
      </c>
      <c r="E10" s="3237">
        <v>3450</v>
      </c>
      <c r="F10" s="3237">
        <v>9900</v>
      </c>
    </row>
    <row r="11" spans="1:6">
      <c r="A11" s="3235" t="s">
        <v>1151</v>
      </c>
      <c r="B11" s="3237">
        <v>11550</v>
      </c>
      <c r="C11" s="3237">
        <v>11490</v>
      </c>
      <c r="D11" s="3237">
        <v>13850</v>
      </c>
      <c r="E11" s="3237">
        <v>2400</v>
      </c>
      <c r="F11" s="3237">
        <v>7390</v>
      </c>
    </row>
    <row r="12" spans="1:6">
      <c r="A12" s="3235" t="s">
        <v>1152</v>
      </c>
      <c r="B12" s="3237">
        <v>8630</v>
      </c>
      <c r="C12" s="3237">
        <v>8580</v>
      </c>
      <c r="D12" s="3237">
        <v>10740</v>
      </c>
      <c r="E12" s="3237">
        <v>1720</v>
      </c>
      <c r="F12" s="3237">
        <v>5420</v>
      </c>
    </row>
    <row r="13" spans="1:6">
      <c r="A13" s="3235" t="s">
        <v>1153</v>
      </c>
      <c r="B13" s="3237">
        <v>6620</v>
      </c>
      <c r="C13" s="3237">
        <v>6580</v>
      </c>
      <c r="D13" s="3237">
        <v>7830</v>
      </c>
      <c r="E13" s="3237">
        <v>1260</v>
      </c>
      <c r="F13" s="3237">
        <v>4040</v>
      </c>
    </row>
    <row r="14" spans="1:6">
      <c r="A14" s="3235" t="s">
        <v>1154</v>
      </c>
      <c r="B14" s="3237">
        <v>4900</v>
      </c>
      <c r="C14" s="3237">
        <v>4860</v>
      </c>
      <c r="D14" s="3237">
        <v>5540</v>
      </c>
      <c r="E14" s="3237">
        <v>950</v>
      </c>
      <c r="F14" s="3237">
        <v>2930</v>
      </c>
    </row>
    <row r="15" spans="1:6">
      <c r="A15" s="3235" t="s">
        <v>1155</v>
      </c>
      <c r="B15" s="3237">
        <v>3380</v>
      </c>
      <c r="C15" s="3237">
        <v>3340</v>
      </c>
      <c r="D15" s="3237">
        <v>3630</v>
      </c>
      <c r="E15" s="3237">
        <v>730</v>
      </c>
      <c r="F15" s="3237">
        <v>1990</v>
      </c>
    </row>
    <row r="16" spans="1:6">
      <c r="A16" s="3235" t="s">
        <v>2759</v>
      </c>
      <c r="B16" s="3237">
        <v>2230</v>
      </c>
      <c r="C16" s="3237">
        <v>2200</v>
      </c>
      <c r="D16" s="3237">
        <v>2180</v>
      </c>
      <c r="E16" s="3237">
        <v>570</v>
      </c>
      <c r="F16" s="3237">
        <v>1330</v>
      </c>
    </row>
    <row r="17" spans="1:6">
      <c r="A17" s="3235" t="s">
        <v>2760</v>
      </c>
      <c r="B17" s="3237">
        <v>1390</v>
      </c>
      <c r="C17" s="3237">
        <v>1360</v>
      </c>
      <c r="D17" s="3237">
        <v>1340</v>
      </c>
      <c r="E17" s="3237">
        <v>450</v>
      </c>
      <c r="F17" s="3237">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2772</v>
      </c>
      <c r="B1" s="921"/>
      <c r="C1" s="921"/>
      <c r="D1" s="921"/>
      <c r="E1" s="921"/>
      <c r="F1" s="921"/>
      <c r="G1" s="921"/>
      <c r="H1" s="921"/>
      <c r="I1" s="921"/>
      <c r="J1" s="921"/>
      <c r="K1" s="921"/>
      <c r="L1" s="921"/>
      <c r="M1" s="921"/>
      <c r="N1" s="921"/>
    </row>
    <row r="2" spans="1:14">
      <c r="A2" s="923" t="s">
        <v>1548</v>
      </c>
      <c r="B2" s="924" t="s">
        <v>988</v>
      </c>
      <c r="C2" s="924" t="s">
        <v>1029</v>
      </c>
      <c r="D2" s="924" t="s">
        <v>1143</v>
      </c>
      <c r="E2" s="924" t="s">
        <v>851</v>
      </c>
      <c r="F2" s="924" t="s">
        <v>1150</v>
      </c>
      <c r="G2" s="924" t="s">
        <v>1151</v>
      </c>
      <c r="H2" s="925" t="s">
        <v>1152</v>
      </c>
      <c r="I2" s="925" t="s">
        <v>1153</v>
      </c>
      <c r="J2" s="926" t="s">
        <v>1154</v>
      </c>
      <c r="K2" s="926" t="s">
        <v>1155</v>
      </c>
      <c r="L2" s="926" t="s">
        <v>2759</v>
      </c>
      <c r="M2" s="926" t="s">
        <v>2760</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2773</v>
      </c>
      <c r="B93" s="932"/>
      <c r="C93" s="932"/>
      <c r="D93" s="932"/>
      <c r="E93" s="932"/>
      <c r="F93" s="932"/>
      <c r="G93" s="932"/>
      <c r="H93" s="932"/>
      <c r="I93" s="932"/>
      <c r="J93" s="932"/>
      <c r="K93" s="932"/>
      <c r="L93" s="932"/>
      <c r="M93" s="932"/>
    </row>
    <row r="94" spans="1:14">
      <c r="A94" s="939" t="s">
        <v>1548</v>
      </c>
      <c r="B94" s="932" t="s">
        <v>988</v>
      </c>
      <c r="C94" s="932" t="s">
        <v>1029</v>
      </c>
      <c r="D94" s="932" t="s">
        <v>1143</v>
      </c>
      <c r="E94" s="932" t="s">
        <v>851</v>
      </c>
      <c r="F94" s="932" t="s">
        <v>1150</v>
      </c>
      <c r="G94" s="932" t="s">
        <v>1151</v>
      </c>
      <c r="H94" s="932" t="s">
        <v>1152</v>
      </c>
      <c r="I94" s="932" t="s">
        <v>1153</v>
      </c>
      <c r="J94" s="932" t="s">
        <v>1154</v>
      </c>
      <c r="K94" s="932" t="s">
        <v>1155</v>
      </c>
      <c r="L94" s="932" t="s">
        <v>2759</v>
      </c>
      <c r="M94" s="932" t="s">
        <v>2760</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2774</v>
      </c>
      <c r="B185" s="932"/>
      <c r="C185" s="932"/>
      <c r="D185" s="932"/>
      <c r="E185" s="932"/>
      <c r="F185" s="932"/>
      <c r="G185" s="932"/>
      <c r="H185" s="932"/>
      <c r="I185" s="932"/>
      <c r="J185" s="932"/>
      <c r="K185" s="932"/>
      <c r="L185" s="932"/>
      <c r="M185" s="932"/>
    </row>
    <row r="186" spans="1:13">
      <c r="A186" s="923" t="s">
        <v>1548</v>
      </c>
      <c r="B186" s="932" t="s">
        <v>988</v>
      </c>
      <c r="C186" s="932" t="s">
        <v>1029</v>
      </c>
      <c r="D186" s="932" t="s">
        <v>1143</v>
      </c>
      <c r="E186" s="932" t="s">
        <v>851</v>
      </c>
      <c r="F186" s="932" t="s">
        <v>1150</v>
      </c>
      <c r="G186" s="932" t="s">
        <v>1151</v>
      </c>
      <c r="H186" s="932" t="s">
        <v>1152</v>
      </c>
      <c r="I186" s="932" t="s">
        <v>1153</v>
      </c>
      <c r="J186" s="932" t="s">
        <v>1154</v>
      </c>
      <c r="K186" s="932" t="s">
        <v>1155</v>
      </c>
      <c r="L186" s="932" t="s">
        <v>2759</v>
      </c>
      <c r="M186" s="932" t="s">
        <v>2760</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2775</v>
      </c>
      <c r="B277" s="932"/>
      <c r="C277" s="932"/>
      <c r="D277" s="932"/>
      <c r="E277" s="932"/>
      <c r="F277" s="932"/>
      <c r="G277" s="932"/>
      <c r="H277" s="932"/>
      <c r="I277" s="932"/>
      <c r="J277" s="932"/>
      <c r="K277" s="932"/>
      <c r="L277" s="932"/>
      <c r="M277" s="932"/>
    </row>
    <row r="278" spans="1:13">
      <c r="A278" s="923" t="s">
        <v>1548</v>
      </c>
      <c r="B278" s="932" t="s">
        <v>988</v>
      </c>
      <c r="C278" s="932" t="s">
        <v>1029</v>
      </c>
      <c r="D278" s="932" t="s">
        <v>1143</v>
      </c>
      <c r="E278" s="932" t="s">
        <v>851</v>
      </c>
      <c r="F278" s="932" t="s">
        <v>1150</v>
      </c>
      <c r="G278" s="932" t="s">
        <v>1151</v>
      </c>
      <c r="H278" s="932" t="s">
        <v>1152</v>
      </c>
      <c r="I278" s="932" t="s">
        <v>1153</v>
      </c>
      <c r="J278" s="932" t="s">
        <v>1154</v>
      </c>
      <c r="K278" s="932" t="s">
        <v>1155</v>
      </c>
      <c r="L278" s="932" t="s">
        <v>2759</v>
      </c>
      <c r="M278" s="932" t="s">
        <v>2760</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2776</v>
      </c>
      <c r="B369" s="932"/>
      <c r="C369" s="932"/>
      <c r="D369" s="932"/>
      <c r="E369" s="932"/>
      <c r="F369" s="932"/>
      <c r="G369" s="932"/>
      <c r="H369" s="932"/>
      <c r="I369" s="932"/>
      <c r="J369" s="932"/>
      <c r="K369" s="932"/>
      <c r="L369" s="932"/>
      <c r="M369" s="932"/>
    </row>
    <row r="370" spans="1:14">
      <c r="A370" s="923" t="s">
        <v>1548</v>
      </c>
      <c r="B370" s="932" t="s">
        <v>988</v>
      </c>
      <c r="C370" s="932" t="s">
        <v>1029</v>
      </c>
      <c r="D370" s="932" t="s">
        <v>1143</v>
      </c>
      <c r="E370" s="932" t="s">
        <v>851</v>
      </c>
      <c r="F370" s="932" t="s">
        <v>1150</v>
      </c>
      <c r="G370" s="932" t="s">
        <v>1151</v>
      </c>
      <c r="H370" s="932" t="s">
        <v>1152</v>
      </c>
      <c r="I370" s="932" t="s">
        <v>1153</v>
      </c>
      <c r="J370" s="932" t="s">
        <v>1154</v>
      </c>
      <c r="K370" s="932" t="s">
        <v>1155</v>
      </c>
      <c r="L370" s="932" t="s">
        <v>2759</v>
      </c>
      <c r="M370" s="932" t="s">
        <v>2760</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1"/>
  </cols>
  <sheetData>
    <row r="1" spans="1:7">
      <c r="A1" s="3806" t="s">
        <v>3021</v>
      </c>
      <c r="B1" s="3806"/>
    </row>
    <row r="2" spans="1:7" ht="14.25" thickBot="1">
      <c r="A2" s="3198"/>
      <c r="B2" s="3198"/>
    </row>
    <row r="3" spans="1:7" ht="14.25" thickBot="1">
      <c r="A3" s="3198"/>
      <c r="B3" s="3198"/>
      <c r="C3" s="3199" t="s">
        <v>3022</v>
      </c>
      <c r="D3" s="3199" t="s">
        <v>3023</v>
      </c>
      <c r="E3" s="3199" t="s">
        <v>3024</v>
      </c>
      <c r="F3" s="3199" t="s">
        <v>3025</v>
      </c>
      <c r="G3" s="3199" t="s">
        <v>3026</v>
      </c>
    </row>
    <row r="4" spans="1:7" ht="14.25" thickBot="1">
      <c r="A4" s="3200" t="s">
        <v>3027</v>
      </c>
      <c r="B4" s="3201" t="s">
        <v>3028</v>
      </c>
      <c r="C4" s="3199"/>
      <c r="D4" s="3199"/>
      <c r="E4" s="3199"/>
      <c r="F4" s="3199"/>
      <c r="G4" s="3199"/>
    </row>
    <row r="5" spans="1:7">
      <c r="A5" s="3202" t="s">
        <v>3029</v>
      </c>
      <c r="B5" s="3203" t="s">
        <v>3030</v>
      </c>
      <c r="C5" s="3204">
        <v>9.8000000000000004E-2</v>
      </c>
      <c r="D5" s="3204">
        <v>8.6999999999999994E-2</v>
      </c>
      <c r="E5" s="3204">
        <v>8.6999999999999994E-2</v>
      </c>
      <c r="F5" s="3204">
        <v>9.8000000000000004E-2</v>
      </c>
      <c r="G5" s="3205">
        <v>9.5000000000000001E-2</v>
      </c>
    </row>
    <row r="6" spans="1:7">
      <c r="A6" s="3206" t="s">
        <v>988</v>
      </c>
      <c r="B6" s="3207" t="s">
        <v>3031</v>
      </c>
      <c r="C6" s="3208">
        <v>9.8000000000000004E-2</v>
      </c>
      <c r="D6" s="3208">
        <v>9.8000000000000004E-2</v>
      </c>
      <c r="E6" s="3208">
        <v>9.8000000000000004E-2</v>
      </c>
      <c r="F6" s="3208">
        <v>0.1</v>
      </c>
      <c r="G6" s="3209">
        <v>9.9000000000000005E-2</v>
      </c>
    </row>
    <row r="7" spans="1:7">
      <c r="A7" s="3206" t="s">
        <v>988</v>
      </c>
      <c r="B7" s="3207" t="s">
        <v>980</v>
      </c>
      <c r="C7" s="3208">
        <v>9.7000000000000003E-2</v>
      </c>
      <c r="D7" s="3208">
        <v>9.7000000000000003E-2</v>
      </c>
      <c r="E7" s="3208">
        <v>9.6000000000000002E-2</v>
      </c>
      <c r="F7" s="3208">
        <v>0.1</v>
      </c>
      <c r="G7" s="3209">
        <v>9.8000000000000004E-2</v>
      </c>
    </row>
    <row r="8" spans="1:7">
      <c r="A8" s="3206" t="s">
        <v>988</v>
      </c>
      <c r="B8" s="3207" t="s">
        <v>989</v>
      </c>
      <c r="C8" s="3208">
        <v>8.1000000000000003E-2</v>
      </c>
      <c r="D8" s="3208">
        <v>8.2000000000000003E-2</v>
      </c>
      <c r="E8" s="3208">
        <v>7.0000000000000007E-2</v>
      </c>
      <c r="F8" s="3208">
        <v>9.6000000000000002E-2</v>
      </c>
      <c r="G8" s="3209">
        <v>8.8999999999999996E-2</v>
      </c>
    </row>
    <row r="9" spans="1:7" ht="14.25" thickBot="1">
      <c r="A9" s="3210" t="s">
        <v>988</v>
      </c>
      <c r="B9" s="3211" t="s">
        <v>999</v>
      </c>
      <c r="C9" s="3212">
        <v>0.1</v>
      </c>
      <c r="D9" s="3212">
        <v>0.1</v>
      </c>
      <c r="E9" s="3212">
        <v>0.1</v>
      </c>
      <c r="F9" s="3213"/>
      <c r="G9" s="3214">
        <v>0.1</v>
      </c>
    </row>
    <row r="10" spans="1:7">
      <c r="A10" s="3202" t="s">
        <v>1029</v>
      </c>
      <c r="B10" s="3203" t="s">
        <v>3032</v>
      </c>
      <c r="C10" s="3204">
        <v>6.7000000000000004E-2</v>
      </c>
      <c r="D10" s="3204">
        <v>7.9000000000000001E-2</v>
      </c>
      <c r="E10" s="3204">
        <v>7.9000000000000001E-2</v>
      </c>
      <c r="F10" s="3204">
        <v>0.1</v>
      </c>
      <c r="G10" s="3205">
        <v>9.0999999999999998E-2</v>
      </c>
    </row>
    <row r="11" spans="1:7">
      <c r="A11" s="3206" t="s">
        <v>1029</v>
      </c>
      <c r="B11" s="3207" t="s">
        <v>971</v>
      </c>
      <c r="C11" s="3208">
        <v>0.05</v>
      </c>
      <c r="D11" s="3208">
        <v>5.2999999999999999E-2</v>
      </c>
      <c r="E11" s="3208">
        <v>6.3E-2</v>
      </c>
      <c r="F11" s="3208">
        <v>0.1</v>
      </c>
      <c r="G11" s="3209">
        <v>7.1999999999999995E-2</v>
      </c>
    </row>
    <row r="12" spans="1:7">
      <c r="A12" s="3206" t="s">
        <v>1029</v>
      </c>
      <c r="B12" s="3207" t="s">
        <v>981</v>
      </c>
      <c r="C12" s="3208">
        <v>5.2999999999999999E-2</v>
      </c>
      <c r="D12" s="3208">
        <v>0.09</v>
      </c>
      <c r="E12" s="3208">
        <v>7.1999999999999995E-2</v>
      </c>
      <c r="F12" s="3208">
        <v>0.1</v>
      </c>
      <c r="G12" s="3209">
        <v>9.7000000000000003E-2</v>
      </c>
    </row>
    <row r="13" spans="1:7">
      <c r="A13" s="3206" t="s">
        <v>1029</v>
      </c>
      <c r="B13" s="3207" t="s">
        <v>990</v>
      </c>
      <c r="C13" s="3208">
        <v>9.7000000000000003E-2</v>
      </c>
      <c r="D13" s="3208">
        <v>9.1999999999999998E-2</v>
      </c>
      <c r="E13" s="3208">
        <v>9.5000000000000001E-2</v>
      </c>
      <c r="F13" s="3208">
        <v>0.1</v>
      </c>
      <c r="G13" s="3209">
        <v>9.7000000000000003E-2</v>
      </c>
    </row>
    <row r="14" spans="1:7">
      <c r="A14" s="3206" t="s">
        <v>1029</v>
      </c>
      <c r="B14" s="3207" t="s">
        <v>1000</v>
      </c>
      <c r="C14" s="3208">
        <v>9.7000000000000003E-2</v>
      </c>
      <c r="D14" s="3208">
        <v>9.7000000000000003E-2</v>
      </c>
      <c r="E14" s="3208">
        <v>9.7000000000000003E-2</v>
      </c>
      <c r="F14" s="3208">
        <v>0.1</v>
      </c>
      <c r="G14" s="3209">
        <v>9.8000000000000004E-2</v>
      </c>
    </row>
    <row r="15" spans="1:7">
      <c r="A15" s="3206" t="s">
        <v>1029</v>
      </c>
      <c r="B15" s="3207" t="s">
        <v>1007</v>
      </c>
      <c r="C15" s="3208">
        <v>9.8000000000000004E-2</v>
      </c>
      <c r="D15" s="3208">
        <v>9.0999999999999998E-2</v>
      </c>
      <c r="E15" s="3208">
        <v>0.06</v>
      </c>
      <c r="F15" s="3208">
        <v>0.1</v>
      </c>
      <c r="G15" s="3209">
        <v>9.7000000000000003E-2</v>
      </c>
    </row>
    <row r="16" spans="1:7">
      <c r="A16" s="3206" t="s">
        <v>1029</v>
      </c>
      <c r="B16" s="3207" t="s">
        <v>1013</v>
      </c>
      <c r="C16" s="3208">
        <v>9.8000000000000004E-2</v>
      </c>
      <c r="D16" s="3208">
        <v>9.7000000000000003E-2</v>
      </c>
      <c r="E16" s="3208">
        <v>9.5000000000000001E-2</v>
      </c>
      <c r="F16" s="3208">
        <v>0.1</v>
      </c>
      <c r="G16" s="3209">
        <v>9.9000000000000005E-2</v>
      </c>
    </row>
    <row r="17" spans="1:7">
      <c r="A17" s="3206" t="s">
        <v>1029</v>
      </c>
      <c r="B17" s="3207" t="s">
        <v>1020</v>
      </c>
      <c r="C17" s="3208">
        <v>8.8999999999999996E-2</v>
      </c>
      <c r="D17" s="3208">
        <v>9.1999999999999998E-2</v>
      </c>
      <c r="E17" s="3208">
        <v>6.0999999999999999E-2</v>
      </c>
      <c r="F17" s="3208">
        <v>0.1</v>
      </c>
      <c r="G17" s="3209">
        <v>9.7000000000000003E-2</v>
      </c>
    </row>
    <row r="18" spans="1:7">
      <c r="A18" s="3206" t="s">
        <v>1029</v>
      </c>
      <c r="B18" s="3207" t="s">
        <v>1030</v>
      </c>
      <c r="C18" s="3208">
        <v>9.8000000000000004E-2</v>
      </c>
      <c r="D18" s="3208">
        <v>9.8000000000000004E-2</v>
      </c>
      <c r="E18" s="3208">
        <v>9.8000000000000004E-2</v>
      </c>
      <c r="F18" s="3215"/>
      <c r="G18" s="3209">
        <v>9.9000000000000005E-2</v>
      </c>
    </row>
    <row r="19" spans="1:7">
      <c r="A19" s="3206" t="s">
        <v>1029</v>
      </c>
      <c r="B19" s="3207" t="s">
        <v>1039</v>
      </c>
      <c r="C19" s="3208">
        <v>9.9000000000000005E-2</v>
      </c>
      <c r="D19" s="3208">
        <v>7.3999999999999996E-2</v>
      </c>
      <c r="E19" s="3208">
        <v>8.1000000000000003E-2</v>
      </c>
      <c r="F19" s="3215"/>
      <c r="G19" s="3209">
        <v>9.2999999999999999E-2</v>
      </c>
    </row>
    <row r="20" spans="1:7">
      <c r="A20" s="3206" t="s">
        <v>1029</v>
      </c>
      <c r="B20" s="3207" t="s">
        <v>1046</v>
      </c>
      <c r="C20" s="3208">
        <v>0.1</v>
      </c>
      <c r="D20" s="3208">
        <v>8.8999999999999996E-2</v>
      </c>
      <c r="E20" s="3208">
        <v>8.8999999999999996E-2</v>
      </c>
      <c r="F20" s="3215"/>
      <c r="G20" s="3209">
        <v>9.5000000000000001E-2</v>
      </c>
    </row>
    <row r="21" spans="1:7">
      <c r="A21" s="3206" t="s">
        <v>1029</v>
      </c>
      <c r="B21" s="3207" t="s">
        <v>1053</v>
      </c>
      <c r="C21" s="3208">
        <v>0.1</v>
      </c>
      <c r="D21" s="3208">
        <v>9.0999999999999998E-2</v>
      </c>
      <c r="E21" s="3208">
        <v>8.2000000000000003E-2</v>
      </c>
      <c r="F21" s="3215"/>
      <c r="G21" s="3209">
        <v>9.7000000000000003E-2</v>
      </c>
    </row>
    <row r="22" spans="1:7">
      <c r="A22" s="3206" t="s">
        <v>1029</v>
      </c>
      <c r="B22" s="3207" t="s">
        <v>3033</v>
      </c>
      <c r="C22" s="3208">
        <v>9.5000000000000001E-2</v>
      </c>
      <c r="D22" s="3208">
        <v>9.9000000000000005E-2</v>
      </c>
      <c r="E22" s="3208">
        <v>9.8000000000000004E-2</v>
      </c>
      <c r="F22" s="3215"/>
      <c r="G22" s="3209">
        <v>0.1</v>
      </c>
    </row>
    <row r="23" spans="1:7">
      <c r="A23" s="3206" t="s">
        <v>1029</v>
      </c>
      <c r="B23" s="3207" t="s">
        <v>1068</v>
      </c>
      <c r="C23" s="3208">
        <v>9.9000000000000005E-2</v>
      </c>
      <c r="D23" s="3208">
        <v>0.1</v>
      </c>
      <c r="E23" s="3208">
        <v>0.1</v>
      </c>
      <c r="F23" s="3215"/>
      <c r="G23" s="3209">
        <v>0.1</v>
      </c>
    </row>
    <row r="24" spans="1:7">
      <c r="A24" s="3206" t="s">
        <v>1029</v>
      </c>
      <c r="B24" s="3207" t="s">
        <v>1076</v>
      </c>
      <c r="C24" s="3208">
        <v>9.5000000000000001E-2</v>
      </c>
      <c r="D24" s="3208">
        <v>0.1</v>
      </c>
      <c r="E24" s="3208">
        <v>9.8000000000000004E-2</v>
      </c>
      <c r="F24" s="3215"/>
      <c r="G24" s="3209">
        <v>0.1</v>
      </c>
    </row>
    <row r="25" spans="1:7">
      <c r="A25" s="3206" t="s">
        <v>1029</v>
      </c>
      <c r="B25" s="3207" t="s">
        <v>1081</v>
      </c>
      <c r="C25" s="3208">
        <v>0.05</v>
      </c>
      <c r="D25" s="3208">
        <v>9.6000000000000002E-2</v>
      </c>
      <c r="E25" s="3208">
        <v>9.6000000000000002E-2</v>
      </c>
      <c r="F25" s="3215"/>
      <c r="G25" s="3209">
        <v>9.6000000000000002E-2</v>
      </c>
    </row>
    <row r="26" spans="1:7">
      <c r="A26" s="3206" t="s">
        <v>1029</v>
      </c>
      <c r="B26" s="3207" t="s">
        <v>1090</v>
      </c>
      <c r="C26" s="3208">
        <v>6.3E-2</v>
      </c>
      <c r="D26" s="3208">
        <v>9.9000000000000005E-2</v>
      </c>
      <c r="E26" s="3208">
        <v>9.8000000000000004E-2</v>
      </c>
      <c r="F26" s="3215"/>
      <c r="G26" s="3209">
        <v>0.1</v>
      </c>
    </row>
    <row r="27" spans="1:7">
      <c r="A27" s="3206" t="s">
        <v>1029</v>
      </c>
      <c r="B27" s="3207" t="s">
        <v>1097</v>
      </c>
      <c r="C27" s="3208">
        <v>5.1999999999999998E-2</v>
      </c>
      <c r="D27" s="3208">
        <v>9.5000000000000001E-2</v>
      </c>
      <c r="E27" s="3208">
        <v>6.4000000000000001E-2</v>
      </c>
      <c r="F27" s="3215"/>
      <c r="G27" s="3209">
        <v>9.7000000000000003E-2</v>
      </c>
    </row>
    <row r="28" spans="1:7">
      <c r="A28" s="3206" t="s">
        <v>1029</v>
      </c>
      <c r="B28" s="3207" t="s">
        <v>1105</v>
      </c>
      <c r="C28" s="3215"/>
      <c r="D28" s="3208">
        <v>6.3E-2</v>
      </c>
      <c r="E28" s="3208">
        <v>5.1999999999999998E-2</v>
      </c>
      <c r="F28" s="3215"/>
      <c r="G28" s="3209">
        <v>6.3E-2</v>
      </c>
    </row>
    <row r="29" spans="1:7" ht="14.25" thickBot="1">
      <c r="A29" s="3210" t="s">
        <v>1029</v>
      </c>
      <c r="B29" s="3211" t="s">
        <v>2819</v>
      </c>
      <c r="C29" s="3216"/>
      <c r="D29" s="3212">
        <v>5.1999999999999998E-2</v>
      </c>
      <c r="E29" s="3212">
        <v>7.0000000000000007E-2</v>
      </c>
      <c r="F29" s="3216"/>
      <c r="G29" s="3214">
        <v>7.0999999999999994E-2</v>
      </c>
    </row>
    <row r="30" spans="1:7">
      <c r="A30" s="3217" t="s">
        <v>1143</v>
      </c>
      <c r="B30" s="3203" t="s">
        <v>3034</v>
      </c>
      <c r="C30" s="3204">
        <v>6.6000000000000003E-2</v>
      </c>
      <c r="D30" s="3204">
        <v>6.6000000000000003E-2</v>
      </c>
      <c r="E30" s="3204">
        <v>5.7000000000000002E-2</v>
      </c>
      <c r="F30" s="3204">
        <v>0.1</v>
      </c>
      <c r="G30" s="3205">
        <v>6.8000000000000005E-2</v>
      </c>
    </row>
    <row r="31" spans="1:7">
      <c r="A31" s="3218" t="s">
        <v>1143</v>
      </c>
      <c r="B31" s="3207" t="s">
        <v>972</v>
      </c>
      <c r="C31" s="3208">
        <v>5.5E-2</v>
      </c>
      <c r="D31" s="3208">
        <v>8.2000000000000003E-2</v>
      </c>
      <c r="E31" s="3208">
        <v>6.4000000000000001E-2</v>
      </c>
      <c r="F31" s="3208">
        <v>0.1</v>
      </c>
      <c r="G31" s="3209">
        <v>9.5000000000000001E-2</v>
      </c>
    </row>
    <row r="32" spans="1:7">
      <c r="A32" s="3218" t="s">
        <v>1143</v>
      </c>
      <c r="B32" s="3207" t="s">
        <v>982</v>
      </c>
      <c r="C32" s="3208">
        <v>8.2000000000000003E-2</v>
      </c>
      <c r="D32" s="3208">
        <v>8.6999999999999994E-2</v>
      </c>
      <c r="E32" s="3208">
        <v>9.5000000000000001E-2</v>
      </c>
      <c r="F32" s="3208">
        <v>0.1</v>
      </c>
      <c r="G32" s="3209">
        <v>9.6000000000000002E-2</v>
      </c>
    </row>
    <row r="33" spans="1:7">
      <c r="A33" s="3218" t="s">
        <v>1143</v>
      </c>
      <c r="B33" s="3207" t="s">
        <v>991</v>
      </c>
      <c r="C33" s="3208">
        <v>9.9000000000000005E-2</v>
      </c>
      <c r="D33" s="3208">
        <v>9.1999999999999998E-2</v>
      </c>
      <c r="E33" s="3208">
        <v>8.6999999999999994E-2</v>
      </c>
      <c r="F33" s="3208">
        <v>0.1</v>
      </c>
      <c r="G33" s="3209">
        <v>9.7000000000000003E-2</v>
      </c>
    </row>
    <row r="34" spans="1:7">
      <c r="A34" s="3218" t="s">
        <v>1143</v>
      </c>
      <c r="B34" s="3207" t="s">
        <v>1001</v>
      </c>
      <c r="C34" s="3208">
        <v>8.4000000000000005E-2</v>
      </c>
      <c r="D34" s="3208">
        <v>9.7000000000000003E-2</v>
      </c>
      <c r="E34" s="3208">
        <v>7.0999999999999994E-2</v>
      </c>
      <c r="F34" s="3208">
        <v>0.1</v>
      </c>
      <c r="G34" s="3209">
        <v>9.8000000000000004E-2</v>
      </c>
    </row>
    <row r="35" spans="1:7">
      <c r="A35" s="3218" t="s">
        <v>1143</v>
      </c>
      <c r="B35" s="3207" t="s">
        <v>1008</v>
      </c>
      <c r="C35" s="3208">
        <v>8.3000000000000004E-2</v>
      </c>
      <c r="D35" s="3208">
        <v>9.7000000000000003E-2</v>
      </c>
      <c r="E35" s="3208">
        <v>6.0999999999999999E-2</v>
      </c>
      <c r="F35" s="3208">
        <v>0.1</v>
      </c>
      <c r="G35" s="3209">
        <v>9.9000000000000005E-2</v>
      </c>
    </row>
    <row r="36" spans="1:7">
      <c r="A36" s="3218" t="s">
        <v>1143</v>
      </c>
      <c r="B36" s="3207" t="s">
        <v>1014</v>
      </c>
      <c r="C36" s="3208">
        <v>9.7000000000000003E-2</v>
      </c>
      <c r="D36" s="3208">
        <v>9.7000000000000003E-2</v>
      </c>
      <c r="E36" s="3208">
        <v>7.8E-2</v>
      </c>
      <c r="F36" s="3208">
        <v>0.1</v>
      </c>
      <c r="G36" s="3209">
        <v>9.9000000000000005E-2</v>
      </c>
    </row>
    <row r="37" spans="1:7">
      <c r="A37" s="3218" t="s">
        <v>1143</v>
      </c>
      <c r="B37" s="3207" t="s">
        <v>1021</v>
      </c>
      <c r="C37" s="3208">
        <v>9.7000000000000003E-2</v>
      </c>
      <c r="D37" s="3208">
        <v>9.5000000000000001E-2</v>
      </c>
      <c r="E37" s="3208">
        <v>7.8E-2</v>
      </c>
      <c r="F37" s="3208">
        <v>0.1</v>
      </c>
      <c r="G37" s="3209">
        <v>9.7000000000000003E-2</v>
      </c>
    </row>
    <row r="38" spans="1:7">
      <c r="A38" s="3218" t="s">
        <v>1143</v>
      </c>
      <c r="B38" s="3207" t="s">
        <v>1031</v>
      </c>
      <c r="C38" s="3208">
        <v>9.7000000000000003E-2</v>
      </c>
      <c r="D38" s="3208">
        <v>7.6999999999999999E-2</v>
      </c>
      <c r="E38" s="3208">
        <v>7.0000000000000007E-2</v>
      </c>
      <c r="F38" s="3208">
        <v>0.1</v>
      </c>
      <c r="G38" s="3209">
        <v>7.6999999999999999E-2</v>
      </c>
    </row>
    <row r="39" spans="1:7">
      <c r="A39" s="3218" t="s">
        <v>1143</v>
      </c>
      <c r="B39" s="3207" t="s">
        <v>1040</v>
      </c>
      <c r="C39" s="3208">
        <v>9.5000000000000001E-2</v>
      </c>
      <c r="D39" s="3208">
        <v>7.6999999999999999E-2</v>
      </c>
      <c r="E39" s="3208">
        <v>6.6000000000000003E-2</v>
      </c>
      <c r="F39" s="3208">
        <v>0.1</v>
      </c>
      <c r="G39" s="3209">
        <v>8.5999999999999993E-2</v>
      </c>
    </row>
    <row r="40" spans="1:7">
      <c r="A40" s="3218" t="s">
        <v>1143</v>
      </c>
      <c r="B40" s="3207" t="s">
        <v>1047</v>
      </c>
      <c r="C40" s="3208">
        <v>7.6999999999999999E-2</v>
      </c>
      <c r="D40" s="3208">
        <v>7.8E-2</v>
      </c>
      <c r="E40" s="3208">
        <v>8.2000000000000003E-2</v>
      </c>
      <c r="F40" s="3219"/>
      <c r="G40" s="3209">
        <v>7.8E-2</v>
      </c>
    </row>
    <row r="41" spans="1:7">
      <c r="A41" s="3218" t="s">
        <v>1143</v>
      </c>
      <c r="B41" s="3207" t="s">
        <v>1054</v>
      </c>
      <c r="C41" s="3208">
        <v>7.8E-2</v>
      </c>
      <c r="D41" s="3208">
        <v>7.8E-2</v>
      </c>
      <c r="E41" s="3208">
        <v>8.2000000000000003E-2</v>
      </c>
      <c r="F41" s="3219"/>
      <c r="G41" s="3209">
        <v>8.5999999999999993E-2</v>
      </c>
    </row>
    <row r="42" spans="1:7">
      <c r="A42" s="3218" t="s">
        <v>1143</v>
      </c>
      <c r="B42" s="3207" t="s">
        <v>1061</v>
      </c>
      <c r="C42" s="3208">
        <v>7.8E-2</v>
      </c>
      <c r="D42" s="3208">
        <v>9.6000000000000002E-2</v>
      </c>
      <c r="E42" s="3208">
        <v>7.1999999999999995E-2</v>
      </c>
      <c r="F42" s="3219"/>
      <c r="G42" s="3209">
        <v>9.8000000000000004E-2</v>
      </c>
    </row>
    <row r="43" spans="1:7">
      <c r="A43" s="3218" t="s">
        <v>3035</v>
      </c>
      <c r="B43" s="3207" t="s">
        <v>1069</v>
      </c>
      <c r="C43" s="3208">
        <v>7.8E-2</v>
      </c>
      <c r="D43" s="3208">
        <v>9.9000000000000005E-2</v>
      </c>
      <c r="E43" s="3208">
        <v>9.6000000000000002E-2</v>
      </c>
      <c r="F43" s="3219"/>
      <c r="G43" s="3209">
        <v>0.1</v>
      </c>
    </row>
    <row r="44" spans="1:7">
      <c r="A44" s="3218" t="s">
        <v>1143</v>
      </c>
      <c r="B44" s="3207" t="s">
        <v>1077</v>
      </c>
      <c r="C44" s="3208">
        <v>9.6000000000000002E-2</v>
      </c>
      <c r="D44" s="3208">
        <v>0.1</v>
      </c>
      <c r="E44" s="3208">
        <v>9.8000000000000004E-2</v>
      </c>
      <c r="F44" s="3219"/>
      <c r="G44" s="3209">
        <v>0.1</v>
      </c>
    </row>
    <row r="45" spans="1:7">
      <c r="A45" s="3218" t="s">
        <v>1143</v>
      </c>
      <c r="B45" s="3207" t="s">
        <v>1082</v>
      </c>
      <c r="C45" s="3208">
        <v>9.9000000000000005E-2</v>
      </c>
      <c r="D45" s="3208">
        <v>9.8000000000000004E-2</v>
      </c>
      <c r="E45" s="3208">
        <v>9.5000000000000001E-2</v>
      </c>
      <c r="F45" s="3219"/>
      <c r="G45" s="3209">
        <v>9.8000000000000004E-2</v>
      </c>
    </row>
    <row r="46" spans="1:7">
      <c r="A46" s="3218" t="s">
        <v>1143</v>
      </c>
      <c r="B46" s="3207" t="s">
        <v>1091</v>
      </c>
      <c r="C46" s="3208">
        <v>0.1</v>
      </c>
      <c r="D46" s="3208">
        <v>9.9000000000000005E-2</v>
      </c>
      <c r="E46" s="3208">
        <v>9.6000000000000002E-2</v>
      </c>
      <c r="F46" s="3219"/>
      <c r="G46" s="3209">
        <v>0.1</v>
      </c>
    </row>
    <row r="47" spans="1:7">
      <c r="A47" s="3218" t="s">
        <v>1143</v>
      </c>
      <c r="B47" s="3207" t="s">
        <v>1098</v>
      </c>
      <c r="C47" s="3208">
        <v>9.8000000000000004E-2</v>
      </c>
      <c r="D47" s="3208">
        <v>8.6999999999999994E-2</v>
      </c>
      <c r="E47" s="3208">
        <v>5.8999999999999997E-2</v>
      </c>
      <c r="F47" s="3219"/>
      <c r="G47" s="3209">
        <v>9.6000000000000002E-2</v>
      </c>
    </row>
    <row r="48" spans="1:7">
      <c r="A48" s="3218" t="s">
        <v>1143</v>
      </c>
      <c r="B48" s="3207" t="s">
        <v>1106</v>
      </c>
      <c r="C48" s="3208">
        <v>9.9000000000000005E-2</v>
      </c>
      <c r="D48" s="3208">
        <v>9.8000000000000004E-2</v>
      </c>
      <c r="E48" s="3208">
        <v>9.5000000000000001E-2</v>
      </c>
      <c r="F48" s="3219"/>
      <c r="G48" s="3209">
        <v>9.8000000000000004E-2</v>
      </c>
    </row>
    <row r="49" spans="1:7">
      <c r="A49" s="3218" t="s">
        <v>1143</v>
      </c>
      <c r="B49" s="3207" t="s">
        <v>1113</v>
      </c>
      <c r="C49" s="3208">
        <v>8.7999999999999995E-2</v>
      </c>
      <c r="D49" s="3208">
        <v>9.9000000000000005E-2</v>
      </c>
      <c r="E49" s="3208">
        <v>7.0000000000000007E-2</v>
      </c>
      <c r="F49" s="3219"/>
      <c r="G49" s="3209">
        <v>0.1</v>
      </c>
    </row>
    <row r="50" spans="1:7">
      <c r="A50" s="3218" t="s">
        <v>1143</v>
      </c>
      <c r="B50" s="3207" t="s">
        <v>2821</v>
      </c>
      <c r="C50" s="3208">
        <v>9.8000000000000004E-2</v>
      </c>
      <c r="D50" s="3208">
        <v>7.2999999999999995E-2</v>
      </c>
      <c r="E50" s="3208">
        <v>7.0999999999999994E-2</v>
      </c>
      <c r="F50" s="3219"/>
      <c r="G50" s="3209">
        <v>7.2999999999999995E-2</v>
      </c>
    </row>
    <row r="51" spans="1:7">
      <c r="A51" s="3218" t="s">
        <v>1143</v>
      </c>
      <c r="B51" s="3207" t="s">
        <v>2822</v>
      </c>
      <c r="C51" s="3208">
        <v>9.9000000000000005E-2</v>
      </c>
      <c r="D51" s="3208">
        <v>8.5000000000000006E-2</v>
      </c>
      <c r="E51" s="3208">
        <v>6.3E-2</v>
      </c>
      <c r="F51" s="3219"/>
      <c r="G51" s="3209">
        <v>9.6000000000000002E-2</v>
      </c>
    </row>
    <row r="52" spans="1:7">
      <c r="A52" s="3218" t="s">
        <v>1143</v>
      </c>
      <c r="B52" s="3207" t="s">
        <v>2823</v>
      </c>
      <c r="C52" s="3208">
        <v>7.3999999999999996E-2</v>
      </c>
      <c r="D52" s="3208">
        <v>9.6000000000000002E-2</v>
      </c>
      <c r="E52" s="3208">
        <v>0.05</v>
      </c>
      <c r="F52" s="3219"/>
      <c r="G52" s="3209">
        <v>9.8000000000000004E-2</v>
      </c>
    </row>
    <row r="53" spans="1:7">
      <c r="A53" s="3218" t="s">
        <v>1143</v>
      </c>
      <c r="B53" s="3207" t="s">
        <v>2824</v>
      </c>
      <c r="C53" s="3208">
        <v>8.5999999999999993E-2</v>
      </c>
      <c r="D53" s="3219"/>
      <c r="E53" s="3208">
        <v>9.1999999999999998E-2</v>
      </c>
      <c r="F53" s="3219"/>
      <c r="G53" s="3220"/>
    </row>
    <row r="54" spans="1:7" ht="14.25" thickBot="1">
      <c r="A54" s="3221" t="s">
        <v>1143</v>
      </c>
      <c r="B54" s="3211" t="s">
        <v>2825</v>
      </c>
      <c r="C54" s="3212">
        <v>9.6000000000000002E-2</v>
      </c>
      <c r="D54" s="3213"/>
      <c r="E54" s="3222"/>
      <c r="F54" s="3213"/>
      <c r="G54" s="3223"/>
    </row>
    <row r="55" spans="1:7">
      <c r="A55" s="3217" t="s">
        <v>851</v>
      </c>
      <c r="B55" s="3203" t="s">
        <v>3036</v>
      </c>
      <c r="C55" s="3204">
        <v>9.6000000000000002E-2</v>
      </c>
      <c r="D55" s="3204">
        <v>8.4000000000000005E-2</v>
      </c>
      <c r="E55" s="3204">
        <v>9.1999999999999998E-2</v>
      </c>
      <c r="F55" s="3204">
        <v>0.1</v>
      </c>
      <c r="G55" s="3205">
        <v>9.5000000000000001E-2</v>
      </c>
    </row>
    <row r="56" spans="1:7">
      <c r="A56" s="3218" t="s">
        <v>851</v>
      </c>
      <c r="B56" s="3207" t="s">
        <v>973</v>
      </c>
      <c r="C56" s="3208">
        <v>8.4000000000000005E-2</v>
      </c>
      <c r="D56" s="3208">
        <v>9.1999999999999998E-2</v>
      </c>
      <c r="E56" s="3208">
        <v>9.5000000000000001E-2</v>
      </c>
      <c r="F56" s="3208">
        <v>9.1999999999999998E-2</v>
      </c>
      <c r="G56" s="3209">
        <v>9.6000000000000002E-2</v>
      </c>
    </row>
    <row r="57" spans="1:7">
      <c r="A57" s="3218" t="s">
        <v>851</v>
      </c>
      <c r="B57" s="3207" t="s">
        <v>983</v>
      </c>
      <c r="C57" s="3208">
        <v>9.9000000000000005E-2</v>
      </c>
      <c r="D57" s="3208">
        <v>9.6000000000000002E-2</v>
      </c>
      <c r="E57" s="3208">
        <v>9.1999999999999998E-2</v>
      </c>
      <c r="F57" s="3208">
        <v>0.1</v>
      </c>
      <c r="G57" s="3209">
        <v>9.8000000000000004E-2</v>
      </c>
    </row>
    <row r="58" spans="1:7">
      <c r="A58" s="3218" t="s">
        <v>851</v>
      </c>
      <c r="B58" s="3207" t="s">
        <v>992</v>
      </c>
      <c r="C58" s="3208">
        <v>9.8000000000000004E-2</v>
      </c>
      <c r="D58" s="3208">
        <v>9.5000000000000001E-2</v>
      </c>
      <c r="E58" s="3208">
        <v>5.7000000000000002E-2</v>
      </c>
      <c r="F58" s="3208">
        <v>0.1</v>
      </c>
      <c r="G58" s="3209">
        <v>9.6000000000000002E-2</v>
      </c>
    </row>
    <row r="59" spans="1:7">
      <c r="A59" s="3218" t="s">
        <v>851</v>
      </c>
      <c r="B59" s="3207" t="s">
        <v>1002</v>
      </c>
      <c r="C59" s="3208">
        <v>9.5000000000000001E-2</v>
      </c>
      <c r="D59" s="3208">
        <v>0.1</v>
      </c>
      <c r="E59" s="3208">
        <v>7.4999999999999997E-2</v>
      </c>
      <c r="F59" s="3208">
        <v>0.1</v>
      </c>
      <c r="G59" s="3209">
        <v>0.1</v>
      </c>
    </row>
    <row r="60" spans="1:7">
      <c r="A60" s="3218" t="s">
        <v>851</v>
      </c>
      <c r="B60" s="3207" t="s">
        <v>1009</v>
      </c>
      <c r="C60" s="3208">
        <v>0.1</v>
      </c>
      <c r="D60" s="3208">
        <v>9.7000000000000003E-2</v>
      </c>
      <c r="E60" s="3208">
        <v>0.1</v>
      </c>
      <c r="F60" s="3208">
        <v>0.1</v>
      </c>
      <c r="G60" s="3209">
        <v>9.7000000000000003E-2</v>
      </c>
    </row>
    <row r="61" spans="1:7">
      <c r="A61" s="3218" t="s">
        <v>851</v>
      </c>
      <c r="B61" s="3207" t="s">
        <v>1015</v>
      </c>
      <c r="C61" s="3208">
        <v>9.7000000000000003E-2</v>
      </c>
      <c r="D61" s="3208">
        <v>0.1</v>
      </c>
      <c r="E61" s="3208">
        <v>9.2999999999999999E-2</v>
      </c>
      <c r="F61" s="3208">
        <v>0.1</v>
      </c>
      <c r="G61" s="3209">
        <v>0.1</v>
      </c>
    </row>
    <row r="62" spans="1:7">
      <c r="A62" s="3218" t="s">
        <v>851</v>
      </c>
      <c r="B62" s="3207" t="s">
        <v>1022</v>
      </c>
      <c r="C62" s="3208">
        <v>0.1</v>
      </c>
      <c r="D62" s="3208">
        <v>9.7000000000000003E-2</v>
      </c>
      <c r="E62" s="3208">
        <v>8.8999999999999996E-2</v>
      </c>
      <c r="F62" s="3208">
        <v>0.1</v>
      </c>
      <c r="G62" s="3209">
        <v>9.8000000000000004E-2</v>
      </c>
    </row>
    <row r="63" spans="1:7">
      <c r="A63" s="3218" t="s">
        <v>851</v>
      </c>
      <c r="B63" s="3207" t="s">
        <v>1032</v>
      </c>
      <c r="C63" s="3208">
        <v>9.7000000000000003E-2</v>
      </c>
      <c r="D63" s="3208">
        <v>9.7000000000000003E-2</v>
      </c>
      <c r="E63" s="3208">
        <v>9.9000000000000005E-2</v>
      </c>
      <c r="F63" s="3208">
        <v>0.1</v>
      </c>
      <c r="G63" s="3209">
        <v>9.7000000000000003E-2</v>
      </c>
    </row>
    <row r="64" spans="1:7">
      <c r="A64" s="3218" t="s">
        <v>851</v>
      </c>
      <c r="B64" s="3207" t="s">
        <v>1041</v>
      </c>
      <c r="C64" s="3208">
        <v>9.7000000000000003E-2</v>
      </c>
      <c r="D64" s="3208">
        <v>7.3999999999999996E-2</v>
      </c>
      <c r="E64" s="3208">
        <v>7.8E-2</v>
      </c>
      <c r="F64" s="3208">
        <v>0.1</v>
      </c>
      <c r="G64" s="3209">
        <v>8.8999999999999996E-2</v>
      </c>
    </row>
    <row r="65" spans="1:7">
      <c r="A65" s="3218" t="s">
        <v>851</v>
      </c>
      <c r="B65" s="3207" t="s">
        <v>1048</v>
      </c>
      <c r="C65" s="3208">
        <v>7.2999999999999995E-2</v>
      </c>
      <c r="D65" s="3208">
        <v>9.8000000000000004E-2</v>
      </c>
      <c r="E65" s="3208">
        <v>9.5000000000000001E-2</v>
      </c>
      <c r="F65" s="3208">
        <v>0.1</v>
      </c>
      <c r="G65" s="3209">
        <v>9.9000000000000005E-2</v>
      </c>
    </row>
    <row r="66" spans="1:7">
      <c r="A66" s="3218" t="s">
        <v>851</v>
      </c>
      <c r="B66" s="3207" t="s">
        <v>1055</v>
      </c>
      <c r="C66" s="3208">
        <v>9.8000000000000004E-2</v>
      </c>
      <c r="D66" s="3208">
        <v>9.5000000000000001E-2</v>
      </c>
      <c r="E66" s="3208">
        <v>0.05</v>
      </c>
      <c r="F66" s="3208">
        <v>0.1</v>
      </c>
      <c r="G66" s="3209">
        <v>9.7000000000000003E-2</v>
      </c>
    </row>
    <row r="67" spans="1:7">
      <c r="A67" s="3218" t="s">
        <v>851</v>
      </c>
      <c r="B67" s="3207" t="s">
        <v>1062</v>
      </c>
      <c r="C67" s="3208">
        <v>9.5000000000000001E-2</v>
      </c>
      <c r="D67" s="3208">
        <v>9.7000000000000003E-2</v>
      </c>
      <c r="E67" s="3208">
        <v>9.7000000000000003E-2</v>
      </c>
      <c r="F67" s="3208">
        <v>0.1</v>
      </c>
      <c r="G67" s="3209">
        <v>9.9000000000000005E-2</v>
      </c>
    </row>
    <row r="68" spans="1:7">
      <c r="A68" s="3218" t="s">
        <v>851</v>
      </c>
      <c r="B68" s="3207" t="s">
        <v>1070</v>
      </c>
      <c r="C68" s="3208">
        <v>9.7000000000000003E-2</v>
      </c>
      <c r="D68" s="3208">
        <v>6.8000000000000005E-2</v>
      </c>
      <c r="E68" s="3208">
        <v>6.6000000000000003E-2</v>
      </c>
      <c r="F68" s="3208">
        <v>0.1</v>
      </c>
      <c r="G68" s="3209">
        <v>8.4000000000000005E-2</v>
      </c>
    </row>
    <row r="69" spans="1:7">
      <c r="A69" s="3218" t="s">
        <v>851</v>
      </c>
      <c r="B69" s="3207" t="s">
        <v>1078</v>
      </c>
      <c r="C69" s="3208">
        <v>6.8000000000000005E-2</v>
      </c>
      <c r="D69" s="3208">
        <v>9.8000000000000004E-2</v>
      </c>
      <c r="E69" s="3208">
        <v>9.5000000000000001E-2</v>
      </c>
      <c r="F69" s="3208">
        <v>0.1</v>
      </c>
      <c r="G69" s="3209">
        <v>0.1</v>
      </c>
    </row>
    <row r="70" spans="1:7">
      <c r="A70" s="3218" t="s">
        <v>851</v>
      </c>
      <c r="B70" s="3207" t="s">
        <v>1083</v>
      </c>
      <c r="C70" s="3208">
        <v>9.8000000000000004E-2</v>
      </c>
      <c r="D70" s="3208">
        <v>8.8999999999999996E-2</v>
      </c>
      <c r="E70" s="3208">
        <v>5.8999999999999997E-2</v>
      </c>
      <c r="F70" s="3208">
        <v>0.1</v>
      </c>
      <c r="G70" s="3209">
        <v>9.6000000000000002E-2</v>
      </c>
    </row>
    <row r="71" spans="1:7">
      <c r="A71" s="3218" t="s">
        <v>851</v>
      </c>
      <c r="B71" s="3207" t="s">
        <v>1092</v>
      </c>
      <c r="C71" s="3208">
        <v>8.8999999999999996E-2</v>
      </c>
      <c r="D71" s="3208">
        <v>9.9000000000000005E-2</v>
      </c>
      <c r="E71" s="3208">
        <v>9.6000000000000002E-2</v>
      </c>
      <c r="F71" s="3208">
        <v>0.1</v>
      </c>
      <c r="G71" s="3209">
        <v>0.1</v>
      </c>
    </row>
    <row r="72" spans="1:7">
      <c r="A72" s="3218" t="s">
        <v>851</v>
      </c>
      <c r="B72" s="3207" t="s">
        <v>1099</v>
      </c>
      <c r="C72" s="3208">
        <v>9.9000000000000005E-2</v>
      </c>
      <c r="D72" s="3208">
        <v>0.1</v>
      </c>
      <c r="E72" s="3208">
        <v>7.0000000000000007E-2</v>
      </c>
      <c r="F72" s="3219"/>
      <c r="G72" s="3209">
        <v>0.1</v>
      </c>
    </row>
    <row r="73" spans="1:7">
      <c r="A73" s="3218" t="s">
        <v>851</v>
      </c>
      <c r="B73" s="3207" t="s">
        <v>1107</v>
      </c>
      <c r="C73" s="3208">
        <v>0.1</v>
      </c>
      <c r="D73" s="3208">
        <v>0.1</v>
      </c>
      <c r="E73" s="3208">
        <v>9.6000000000000002E-2</v>
      </c>
      <c r="F73" s="3219"/>
      <c r="G73" s="3209">
        <v>0.1</v>
      </c>
    </row>
    <row r="74" spans="1:7">
      <c r="A74" s="3218" t="s">
        <v>851</v>
      </c>
      <c r="B74" s="3207" t="s">
        <v>1114</v>
      </c>
      <c r="C74" s="3208">
        <v>0.1</v>
      </c>
      <c r="D74" s="3208">
        <v>0.1</v>
      </c>
      <c r="E74" s="3208">
        <v>9.8000000000000004E-2</v>
      </c>
      <c r="F74" s="3219"/>
      <c r="G74" s="3209">
        <v>0.1</v>
      </c>
    </row>
    <row r="75" spans="1:7">
      <c r="A75" s="3218" t="s">
        <v>851</v>
      </c>
      <c r="B75" s="3207" t="s">
        <v>1118</v>
      </c>
      <c r="C75" s="3208">
        <v>0.1</v>
      </c>
      <c r="D75" s="3208">
        <v>9.9000000000000005E-2</v>
      </c>
      <c r="E75" s="3208">
        <v>9.8000000000000004E-2</v>
      </c>
      <c r="F75" s="3219"/>
      <c r="G75" s="3209">
        <v>0.1</v>
      </c>
    </row>
    <row r="76" spans="1:7">
      <c r="A76" s="3218" t="s">
        <v>851</v>
      </c>
      <c r="B76" s="3207" t="s">
        <v>1125</v>
      </c>
      <c r="C76" s="3208">
        <v>9.9000000000000005E-2</v>
      </c>
      <c r="D76" s="3208">
        <v>0.1</v>
      </c>
      <c r="E76" s="3208">
        <v>9.7000000000000003E-2</v>
      </c>
      <c r="F76" s="3219"/>
      <c r="G76" s="3209">
        <v>0.1</v>
      </c>
    </row>
    <row r="77" spans="1:7">
      <c r="A77" s="3218" t="s">
        <v>851</v>
      </c>
      <c r="B77" s="3207" t="s">
        <v>1128</v>
      </c>
      <c r="C77" s="3208">
        <v>0.1</v>
      </c>
      <c r="D77" s="3208">
        <v>0.1</v>
      </c>
      <c r="E77" s="3208">
        <v>9.6000000000000002E-2</v>
      </c>
      <c r="F77" s="3219"/>
      <c r="G77" s="3209">
        <v>0.1</v>
      </c>
    </row>
    <row r="78" spans="1:7">
      <c r="A78" s="3218" t="s">
        <v>851</v>
      </c>
      <c r="B78" s="3207" t="s">
        <v>2827</v>
      </c>
      <c r="C78" s="3208">
        <v>0.1</v>
      </c>
      <c r="D78" s="3208">
        <v>8.5000000000000006E-2</v>
      </c>
      <c r="E78" s="3208">
        <v>9.6000000000000002E-2</v>
      </c>
      <c r="F78" s="3219"/>
      <c r="G78" s="3209">
        <v>9.6000000000000002E-2</v>
      </c>
    </row>
    <row r="79" spans="1:7">
      <c r="A79" s="3218" t="s">
        <v>851</v>
      </c>
      <c r="B79" s="3207" t="s">
        <v>2828</v>
      </c>
      <c r="C79" s="3208">
        <v>0.05</v>
      </c>
      <c r="D79" s="3208">
        <v>9.6000000000000002E-2</v>
      </c>
      <c r="E79" s="3208">
        <v>9.5000000000000001E-2</v>
      </c>
      <c r="F79" s="3219"/>
      <c r="G79" s="3209">
        <v>9.8000000000000004E-2</v>
      </c>
    </row>
    <row r="80" spans="1:7">
      <c r="A80" s="3218" t="s">
        <v>851</v>
      </c>
      <c r="B80" s="3207" t="s">
        <v>2829</v>
      </c>
      <c r="C80" s="3208">
        <v>8.5999999999999993E-2</v>
      </c>
      <c r="D80" s="3224"/>
      <c r="E80" s="3208">
        <v>0.1</v>
      </c>
      <c r="F80" s="3219"/>
      <c r="G80" s="3220"/>
    </row>
    <row r="81" spans="1:7">
      <c r="A81" s="3218" t="s">
        <v>851</v>
      </c>
      <c r="B81" s="3207" t="s">
        <v>2830</v>
      </c>
      <c r="C81" s="3208">
        <v>9.6000000000000002E-2</v>
      </c>
      <c r="D81" s="3219"/>
      <c r="E81" s="3208">
        <v>9.8000000000000004E-2</v>
      </c>
      <c r="F81" s="3219"/>
      <c r="G81" s="3220"/>
    </row>
    <row r="82" spans="1:7">
      <c r="A82" s="3218" t="s">
        <v>851</v>
      </c>
      <c r="B82" s="3207" t="s">
        <v>2831</v>
      </c>
      <c r="C82" s="3224"/>
      <c r="D82" s="3219"/>
      <c r="E82" s="3208">
        <v>7.6999999999999999E-2</v>
      </c>
      <c r="F82" s="3219"/>
      <c r="G82" s="3220"/>
    </row>
    <row r="83" spans="1:7">
      <c r="A83" s="3218" t="s">
        <v>851</v>
      </c>
      <c r="B83" s="3207" t="s">
        <v>3037</v>
      </c>
      <c r="C83" s="3219"/>
      <c r="D83" s="3219"/>
      <c r="E83" s="3219"/>
      <c r="F83" s="3208">
        <v>0.1</v>
      </c>
      <c r="G83" s="3225"/>
    </row>
    <row r="84" spans="1:7">
      <c r="A84" s="3218" t="s">
        <v>851</v>
      </c>
      <c r="B84" s="3207" t="s">
        <v>3038</v>
      </c>
      <c r="C84" s="3219"/>
      <c r="D84" s="3219"/>
      <c r="E84" s="3219"/>
      <c r="F84" s="3208">
        <v>0.1</v>
      </c>
      <c r="G84" s="3225"/>
    </row>
    <row r="85" spans="1:7">
      <c r="A85" s="3218" t="s">
        <v>851</v>
      </c>
      <c r="B85" s="3207" t="s">
        <v>3039</v>
      </c>
      <c r="C85" s="3219"/>
      <c r="D85" s="3219"/>
      <c r="E85" s="3219"/>
      <c r="F85" s="3208">
        <v>0.1</v>
      </c>
      <c r="G85" s="3225"/>
    </row>
    <row r="86" spans="1:7" ht="14.25" thickBot="1">
      <c r="A86" s="3221" t="s">
        <v>851</v>
      </c>
      <c r="B86" s="3211" t="s">
        <v>3040</v>
      </c>
      <c r="C86" s="3212">
        <v>9.8000000000000004E-2</v>
      </c>
      <c r="D86" s="3212">
        <v>9.8000000000000004E-2</v>
      </c>
      <c r="E86" s="3212">
        <v>9.6000000000000002E-2</v>
      </c>
      <c r="F86" s="3222"/>
      <c r="G86" s="3214">
        <v>0.1</v>
      </c>
    </row>
    <row r="87" spans="1:7">
      <c r="A87" s="3217" t="s">
        <v>1150</v>
      </c>
      <c r="B87" s="3203" t="s">
        <v>3041</v>
      </c>
      <c r="C87" s="3204">
        <v>0.1</v>
      </c>
      <c r="D87" s="3204">
        <v>0.1</v>
      </c>
      <c r="E87" s="3204">
        <v>9.8000000000000004E-2</v>
      </c>
      <c r="F87" s="3204">
        <v>0.1</v>
      </c>
      <c r="G87" s="3205">
        <v>0.1</v>
      </c>
    </row>
    <row r="88" spans="1:7">
      <c r="A88" s="3218" t="s">
        <v>1150</v>
      </c>
      <c r="B88" s="3207" t="s">
        <v>974</v>
      </c>
      <c r="C88" s="3208">
        <v>9.0999999999999998E-2</v>
      </c>
      <c r="D88" s="3208">
        <v>9.1999999999999998E-2</v>
      </c>
      <c r="E88" s="3208">
        <v>0.1</v>
      </c>
      <c r="F88" s="3208">
        <v>0.1</v>
      </c>
      <c r="G88" s="3209">
        <v>9.6000000000000002E-2</v>
      </c>
    </row>
    <row r="89" spans="1:7">
      <c r="A89" s="3218" t="s">
        <v>1150</v>
      </c>
      <c r="B89" s="3207" t="s">
        <v>984</v>
      </c>
      <c r="C89" s="3208">
        <v>0.1</v>
      </c>
      <c r="D89" s="3208">
        <v>0.1</v>
      </c>
      <c r="E89" s="3208">
        <v>6.7000000000000004E-2</v>
      </c>
      <c r="F89" s="3208">
        <v>9.2999999999999999E-2</v>
      </c>
      <c r="G89" s="3209">
        <v>0.1</v>
      </c>
    </row>
    <row r="90" spans="1:7">
      <c r="A90" s="3218" t="s">
        <v>1150</v>
      </c>
      <c r="B90" s="3207" t="s">
        <v>993</v>
      </c>
      <c r="C90" s="3208">
        <v>9.6000000000000002E-2</v>
      </c>
      <c r="D90" s="3208">
        <v>9.6000000000000002E-2</v>
      </c>
      <c r="E90" s="3208">
        <v>0.1</v>
      </c>
      <c r="F90" s="3208">
        <v>0.1</v>
      </c>
      <c r="G90" s="3209">
        <v>9.8000000000000004E-2</v>
      </c>
    </row>
    <row r="91" spans="1:7">
      <c r="A91" s="3218" t="s">
        <v>1150</v>
      </c>
      <c r="B91" s="3207" t="s">
        <v>1003</v>
      </c>
      <c r="C91" s="3208">
        <v>7.6999999999999999E-2</v>
      </c>
      <c r="D91" s="3208">
        <v>7.6999999999999999E-2</v>
      </c>
      <c r="E91" s="3208">
        <v>9.6000000000000002E-2</v>
      </c>
      <c r="F91" s="3208">
        <v>0.1</v>
      </c>
      <c r="G91" s="3209">
        <v>7.6999999999999999E-2</v>
      </c>
    </row>
    <row r="92" spans="1:7">
      <c r="A92" s="3218" t="s">
        <v>1150</v>
      </c>
      <c r="B92" s="3207" t="s">
        <v>1010</v>
      </c>
      <c r="C92" s="3208">
        <v>0.1</v>
      </c>
      <c r="D92" s="3208">
        <v>0.1</v>
      </c>
      <c r="E92" s="3208">
        <v>9.1999999999999998E-2</v>
      </c>
      <c r="F92" s="3208">
        <v>0.1</v>
      </c>
      <c r="G92" s="3209">
        <v>0.1</v>
      </c>
    </row>
    <row r="93" spans="1:7">
      <c r="A93" s="3218" t="s">
        <v>1150</v>
      </c>
      <c r="B93" s="3207" t="s">
        <v>1016</v>
      </c>
      <c r="C93" s="3208">
        <v>9.8000000000000004E-2</v>
      </c>
      <c r="D93" s="3208">
        <v>9.8000000000000004E-2</v>
      </c>
      <c r="E93" s="3208">
        <v>9.6000000000000002E-2</v>
      </c>
      <c r="F93" s="3208">
        <v>0.1</v>
      </c>
      <c r="G93" s="3209">
        <v>9.9000000000000005E-2</v>
      </c>
    </row>
    <row r="94" spans="1:7">
      <c r="A94" s="3218" t="s">
        <v>1150</v>
      </c>
      <c r="B94" s="3207" t="s">
        <v>1023</v>
      </c>
      <c r="C94" s="3208">
        <v>8.7999999999999995E-2</v>
      </c>
      <c r="D94" s="3208">
        <v>8.7999999999999995E-2</v>
      </c>
      <c r="E94" s="3208">
        <v>9.6000000000000002E-2</v>
      </c>
      <c r="F94" s="3208">
        <v>0.1</v>
      </c>
      <c r="G94" s="3209">
        <v>8.7999999999999995E-2</v>
      </c>
    </row>
    <row r="95" spans="1:7">
      <c r="A95" s="3218" t="s">
        <v>1150</v>
      </c>
      <c r="B95" s="3207" t="s">
        <v>1033</v>
      </c>
      <c r="C95" s="3208">
        <v>9.6000000000000002E-2</v>
      </c>
      <c r="D95" s="3208">
        <v>9.6000000000000002E-2</v>
      </c>
      <c r="E95" s="3208">
        <v>0.1</v>
      </c>
      <c r="F95" s="3208">
        <v>0.1</v>
      </c>
      <c r="G95" s="3209">
        <v>9.8000000000000004E-2</v>
      </c>
    </row>
    <row r="96" spans="1:7">
      <c r="A96" s="3218" t="s">
        <v>1150</v>
      </c>
      <c r="B96" s="3207" t="s">
        <v>1042</v>
      </c>
      <c r="C96" s="3208">
        <v>9.7000000000000003E-2</v>
      </c>
      <c r="D96" s="3208">
        <v>9.7000000000000003E-2</v>
      </c>
      <c r="E96" s="3208">
        <v>0.1</v>
      </c>
      <c r="F96" s="3208">
        <v>0.1</v>
      </c>
      <c r="G96" s="3209">
        <v>9.8000000000000004E-2</v>
      </c>
    </row>
    <row r="97" spans="1:7">
      <c r="A97" s="3218" t="s">
        <v>1150</v>
      </c>
      <c r="B97" s="3207" t="s">
        <v>1049</v>
      </c>
      <c r="C97" s="3208">
        <v>9.6000000000000002E-2</v>
      </c>
      <c r="D97" s="3208">
        <v>9.6000000000000002E-2</v>
      </c>
      <c r="E97" s="3208">
        <v>9.9000000000000005E-2</v>
      </c>
      <c r="F97" s="3208">
        <v>0.1</v>
      </c>
      <c r="G97" s="3209">
        <v>9.8000000000000004E-2</v>
      </c>
    </row>
    <row r="98" spans="1:7">
      <c r="A98" s="3218" t="s">
        <v>1150</v>
      </c>
      <c r="B98" s="3207" t="s">
        <v>1056</v>
      </c>
      <c r="C98" s="3208">
        <v>9.8000000000000004E-2</v>
      </c>
      <c r="D98" s="3208">
        <v>9.8000000000000004E-2</v>
      </c>
      <c r="E98" s="3208">
        <v>0.1</v>
      </c>
      <c r="F98" s="3208">
        <v>0.1</v>
      </c>
      <c r="G98" s="3209">
        <v>9.9000000000000005E-2</v>
      </c>
    </row>
    <row r="99" spans="1:7">
      <c r="A99" s="3218" t="s">
        <v>1150</v>
      </c>
      <c r="B99" s="3207" t="s">
        <v>1063</v>
      </c>
      <c r="C99" s="3208">
        <v>9.6000000000000002E-2</v>
      </c>
      <c r="D99" s="3208">
        <v>9.6000000000000002E-2</v>
      </c>
      <c r="E99" s="3208">
        <v>0.1</v>
      </c>
      <c r="F99" s="3208">
        <v>0.1</v>
      </c>
      <c r="G99" s="3209">
        <v>9.7000000000000003E-2</v>
      </c>
    </row>
    <row r="100" spans="1:7">
      <c r="A100" s="3218" t="s">
        <v>1150</v>
      </c>
      <c r="B100" s="3207" t="s">
        <v>1071</v>
      </c>
      <c r="C100" s="3208">
        <v>0.1</v>
      </c>
      <c r="D100" s="3208">
        <v>0.1</v>
      </c>
      <c r="E100" s="3208">
        <v>9.7000000000000003E-2</v>
      </c>
      <c r="F100" s="3208">
        <v>9.8000000000000004E-2</v>
      </c>
      <c r="G100" s="3209">
        <v>0.1</v>
      </c>
    </row>
    <row r="101" spans="1:7">
      <c r="A101" s="3218" t="s">
        <v>1150</v>
      </c>
      <c r="B101" s="3207" t="s">
        <v>1079</v>
      </c>
      <c r="C101" s="3208">
        <v>0.1</v>
      </c>
      <c r="D101" s="3208">
        <v>0.1</v>
      </c>
      <c r="E101" s="3208">
        <v>9.5000000000000001E-2</v>
      </c>
      <c r="F101" s="3208">
        <v>0.1</v>
      </c>
      <c r="G101" s="3209">
        <v>0.1</v>
      </c>
    </row>
    <row r="102" spans="1:7">
      <c r="A102" s="3218" t="s">
        <v>1150</v>
      </c>
      <c r="B102" s="3207" t="s">
        <v>1084</v>
      </c>
      <c r="C102" s="3208">
        <v>0.1</v>
      </c>
      <c r="D102" s="3208">
        <v>0.1</v>
      </c>
      <c r="E102" s="3208">
        <v>9.9000000000000005E-2</v>
      </c>
      <c r="F102" s="3208">
        <v>9.7000000000000003E-2</v>
      </c>
      <c r="G102" s="3209">
        <v>0.1</v>
      </c>
    </row>
    <row r="103" spans="1:7">
      <c r="A103" s="3218" t="s">
        <v>1150</v>
      </c>
      <c r="B103" s="3207" t="s">
        <v>1093</v>
      </c>
      <c r="C103" s="3208">
        <v>0.1</v>
      </c>
      <c r="D103" s="3208">
        <v>0.1</v>
      </c>
      <c r="E103" s="3208">
        <v>9.8000000000000004E-2</v>
      </c>
      <c r="F103" s="3208">
        <v>0.1</v>
      </c>
      <c r="G103" s="3209">
        <v>0.1</v>
      </c>
    </row>
    <row r="104" spans="1:7">
      <c r="A104" s="3218" t="s">
        <v>1150</v>
      </c>
      <c r="B104" s="3207" t="s">
        <v>1100</v>
      </c>
      <c r="C104" s="3208">
        <v>0.1</v>
      </c>
      <c r="D104" s="3208">
        <v>0.1</v>
      </c>
      <c r="E104" s="3208">
        <v>9.8000000000000004E-2</v>
      </c>
      <c r="F104" s="3208">
        <v>0.1</v>
      </c>
      <c r="G104" s="3209">
        <v>0.1</v>
      </c>
    </row>
    <row r="105" spans="1:7">
      <c r="A105" s="3218" t="s">
        <v>1150</v>
      </c>
      <c r="B105" s="3207" t="s">
        <v>1108</v>
      </c>
      <c r="C105" s="3208">
        <v>9.8000000000000004E-2</v>
      </c>
      <c r="D105" s="3208">
        <v>9.8000000000000004E-2</v>
      </c>
      <c r="E105" s="3208">
        <v>9.8000000000000004E-2</v>
      </c>
      <c r="F105" s="3208">
        <v>0.1</v>
      </c>
      <c r="G105" s="3209">
        <v>9.9000000000000005E-2</v>
      </c>
    </row>
    <row r="106" spans="1:7">
      <c r="A106" s="3218" t="s">
        <v>1150</v>
      </c>
      <c r="B106" s="3207" t="s">
        <v>1115</v>
      </c>
      <c r="C106" s="3208">
        <v>9.7000000000000003E-2</v>
      </c>
      <c r="D106" s="3208">
        <v>9.7000000000000003E-2</v>
      </c>
      <c r="E106" s="3208">
        <v>9.7000000000000003E-2</v>
      </c>
      <c r="F106" s="3208">
        <v>0.1</v>
      </c>
      <c r="G106" s="3209">
        <v>9.9000000000000005E-2</v>
      </c>
    </row>
    <row r="107" spans="1:7">
      <c r="A107" s="3218" t="s">
        <v>1150</v>
      </c>
      <c r="B107" s="3207" t="s">
        <v>1119</v>
      </c>
      <c r="C107" s="3208">
        <v>0.1</v>
      </c>
      <c r="D107" s="3208">
        <v>0.1</v>
      </c>
      <c r="E107" s="3208">
        <v>8.5999999999999993E-2</v>
      </c>
      <c r="F107" s="3208">
        <v>0.09</v>
      </c>
      <c r="G107" s="3209">
        <v>0.1</v>
      </c>
    </row>
    <row r="108" spans="1:7">
      <c r="A108" s="3218" t="s">
        <v>1150</v>
      </c>
      <c r="B108" s="3207" t="s">
        <v>1126</v>
      </c>
      <c r="C108" s="3208">
        <v>0.1</v>
      </c>
      <c r="D108" s="3208">
        <v>0.1</v>
      </c>
      <c r="E108" s="3208">
        <v>9.6000000000000002E-2</v>
      </c>
      <c r="F108" s="3219"/>
      <c r="G108" s="3209">
        <v>0.1</v>
      </c>
    </row>
    <row r="109" spans="1:7">
      <c r="A109" s="3218" t="s">
        <v>1150</v>
      </c>
      <c r="B109" s="3207" t="s">
        <v>1129</v>
      </c>
      <c r="C109" s="3208">
        <v>0.1</v>
      </c>
      <c r="D109" s="3208">
        <v>0.1</v>
      </c>
      <c r="E109" s="3208">
        <v>0.1</v>
      </c>
      <c r="F109" s="3219"/>
      <c r="G109" s="3209">
        <v>0.1</v>
      </c>
    </row>
    <row r="110" spans="1:7">
      <c r="A110" s="3218" t="s">
        <v>1150</v>
      </c>
      <c r="B110" s="3207" t="s">
        <v>1131</v>
      </c>
      <c r="C110" s="3208">
        <v>0.1</v>
      </c>
      <c r="D110" s="3208">
        <v>0.1</v>
      </c>
      <c r="E110" s="3208">
        <v>0.1</v>
      </c>
      <c r="F110" s="3219"/>
      <c r="G110" s="3209">
        <v>0.1</v>
      </c>
    </row>
    <row r="111" spans="1:7">
      <c r="A111" s="3218" t="s">
        <v>1150</v>
      </c>
      <c r="B111" s="3207" t="s">
        <v>1134</v>
      </c>
      <c r="C111" s="3208">
        <v>0.1</v>
      </c>
      <c r="D111" s="3208">
        <v>0.1</v>
      </c>
      <c r="E111" s="3208">
        <v>9.5000000000000001E-2</v>
      </c>
      <c r="F111" s="3219"/>
      <c r="G111" s="3209">
        <v>0.1</v>
      </c>
    </row>
    <row r="112" spans="1:7">
      <c r="A112" s="3218" t="s">
        <v>1150</v>
      </c>
      <c r="B112" s="3207" t="s">
        <v>1138</v>
      </c>
      <c r="C112" s="3208">
        <v>9.7000000000000003E-2</v>
      </c>
      <c r="D112" s="3208">
        <v>9.7000000000000003E-2</v>
      </c>
      <c r="E112" s="3208">
        <v>0.05</v>
      </c>
      <c r="F112" s="3219"/>
      <c r="G112" s="3209">
        <v>9.8000000000000004E-2</v>
      </c>
    </row>
    <row r="113" spans="1:7">
      <c r="A113" s="3218" t="s">
        <v>1150</v>
      </c>
      <c r="B113" s="3207" t="s">
        <v>2837</v>
      </c>
      <c r="C113" s="3208">
        <v>0.1</v>
      </c>
      <c r="D113" s="3208">
        <v>0.1</v>
      </c>
      <c r="E113" s="3219"/>
      <c r="F113" s="3219"/>
      <c r="G113" s="3209">
        <v>0.1</v>
      </c>
    </row>
    <row r="114" spans="1:7">
      <c r="A114" s="3218" t="s">
        <v>1150</v>
      </c>
      <c r="B114" s="3207" t="s">
        <v>2838</v>
      </c>
      <c r="C114" s="3208">
        <v>9.7000000000000003E-2</v>
      </c>
      <c r="D114" s="3208">
        <v>9.7000000000000003E-2</v>
      </c>
      <c r="E114" s="3219"/>
      <c r="F114" s="3219"/>
      <c r="G114" s="3209">
        <v>9.9000000000000005E-2</v>
      </c>
    </row>
    <row r="115" spans="1:7">
      <c r="A115" s="3218" t="s">
        <v>1150</v>
      </c>
      <c r="B115" s="3207" t="s">
        <v>2839</v>
      </c>
      <c r="C115" s="3208">
        <v>0.1</v>
      </c>
      <c r="D115" s="3208">
        <v>0.1</v>
      </c>
      <c r="E115" s="3219"/>
      <c r="F115" s="3219"/>
      <c r="G115" s="3209">
        <v>0.1</v>
      </c>
    </row>
    <row r="116" spans="1:7">
      <c r="A116" s="3218" t="s">
        <v>1150</v>
      </c>
      <c r="B116" s="3207" t="s">
        <v>2840</v>
      </c>
      <c r="C116" s="3208">
        <v>0.1</v>
      </c>
      <c r="D116" s="3208">
        <v>0.1</v>
      </c>
      <c r="E116" s="3219"/>
      <c r="F116" s="3219"/>
      <c r="G116" s="3209">
        <v>0.1</v>
      </c>
    </row>
    <row r="117" spans="1:7">
      <c r="A117" s="3218" t="s">
        <v>1150</v>
      </c>
      <c r="B117" s="3207" t="s">
        <v>2841</v>
      </c>
      <c r="C117" s="3208">
        <v>9.7000000000000003E-2</v>
      </c>
      <c r="D117" s="3208">
        <v>9.7000000000000003E-2</v>
      </c>
      <c r="E117" s="3219"/>
      <c r="F117" s="3219"/>
      <c r="G117" s="3209">
        <v>9.7000000000000003E-2</v>
      </c>
    </row>
    <row r="118" spans="1:7">
      <c r="A118" s="3218" t="s">
        <v>1150</v>
      </c>
      <c r="B118" s="3207" t="s">
        <v>2842</v>
      </c>
      <c r="C118" s="3208">
        <v>0.1</v>
      </c>
      <c r="D118" s="3208">
        <v>0.1</v>
      </c>
      <c r="E118" s="3219"/>
      <c r="F118" s="3219"/>
      <c r="G118" s="3209">
        <v>0.1</v>
      </c>
    </row>
    <row r="119" spans="1:7">
      <c r="A119" s="3218" t="s">
        <v>1150</v>
      </c>
      <c r="B119" s="3207" t="s">
        <v>2843</v>
      </c>
      <c r="C119" s="3208">
        <v>5.0999999999999997E-2</v>
      </c>
      <c r="D119" s="3208">
        <v>5.1999999999999998E-2</v>
      </c>
      <c r="E119" s="3219"/>
      <c r="F119" s="3224"/>
      <c r="G119" s="3209">
        <v>0.06</v>
      </c>
    </row>
    <row r="120" spans="1:7">
      <c r="A120" s="3218" t="s">
        <v>1150</v>
      </c>
      <c r="B120" s="3207" t="s">
        <v>3042</v>
      </c>
      <c r="C120" s="3219"/>
      <c r="D120" s="3219"/>
      <c r="E120" s="3219"/>
      <c r="F120" s="3208">
        <v>0.1</v>
      </c>
      <c r="G120" s="3225"/>
    </row>
    <row r="121" spans="1:7">
      <c r="A121" s="3218" t="s">
        <v>1150</v>
      </c>
      <c r="B121" s="3207" t="s">
        <v>3043</v>
      </c>
      <c r="C121" s="3219"/>
      <c r="D121" s="3219"/>
      <c r="E121" s="3219"/>
      <c r="F121" s="3208">
        <v>0.1</v>
      </c>
      <c r="G121" s="3225"/>
    </row>
    <row r="122" spans="1:7">
      <c r="A122" s="3218" t="s">
        <v>1150</v>
      </c>
      <c r="B122" s="3207" t="s">
        <v>3044</v>
      </c>
      <c r="C122" s="3208">
        <v>0.1</v>
      </c>
      <c r="D122" s="3208">
        <v>0.1</v>
      </c>
      <c r="E122" s="3208">
        <v>9.8000000000000004E-2</v>
      </c>
      <c r="F122" s="3208">
        <v>0.1</v>
      </c>
      <c r="G122" s="3209">
        <v>0.1</v>
      </c>
    </row>
    <row r="123" spans="1:7">
      <c r="A123" s="3218" t="s">
        <v>1150</v>
      </c>
      <c r="B123" s="3207" t="s">
        <v>2847</v>
      </c>
      <c r="C123" s="3208">
        <v>0.1</v>
      </c>
      <c r="D123" s="3208">
        <v>0.1</v>
      </c>
      <c r="E123" s="3208">
        <v>9.8000000000000004E-2</v>
      </c>
      <c r="F123" s="3208">
        <v>0.1</v>
      </c>
      <c r="G123" s="3209">
        <v>0.1</v>
      </c>
    </row>
    <row r="124" spans="1:7">
      <c r="A124" s="3218" t="s">
        <v>1150</v>
      </c>
      <c r="B124" s="3207" t="s">
        <v>2848</v>
      </c>
      <c r="C124" s="3208">
        <v>0.1</v>
      </c>
      <c r="D124" s="3208">
        <v>0.1</v>
      </c>
      <c r="E124" s="3208">
        <v>9.8000000000000004E-2</v>
      </c>
      <c r="F124" s="3224"/>
      <c r="G124" s="3209">
        <v>0.1</v>
      </c>
    </row>
    <row r="125" spans="1:7">
      <c r="A125" s="3218" t="s">
        <v>1150</v>
      </c>
      <c r="B125" s="3207" t="s">
        <v>2849</v>
      </c>
      <c r="C125" s="3208">
        <v>9.8000000000000004E-2</v>
      </c>
      <c r="D125" s="3208">
        <v>9.8000000000000004E-2</v>
      </c>
      <c r="E125" s="3208">
        <v>9.6000000000000002E-2</v>
      </c>
      <c r="F125" s="3224"/>
      <c r="G125" s="3209">
        <v>0.1</v>
      </c>
    </row>
    <row r="126" spans="1:7" ht="14.25" thickBot="1">
      <c r="A126" s="3221" t="s">
        <v>1150</v>
      </c>
      <c r="B126" s="3211" t="s">
        <v>3045</v>
      </c>
      <c r="C126" s="3212">
        <v>0.1</v>
      </c>
      <c r="D126" s="3212">
        <v>0.1</v>
      </c>
      <c r="E126" s="3212">
        <v>9.8000000000000004E-2</v>
      </c>
      <c r="F126" s="3212">
        <v>0.1</v>
      </c>
      <c r="G126" s="3214">
        <v>0.1</v>
      </c>
    </row>
    <row r="127" spans="1:7">
      <c r="A127" s="3217" t="s">
        <v>1151</v>
      </c>
      <c r="B127" s="3203" t="s">
        <v>3046</v>
      </c>
      <c r="C127" s="3204">
        <v>0.121</v>
      </c>
      <c r="D127" s="3204">
        <v>0.121</v>
      </c>
      <c r="E127" s="3204">
        <v>0.107</v>
      </c>
      <c r="F127" s="3204">
        <v>0.13</v>
      </c>
      <c r="G127" s="3205">
        <v>0.122</v>
      </c>
    </row>
    <row r="128" spans="1:7">
      <c r="A128" s="3218" t="s">
        <v>1151</v>
      </c>
      <c r="B128" s="3207" t="s">
        <v>975</v>
      </c>
      <c r="C128" s="3208">
        <v>0.11600000000000001</v>
      </c>
      <c r="D128" s="3208">
        <v>0.11700000000000001</v>
      </c>
      <c r="E128" s="3208">
        <v>0.104</v>
      </c>
      <c r="F128" s="3208">
        <v>0.13</v>
      </c>
      <c r="G128" s="3209">
        <v>0.11700000000000001</v>
      </c>
    </row>
    <row r="129" spans="1:7">
      <c r="A129" s="3218" t="s">
        <v>1151</v>
      </c>
      <c r="B129" s="3207" t="s">
        <v>985</v>
      </c>
      <c r="C129" s="3208">
        <v>0.107</v>
      </c>
      <c r="D129" s="3208">
        <v>0.108</v>
      </c>
      <c r="E129" s="3208">
        <v>0.1</v>
      </c>
      <c r="F129" s="3208">
        <v>0.13</v>
      </c>
      <c r="G129" s="3209">
        <v>0.11700000000000001</v>
      </c>
    </row>
    <row r="130" spans="1:7">
      <c r="A130" s="3218" t="s">
        <v>1151</v>
      </c>
      <c r="B130" s="3207" t="s">
        <v>994</v>
      </c>
      <c r="C130" s="3208">
        <v>0.13</v>
      </c>
      <c r="D130" s="3208">
        <v>0.13</v>
      </c>
      <c r="E130" s="3208">
        <v>0.126</v>
      </c>
      <c r="F130" s="3208">
        <v>0.13</v>
      </c>
      <c r="G130" s="3209">
        <v>0.13</v>
      </c>
    </row>
    <row r="131" spans="1:7">
      <c r="A131" s="3218" t="s">
        <v>1151</v>
      </c>
      <c r="B131" s="3207" t="s">
        <v>1004</v>
      </c>
      <c r="C131" s="3208">
        <v>0.13</v>
      </c>
      <c r="D131" s="3208">
        <v>0.13</v>
      </c>
      <c r="E131" s="3208">
        <v>0.13</v>
      </c>
      <c r="F131" s="3208">
        <v>0.13</v>
      </c>
      <c r="G131" s="3209">
        <v>0.13</v>
      </c>
    </row>
    <row r="132" spans="1:7">
      <c r="A132" s="3218" t="s">
        <v>1151</v>
      </c>
      <c r="B132" s="3207" t="s">
        <v>1011</v>
      </c>
      <c r="C132" s="3208">
        <v>0.13</v>
      </c>
      <c r="D132" s="3208">
        <v>0.13</v>
      </c>
      <c r="E132" s="3208">
        <v>0.126</v>
      </c>
      <c r="F132" s="3208">
        <v>0.13</v>
      </c>
      <c r="G132" s="3209">
        <v>0.13</v>
      </c>
    </row>
    <row r="133" spans="1:7">
      <c r="A133" s="3218" t="s">
        <v>1151</v>
      </c>
      <c r="B133" s="3207" t="s">
        <v>1017</v>
      </c>
      <c r="C133" s="3208">
        <v>0.111</v>
      </c>
      <c r="D133" s="3208">
        <v>0.111</v>
      </c>
      <c r="E133" s="3208">
        <v>0.10199999999999999</v>
      </c>
      <c r="F133" s="3208">
        <v>0.13</v>
      </c>
      <c r="G133" s="3209">
        <v>0.121</v>
      </c>
    </row>
    <row r="134" spans="1:7">
      <c r="A134" s="3218" t="s">
        <v>1151</v>
      </c>
      <c r="B134" s="3207" t="s">
        <v>1024</v>
      </c>
      <c r="C134" s="3208">
        <v>0.121</v>
      </c>
      <c r="D134" s="3208">
        <v>0.121</v>
      </c>
      <c r="E134" s="3208">
        <v>0.1</v>
      </c>
      <c r="F134" s="3208">
        <v>0.13</v>
      </c>
      <c r="G134" s="3209">
        <v>0.123</v>
      </c>
    </row>
    <row r="135" spans="1:7">
      <c r="A135" s="3218" t="s">
        <v>1151</v>
      </c>
      <c r="B135" s="3207" t="s">
        <v>1034</v>
      </c>
      <c r="C135" s="3208">
        <v>0.105</v>
      </c>
      <c r="D135" s="3208">
        <v>0.106</v>
      </c>
      <c r="E135" s="3208">
        <v>0.1</v>
      </c>
      <c r="F135" s="3208">
        <v>0.13</v>
      </c>
      <c r="G135" s="3209">
        <v>0.115</v>
      </c>
    </row>
    <row r="136" spans="1:7">
      <c r="A136" s="3218" t="s">
        <v>1151</v>
      </c>
      <c r="B136" s="3207" t="s">
        <v>1043</v>
      </c>
      <c r="C136" s="3208">
        <v>0.127</v>
      </c>
      <c r="D136" s="3208">
        <v>0.127</v>
      </c>
      <c r="E136" s="3208">
        <v>0.121</v>
      </c>
      <c r="F136" s="3208">
        <v>0.123</v>
      </c>
      <c r="G136" s="3209">
        <v>0.129</v>
      </c>
    </row>
    <row r="137" spans="1:7">
      <c r="A137" s="3218" t="s">
        <v>1151</v>
      </c>
      <c r="B137" s="3207" t="s">
        <v>1050</v>
      </c>
      <c r="C137" s="3208">
        <v>0.13</v>
      </c>
      <c r="D137" s="3208">
        <v>0.13</v>
      </c>
      <c r="E137" s="3208">
        <v>0.129</v>
      </c>
      <c r="F137" s="3208">
        <v>0.13</v>
      </c>
      <c r="G137" s="3209">
        <v>0.13</v>
      </c>
    </row>
    <row r="138" spans="1:7">
      <c r="A138" s="3218" t="s">
        <v>1151</v>
      </c>
      <c r="B138" s="3207" t="s">
        <v>1057</v>
      </c>
      <c r="C138" s="3208">
        <v>0.13</v>
      </c>
      <c r="D138" s="3208">
        <v>0.13</v>
      </c>
      <c r="E138" s="3208">
        <v>0.125</v>
      </c>
      <c r="F138" s="3208">
        <v>0.13</v>
      </c>
      <c r="G138" s="3209">
        <v>0.13</v>
      </c>
    </row>
    <row r="139" spans="1:7">
      <c r="A139" s="3218" t="s">
        <v>1151</v>
      </c>
      <c r="B139" s="3207" t="s">
        <v>1064</v>
      </c>
      <c r="C139" s="3208">
        <v>0.13</v>
      </c>
      <c r="D139" s="3208">
        <v>0.13</v>
      </c>
      <c r="E139" s="3208">
        <v>0.126</v>
      </c>
      <c r="F139" s="3208">
        <v>0.13</v>
      </c>
      <c r="G139" s="3209">
        <v>0.13</v>
      </c>
    </row>
    <row r="140" spans="1:7">
      <c r="A140" s="3218" t="s">
        <v>1151</v>
      </c>
      <c r="B140" s="3207" t="s">
        <v>1072</v>
      </c>
      <c r="C140" s="3208">
        <v>0.1</v>
      </c>
      <c r="D140" s="3208">
        <v>0.1</v>
      </c>
      <c r="E140" s="3208">
        <v>0.1</v>
      </c>
      <c r="F140" s="3208">
        <v>0.123</v>
      </c>
      <c r="G140" s="3209">
        <v>0.107</v>
      </c>
    </row>
    <row r="141" spans="1:7">
      <c r="A141" s="3218" t="s">
        <v>1151</v>
      </c>
      <c r="B141" s="3207" t="s">
        <v>1080</v>
      </c>
      <c r="C141" s="3208">
        <v>0.127</v>
      </c>
      <c r="D141" s="3208">
        <v>0.127</v>
      </c>
      <c r="E141" s="3208">
        <v>0.122</v>
      </c>
      <c r="F141" s="3208">
        <v>0.1</v>
      </c>
      <c r="G141" s="3209">
        <v>0.129</v>
      </c>
    </row>
    <row r="142" spans="1:7">
      <c r="A142" s="3218" t="s">
        <v>1151</v>
      </c>
      <c r="B142" s="3207" t="s">
        <v>1085</v>
      </c>
      <c r="C142" s="3208">
        <v>0.121</v>
      </c>
      <c r="D142" s="3208">
        <v>0.122</v>
      </c>
      <c r="E142" s="3208">
        <v>0.1</v>
      </c>
      <c r="F142" s="3208">
        <v>0.123</v>
      </c>
      <c r="G142" s="3209">
        <v>0.123</v>
      </c>
    </row>
    <row r="143" spans="1:7">
      <c r="A143" s="3218" t="s">
        <v>1151</v>
      </c>
      <c r="B143" s="3207" t="s">
        <v>1094</v>
      </c>
      <c r="C143" s="3208">
        <v>0.1</v>
      </c>
      <c r="D143" s="3208">
        <v>0.1</v>
      </c>
      <c r="E143" s="3208">
        <v>0.1</v>
      </c>
      <c r="F143" s="3208">
        <v>0.13</v>
      </c>
      <c r="G143" s="3209">
        <v>0.1</v>
      </c>
    </row>
    <row r="144" spans="1:7">
      <c r="A144" s="3218" t="s">
        <v>1151</v>
      </c>
      <c r="B144" s="3207" t="s">
        <v>1101</v>
      </c>
      <c r="C144" s="3208">
        <v>0.106</v>
      </c>
      <c r="D144" s="3208">
        <v>0.105</v>
      </c>
      <c r="E144" s="3208">
        <v>0.1</v>
      </c>
      <c r="F144" s="3208">
        <v>0.13</v>
      </c>
      <c r="G144" s="3209">
        <v>0.11799999999999999</v>
      </c>
    </row>
    <row r="145" spans="1:7">
      <c r="A145" s="3218" t="s">
        <v>1151</v>
      </c>
      <c r="B145" s="3207" t="s">
        <v>1109</v>
      </c>
      <c r="C145" s="3208">
        <v>0.123</v>
      </c>
      <c r="D145" s="3208">
        <v>0.123</v>
      </c>
      <c r="E145" s="3208">
        <v>0.11700000000000001</v>
      </c>
      <c r="F145" s="3208">
        <v>0.13</v>
      </c>
      <c r="G145" s="3209">
        <v>0.126</v>
      </c>
    </row>
    <row r="146" spans="1:7">
      <c r="A146" s="3218" t="s">
        <v>1151</v>
      </c>
      <c r="B146" s="3207" t="s">
        <v>1116</v>
      </c>
      <c r="C146" s="3208">
        <v>0.127</v>
      </c>
      <c r="D146" s="3208">
        <v>0.127</v>
      </c>
      <c r="E146" s="3208">
        <v>0.12</v>
      </c>
      <c r="F146" s="3219"/>
      <c r="G146" s="3209">
        <v>0.129</v>
      </c>
    </row>
    <row r="147" spans="1:7">
      <c r="A147" s="3218" t="s">
        <v>1151</v>
      </c>
      <c r="B147" s="3207" t="s">
        <v>1120</v>
      </c>
      <c r="C147" s="3208">
        <v>0.13</v>
      </c>
      <c r="D147" s="3208">
        <v>0.13</v>
      </c>
      <c r="E147" s="3208">
        <v>0.126</v>
      </c>
      <c r="F147" s="3219"/>
      <c r="G147" s="3209">
        <v>0.13</v>
      </c>
    </row>
    <row r="148" spans="1:7">
      <c r="A148" s="3218" t="s">
        <v>1151</v>
      </c>
      <c r="B148" s="3207" t="s">
        <v>3047</v>
      </c>
      <c r="C148" s="3208">
        <v>0.13</v>
      </c>
      <c r="D148" s="3208">
        <v>0.13</v>
      </c>
      <c r="E148" s="3208">
        <v>0.13</v>
      </c>
      <c r="F148" s="3219"/>
      <c r="G148" s="3209">
        <v>0.13</v>
      </c>
    </row>
    <row r="149" spans="1:7">
      <c r="A149" s="3218" t="s">
        <v>1151</v>
      </c>
      <c r="B149" s="3207" t="s">
        <v>3048</v>
      </c>
      <c r="C149" s="3208">
        <v>0.13</v>
      </c>
      <c r="D149" s="3208">
        <v>0.13</v>
      </c>
      <c r="E149" s="3208">
        <v>0.13</v>
      </c>
      <c r="F149" s="3208">
        <v>0.13</v>
      </c>
      <c r="G149" s="3209">
        <v>0.13</v>
      </c>
    </row>
    <row r="150" spans="1:7">
      <c r="A150" s="3218" t="s">
        <v>1151</v>
      </c>
      <c r="B150" s="3207" t="s">
        <v>1139</v>
      </c>
      <c r="C150" s="3208">
        <v>0.13</v>
      </c>
      <c r="D150" s="3208">
        <v>0.13</v>
      </c>
      <c r="E150" s="3208">
        <v>0.127</v>
      </c>
      <c r="F150" s="3208">
        <v>0.13</v>
      </c>
      <c r="G150" s="3209">
        <v>0.13</v>
      </c>
    </row>
    <row r="151" spans="1:7">
      <c r="A151" s="3218" t="s">
        <v>1151</v>
      </c>
      <c r="B151" s="3207" t="s">
        <v>1141</v>
      </c>
      <c r="C151" s="3208">
        <v>0.13</v>
      </c>
      <c r="D151" s="3208">
        <v>0.13</v>
      </c>
      <c r="E151" s="3208">
        <v>0.13</v>
      </c>
      <c r="F151" s="3208">
        <v>0.13</v>
      </c>
      <c r="G151" s="3209">
        <v>0.13</v>
      </c>
    </row>
    <row r="152" spans="1:7">
      <c r="A152" s="3218" t="s">
        <v>1151</v>
      </c>
      <c r="B152" s="3207" t="s">
        <v>1144</v>
      </c>
      <c r="C152" s="3208">
        <v>0.13</v>
      </c>
      <c r="D152" s="3208">
        <v>0.13</v>
      </c>
      <c r="E152" s="3208">
        <v>0.13</v>
      </c>
      <c r="F152" s="3208">
        <v>0.13</v>
      </c>
      <c r="G152" s="3209">
        <v>0.13</v>
      </c>
    </row>
    <row r="153" spans="1:7">
      <c r="A153" s="3218" t="s">
        <v>1151</v>
      </c>
      <c r="B153" s="3207" t="s">
        <v>2854</v>
      </c>
      <c r="C153" s="3208">
        <v>0.13</v>
      </c>
      <c r="D153" s="3208">
        <v>0.13</v>
      </c>
      <c r="E153" s="3208">
        <v>0.13</v>
      </c>
      <c r="F153" s="3208">
        <v>0.13</v>
      </c>
      <c r="G153" s="3209">
        <v>0.13</v>
      </c>
    </row>
    <row r="154" spans="1:7">
      <c r="A154" s="3218" t="s">
        <v>1151</v>
      </c>
      <c r="B154" s="3207" t="s">
        <v>3049</v>
      </c>
      <c r="C154" s="3208">
        <v>0.121</v>
      </c>
      <c r="D154" s="3208">
        <v>0.121</v>
      </c>
      <c r="E154" s="3208">
        <v>0.105</v>
      </c>
      <c r="F154" s="3208">
        <v>0.121</v>
      </c>
      <c r="G154" s="3209">
        <v>0.123</v>
      </c>
    </row>
    <row r="155" spans="1:7">
      <c r="A155" s="3218" t="s">
        <v>1151</v>
      </c>
      <c r="B155" s="3207" t="s">
        <v>2856</v>
      </c>
      <c r="C155" s="3208">
        <v>0.1</v>
      </c>
      <c r="D155" s="3208">
        <v>0.1</v>
      </c>
      <c r="E155" s="3208">
        <v>0.1</v>
      </c>
      <c r="F155" s="3208">
        <v>0.1</v>
      </c>
      <c r="G155" s="3209">
        <v>0.1</v>
      </c>
    </row>
    <row r="156" spans="1:7">
      <c r="A156" s="3218" t="s">
        <v>1151</v>
      </c>
      <c r="B156" s="3207" t="s">
        <v>3050</v>
      </c>
      <c r="C156" s="3208">
        <v>0.13</v>
      </c>
      <c r="D156" s="3208">
        <v>0.13</v>
      </c>
      <c r="E156" s="3208">
        <v>0.13</v>
      </c>
      <c r="F156" s="3208">
        <v>0.13</v>
      </c>
      <c r="G156" s="3209">
        <v>0.13</v>
      </c>
    </row>
    <row r="157" spans="1:7">
      <c r="A157" s="3218" t="s">
        <v>1151</v>
      </c>
      <c r="B157" s="3207" t="s">
        <v>1147</v>
      </c>
      <c r="C157" s="3208">
        <v>0.13</v>
      </c>
      <c r="D157" s="3208">
        <v>0.13</v>
      </c>
      <c r="E157" s="3208">
        <v>0.125</v>
      </c>
      <c r="F157" s="3208">
        <v>0.13</v>
      </c>
      <c r="G157" s="3209">
        <v>0.13</v>
      </c>
    </row>
    <row r="158" spans="1:7">
      <c r="A158" s="3218" t="s">
        <v>1151</v>
      </c>
      <c r="B158" s="3207" t="s">
        <v>1148</v>
      </c>
      <c r="C158" s="3208">
        <v>0.124</v>
      </c>
      <c r="D158" s="3208">
        <v>0.124</v>
      </c>
      <c r="E158" s="3208">
        <v>0.11700000000000001</v>
      </c>
      <c r="F158" s="3208">
        <v>0.121</v>
      </c>
      <c r="G158" s="3209">
        <v>0.124</v>
      </c>
    </row>
    <row r="159" spans="1:7">
      <c r="A159" s="3218" t="s">
        <v>1151</v>
      </c>
      <c r="B159" s="3207" t="s">
        <v>1149</v>
      </c>
      <c r="C159" s="3208">
        <v>0.127</v>
      </c>
      <c r="D159" s="3208">
        <v>0.127</v>
      </c>
      <c r="E159" s="3208">
        <v>0.122</v>
      </c>
      <c r="F159" s="3208">
        <v>0.13</v>
      </c>
      <c r="G159" s="3209">
        <v>0.129</v>
      </c>
    </row>
    <row r="160" spans="1:7">
      <c r="A160" s="3218" t="s">
        <v>1151</v>
      </c>
      <c r="B160" s="3207" t="s">
        <v>3051</v>
      </c>
      <c r="C160" s="3208">
        <v>0.13</v>
      </c>
      <c r="D160" s="3208">
        <v>0.13</v>
      </c>
      <c r="E160" s="3208">
        <v>0.124</v>
      </c>
      <c r="F160" s="3208">
        <v>0.126</v>
      </c>
      <c r="G160" s="3209">
        <v>0.13</v>
      </c>
    </row>
    <row r="161" spans="1:7">
      <c r="A161" s="3218" t="s">
        <v>1151</v>
      </c>
      <c r="B161" s="3207" t="s">
        <v>2859</v>
      </c>
      <c r="C161" s="3208">
        <v>0.13</v>
      </c>
      <c r="D161" s="3208">
        <v>0.13</v>
      </c>
      <c r="E161" s="3208">
        <v>0.124</v>
      </c>
      <c r="F161" s="3208">
        <v>0.127</v>
      </c>
      <c r="G161" s="3209">
        <v>0.13</v>
      </c>
    </row>
    <row r="162" spans="1:7">
      <c r="A162" s="3218" t="s">
        <v>1151</v>
      </c>
      <c r="B162" s="3207" t="s">
        <v>2860</v>
      </c>
      <c r="C162" s="3208">
        <v>0.1</v>
      </c>
      <c r="D162" s="3208">
        <v>0.1</v>
      </c>
      <c r="E162" s="3208">
        <v>0.1</v>
      </c>
      <c r="F162" s="3208">
        <v>0.121</v>
      </c>
      <c r="G162" s="3209">
        <v>0.105</v>
      </c>
    </row>
    <row r="163" spans="1:7">
      <c r="A163" s="3218" t="s">
        <v>1151</v>
      </c>
      <c r="B163" s="3207" t="s">
        <v>2861</v>
      </c>
      <c r="C163" s="3208">
        <v>0.1</v>
      </c>
      <c r="D163" s="3208">
        <v>0.1</v>
      </c>
      <c r="E163" s="3208">
        <v>0.1</v>
      </c>
      <c r="F163" s="3208">
        <v>0.1</v>
      </c>
      <c r="G163" s="3209">
        <v>0.1</v>
      </c>
    </row>
    <row r="164" spans="1:7">
      <c r="A164" s="3218" t="s">
        <v>1151</v>
      </c>
      <c r="B164" s="3207" t="s">
        <v>2862</v>
      </c>
      <c r="C164" s="3224"/>
      <c r="D164" s="3224"/>
      <c r="E164" s="3224"/>
      <c r="F164" s="3208">
        <v>0.1</v>
      </c>
      <c r="G164" s="3220"/>
    </row>
    <row r="165" spans="1:7">
      <c r="A165" s="3218" t="s">
        <v>1151</v>
      </c>
      <c r="B165" s="3207" t="s">
        <v>3052</v>
      </c>
      <c r="C165" s="3208">
        <v>0.126</v>
      </c>
      <c r="D165" s="3208">
        <v>0.126</v>
      </c>
      <c r="E165" s="3208">
        <v>0.11899999999999999</v>
      </c>
      <c r="F165" s="3208">
        <v>0.13</v>
      </c>
      <c r="G165" s="3209">
        <v>0.128</v>
      </c>
    </row>
    <row r="166" spans="1:7">
      <c r="A166" s="3218" t="s">
        <v>1151</v>
      </c>
      <c r="B166" s="3207" t="s">
        <v>2864</v>
      </c>
      <c r="C166" s="3208">
        <v>0.129</v>
      </c>
      <c r="D166" s="3208">
        <v>0.129</v>
      </c>
      <c r="E166" s="3208">
        <v>0.123</v>
      </c>
      <c r="F166" s="3208">
        <v>0.128</v>
      </c>
      <c r="G166" s="3209">
        <v>0.13</v>
      </c>
    </row>
    <row r="167" spans="1:7">
      <c r="A167" s="3218" t="s">
        <v>1151</v>
      </c>
      <c r="B167" s="3207" t="s">
        <v>2865</v>
      </c>
      <c r="C167" s="3208">
        <v>0.125</v>
      </c>
      <c r="D167" s="3208">
        <v>0.125</v>
      </c>
      <c r="E167" s="3208">
        <v>0.11700000000000001</v>
      </c>
      <c r="F167" s="3208">
        <v>0.13</v>
      </c>
      <c r="G167" s="3209">
        <v>0.126</v>
      </c>
    </row>
    <row r="168" spans="1:7">
      <c r="A168" s="3218" t="s">
        <v>1151</v>
      </c>
      <c r="B168" s="3207" t="s">
        <v>2866</v>
      </c>
      <c r="C168" s="3208">
        <v>0.128</v>
      </c>
      <c r="D168" s="3208">
        <v>0.128</v>
      </c>
      <c r="E168" s="3208">
        <v>0.123</v>
      </c>
      <c r="F168" s="3219"/>
      <c r="G168" s="3209">
        <v>0.13</v>
      </c>
    </row>
    <row r="169" spans="1:7">
      <c r="A169" s="3218" t="s">
        <v>1151</v>
      </c>
      <c r="B169" s="3207" t="s">
        <v>3053</v>
      </c>
      <c r="C169" s="3224"/>
      <c r="D169" s="3224"/>
      <c r="E169" s="3224"/>
      <c r="F169" s="3208">
        <v>0.05</v>
      </c>
      <c r="G169" s="3220"/>
    </row>
    <row r="170" spans="1:7">
      <c r="A170" s="3218" t="s">
        <v>1151</v>
      </c>
      <c r="B170" s="3207" t="s">
        <v>3054</v>
      </c>
      <c r="C170" s="3224"/>
      <c r="D170" s="3224"/>
      <c r="E170" s="3224"/>
      <c r="F170" s="3208">
        <v>0.05</v>
      </c>
      <c r="G170" s="3220"/>
    </row>
    <row r="171" spans="1:7">
      <c r="A171" s="3218" t="s">
        <v>1151</v>
      </c>
      <c r="B171" s="3207" t="s">
        <v>3055</v>
      </c>
      <c r="C171" s="3224"/>
      <c r="D171" s="3224"/>
      <c r="E171" s="3224"/>
      <c r="F171" s="3208">
        <v>0.05</v>
      </c>
      <c r="G171" s="3225"/>
    </row>
    <row r="172" spans="1:7">
      <c r="A172" s="3218" t="s">
        <v>1151</v>
      </c>
      <c r="B172" s="3207" t="s">
        <v>3056</v>
      </c>
      <c r="C172" s="3224"/>
      <c r="D172" s="3224"/>
      <c r="E172" s="3224"/>
      <c r="F172" s="3208">
        <v>0.05</v>
      </c>
      <c r="G172" s="3225"/>
    </row>
    <row r="173" spans="1:7">
      <c r="A173" s="3218" t="s">
        <v>1151</v>
      </c>
      <c r="B173" s="3207" t="s">
        <v>3057</v>
      </c>
      <c r="C173" s="3224"/>
      <c r="D173" s="3224"/>
      <c r="E173" s="3224"/>
      <c r="F173" s="3208">
        <v>0.05</v>
      </c>
      <c r="G173" s="3220"/>
    </row>
    <row r="174" spans="1:7">
      <c r="A174" s="3218" t="s">
        <v>1151</v>
      </c>
      <c r="B174" s="3207" t="s">
        <v>3058</v>
      </c>
      <c r="C174" s="3224"/>
      <c r="D174" s="3224"/>
      <c r="E174" s="3224"/>
      <c r="F174" s="3208">
        <v>0.05</v>
      </c>
      <c r="G174" s="3220"/>
    </row>
    <row r="175" spans="1:7">
      <c r="A175" s="3218" t="s">
        <v>1151</v>
      </c>
      <c r="B175" s="3207" t="s">
        <v>3059</v>
      </c>
      <c r="C175" s="3224"/>
      <c r="D175" s="3224"/>
      <c r="E175" s="3224"/>
      <c r="F175" s="3208">
        <v>0.05</v>
      </c>
      <c r="G175" s="3220"/>
    </row>
    <row r="176" spans="1:7">
      <c r="A176" s="3218" t="s">
        <v>1151</v>
      </c>
      <c r="B176" s="3207" t="s">
        <v>3060</v>
      </c>
      <c r="C176" s="3224"/>
      <c r="D176" s="3224"/>
      <c r="E176" s="3224"/>
      <c r="F176" s="3208">
        <v>0.05</v>
      </c>
      <c r="G176" s="3220"/>
    </row>
    <row r="177" spans="1:7">
      <c r="A177" s="3218" t="s">
        <v>1151</v>
      </c>
      <c r="B177" s="3207" t="s">
        <v>3061</v>
      </c>
      <c r="C177" s="3219"/>
      <c r="D177" s="3219"/>
      <c r="E177" s="3219"/>
      <c r="F177" s="3208">
        <v>0.05</v>
      </c>
      <c r="G177" s="3225"/>
    </row>
    <row r="178" spans="1:7">
      <c r="A178" s="3218" t="s">
        <v>1151</v>
      </c>
      <c r="B178" s="3207" t="s">
        <v>3062</v>
      </c>
      <c r="C178" s="3219"/>
      <c r="D178" s="3219"/>
      <c r="E178" s="3219"/>
      <c r="F178" s="3208">
        <v>0.05</v>
      </c>
      <c r="G178" s="3225"/>
    </row>
    <row r="179" spans="1:7">
      <c r="A179" s="3218" t="s">
        <v>1151</v>
      </c>
      <c r="B179" s="3207" t="s">
        <v>3063</v>
      </c>
      <c r="C179" s="3219"/>
      <c r="D179" s="3219"/>
      <c r="E179" s="3219"/>
      <c r="F179" s="3208">
        <v>0.05</v>
      </c>
      <c r="G179" s="3225"/>
    </row>
    <row r="180" spans="1:7">
      <c r="A180" s="3218" t="s">
        <v>1151</v>
      </c>
      <c r="B180" s="3207" t="s">
        <v>3064</v>
      </c>
      <c r="C180" s="3219"/>
      <c r="D180" s="3219"/>
      <c r="E180" s="3219"/>
      <c r="F180" s="3208">
        <v>0.05</v>
      </c>
      <c r="G180" s="3225"/>
    </row>
    <row r="181" spans="1:7">
      <c r="A181" s="3218" t="s">
        <v>1151</v>
      </c>
      <c r="B181" s="3207" t="s">
        <v>3065</v>
      </c>
      <c r="C181" s="3219"/>
      <c r="D181" s="3219"/>
      <c r="E181" s="3219"/>
      <c r="F181" s="3208">
        <v>0.05</v>
      </c>
      <c r="G181" s="3225"/>
    </row>
    <row r="182" spans="1:7">
      <c r="A182" s="3218" t="s">
        <v>1151</v>
      </c>
      <c r="B182" s="3207" t="s">
        <v>3066</v>
      </c>
      <c r="C182" s="3219"/>
      <c r="D182" s="3219"/>
      <c r="E182" s="3219"/>
      <c r="F182" s="3208">
        <v>0.05</v>
      </c>
      <c r="G182" s="3225"/>
    </row>
    <row r="183" spans="1:7">
      <c r="A183" s="3218" t="s">
        <v>1151</v>
      </c>
      <c r="B183" s="3207" t="s">
        <v>3067</v>
      </c>
      <c r="C183" s="3219"/>
      <c r="D183" s="3219"/>
      <c r="E183" s="3219"/>
      <c r="F183" s="3208">
        <v>0.05</v>
      </c>
      <c r="G183" s="3225"/>
    </row>
    <row r="184" spans="1:7">
      <c r="A184" s="3218" t="s">
        <v>1151</v>
      </c>
      <c r="B184" s="3207" t="s">
        <v>3068</v>
      </c>
      <c r="C184" s="3219"/>
      <c r="D184" s="3219"/>
      <c r="E184" s="3219"/>
      <c r="F184" s="3208">
        <v>0.05</v>
      </c>
      <c r="G184" s="3225"/>
    </row>
    <row r="185" spans="1:7">
      <c r="A185" s="3218" t="s">
        <v>1151</v>
      </c>
      <c r="B185" s="3207" t="s">
        <v>3069</v>
      </c>
      <c r="C185" s="3219"/>
      <c r="D185" s="3219"/>
      <c r="E185" s="3219"/>
      <c r="F185" s="3208">
        <v>0.05</v>
      </c>
      <c r="G185" s="3225"/>
    </row>
    <row r="186" spans="1:7">
      <c r="A186" s="3218" t="s">
        <v>1151</v>
      </c>
      <c r="B186" s="3207" t="s">
        <v>3070</v>
      </c>
      <c r="C186" s="3219"/>
      <c r="D186" s="3219"/>
      <c r="E186" s="3219"/>
      <c r="F186" s="3208">
        <v>0.05</v>
      </c>
      <c r="G186" s="3225"/>
    </row>
    <row r="187" spans="1:7">
      <c r="A187" s="3218" t="s">
        <v>1151</v>
      </c>
      <c r="B187" s="3207" t="s">
        <v>3071</v>
      </c>
      <c r="C187" s="3219"/>
      <c r="D187" s="3219"/>
      <c r="E187" s="3219"/>
      <c r="F187" s="3208">
        <v>0.05</v>
      </c>
      <c r="G187" s="3225"/>
    </row>
    <row r="188" spans="1:7">
      <c r="A188" s="3218" t="s">
        <v>1151</v>
      </c>
      <c r="B188" s="3207" t="s">
        <v>3072</v>
      </c>
      <c r="C188" s="3219"/>
      <c r="D188" s="3219"/>
      <c r="E188" s="3219"/>
      <c r="F188" s="3208">
        <v>0.05</v>
      </c>
      <c r="G188" s="3225"/>
    </row>
    <row r="189" spans="1:7" ht="14.25" thickBot="1">
      <c r="A189" s="3221" t="s">
        <v>1151</v>
      </c>
      <c r="B189" s="3211" t="s">
        <v>3073</v>
      </c>
      <c r="C189" s="3213"/>
      <c r="D189" s="3213"/>
      <c r="E189" s="3213"/>
      <c r="F189" s="3212">
        <v>0.05</v>
      </c>
      <c r="G189" s="3226"/>
    </row>
    <row r="190" spans="1:7">
      <c r="A190" s="3217" t="s">
        <v>1152</v>
      </c>
      <c r="B190" s="3203" t="s">
        <v>3074</v>
      </c>
      <c r="C190" s="3204">
        <v>0.124</v>
      </c>
      <c r="D190" s="3204">
        <v>0.124</v>
      </c>
      <c r="E190" s="3204">
        <v>0.129</v>
      </c>
      <c r="F190" s="3204">
        <v>0.13</v>
      </c>
      <c r="G190" s="3205">
        <v>0.127</v>
      </c>
    </row>
    <row r="191" spans="1:7">
      <c r="A191" s="3218" t="s">
        <v>1152</v>
      </c>
      <c r="B191" s="3207" t="s">
        <v>976</v>
      </c>
      <c r="C191" s="3208">
        <v>0.13</v>
      </c>
      <c r="D191" s="3208">
        <v>0.13</v>
      </c>
      <c r="E191" s="3208">
        <v>0.13</v>
      </c>
      <c r="F191" s="3208">
        <v>0.13</v>
      </c>
      <c r="G191" s="3209">
        <v>0.13</v>
      </c>
    </row>
    <row r="192" spans="1:7">
      <c r="A192" s="3218" t="s">
        <v>1152</v>
      </c>
      <c r="B192" s="3207" t="s">
        <v>986</v>
      </c>
      <c r="C192" s="3208">
        <v>0.13</v>
      </c>
      <c r="D192" s="3208">
        <v>0.13</v>
      </c>
      <c r="E192" s="3208">
        <v>0.13</v>
      </c>
      <c r="F192" s="3208">
        <v>0.13</v>
      </c>
      <c r="G192" s="3209">
        <v>0.13</v>
      </c>
    </row>
    <row r="193" spans="1:7">
      <c r="A193" s="3218" t="s">
        <v>1152</v>
      </c>
      <c r="B193" s="3207" t="s">
        <v>995</v>
      </c>
      <c r="C193" s="3208">
        <v>0.13</v>
      </c>
      <c r="D193" s="3208">
        <v>0.13</v>
      </c>
      <c r="E193" s="3208">
        <v>0.13</v>
      </c>
      <c r="F193" s="3208">
        <v>0.13</v>
      </c>
      <c r="G193" s="3209">
        <v>0.13</v>
      </c>
    </row>
    <row r="194" spans="1:7">
      <c r="A194" s="3218" t="s">
        <v>1152</v>
      </c>
      <c r="B194" s="3207" t="s">
        <v>1005</v>
      </c>
      <c r="C194" s="3208">
        <v>0.123</v>
      </c>
      <c r="D194" s="3208">
        <v>0.123</v>
      </c>
      <c r="E194" s="3208">
        <v>0.128</v>
      </c>
      <c r="F194" s="3208">
        <v>0.13</v>
      </c>
      <c r="G194" s="3209">
        <v>0.126</v>
      </c>
    </row>
    <row r="195" spans="1:7">
      <c r="A195" s="3218" t="s">
        <v>1152</v>
      </c>
      <c r="B195" s="3207" t="s">
        <v>1012</v>
      </c>
      <c r="C195" s="3208">
        <v>0.127</v>
      </c>
      <c r="D195" s="3208">
        <v>0.127</v>
      </c>
      <c r="E195" s="3208">
        <v>0.121</v>
      </c>
      <c r="F195" s="3208">
        <v>0.129</v>
      </c>
      <c r="G195" s="3209">
        <v>0.129</v>
      </c>
    </row>
    <row r="196" spans="1:7">
      <c r="A196" s="3218" t="s">
        <v>1152</v>
      </c>
      <c r="B196" s="3207" t="s">
        <v>1018</v>
      </c>
      <c r="C196" s="3208">
        <v>0.127</v>
      </c>
      <c r="D196" s="3208">
        <v>0.128</v>
      </c>
      <c r="E196" s="3208">
        <v>0.122</v>
      </c>
      <c r="F196" s="3208">
        <v>0.13</v>
      </c>
      <c r="G196" s="3209">
        <v>0.129</v>
      </c>
    </row>
    <row r="197" spans="1:7">
      <c r="A197" s="3218" t="s">
        <v>1152</v>
      </c>
      <c r="B197" s="3207" t="s">
        <v>1025</v>
      </c>
      <c r="C197" s="3208">
        <v>0.126</v>
      </c>
      <c r="D197" s="3208">
        <v>0.126</v>
      </c>
      <c r="E197" s="3208">
        <v>0.11899999999999999</v>
      </c>
      <c r="F197" s="3208">
        <v>0.13</v>
      </c>
      <c r="G197" s="3209">
        <v>0.128</v>
      </c>
    </row>
    <row r="198" spans="1:7">
      <c r="A198" s="3218" t="s">
        <v>1152</v>
      </c>
      <c r="B198" s="3207" t="s">
        <v>1035</v>
      </c>
      <c r="C198" s="3208">
        <v>0.13</v>
      </c>
      <c r="D198" s="3208">
        <v>0.13</v>
      </c>
      <c r="E198" s="3208">
        <v>0.126</v>
      </c>
      <c r="F198" s="3224"/>
      <c r="G198" s="3209">
        <v>0.13</v>
      </c>
    </row>
    <row r="199" spans="1:7">
      <c r="A199" s="3218" t="s">
        <v>1152</v>
      </c>
      <c r="B199" s="3207" t="s">
        <v>3075</v>
      </c>
      <c r="C199" s="3208">
        <v>0.13</v>
      </c>
      <c r="D199" s="3208">
        <v>0.13</v>
      </c>
      <c r="E199" s="3208">
        <v>0.13</v>
      </c>
      <c r="F199" s="3208">
        <v>0.13</v>
      </c>
      <c r="G199" s="3209">
        <v>0.13</v>
      </c>
    </row>
    <row r="200" spans="1:7">
      <c r="A200" s="3218" t="s">
        <v>1152</v>
      </c>
      <c r="B200" s="3207" t="s">
        <v>2890</v>
      </c>
      <c r="C200" s="3224"/>
      <c r="D200" s="3224"/>
      <c r="E200" s="3224"/>
      <c r="F200" s="3208">
        <v>0.13</v>
      </c>
      <c r="G200" s="3220"/>
    </row>
    <row r="201" spans="1:7">
      <c r="A201" s="3218" t="s">
        <v>1152</v>
      </c>
      <c r="B201" s="3207" t="s">
        <v>3076</v>
      </c>
      <c r="C201" s="3208">
        <v>0.13</v>
      </c>
      <c r="D201" s="3208">
        <v>0.13</v>
      </c>
      <c r="E201" s="3208">
        <v>0.13</v>
      </c>
      <c r="F201" s="3208">
        <v>0.129</v>
      </c>
      <c r="G201" s="3209">
        <v>0.13</v>
      </c>
    </row>
    <row r="202" spans="1:7">
      <c r="A202" s="3218" t="s">
        <v>1152</v>
      </c>
      <c r="B202" s="3207" t="s">
        <v>1086</v>
      </c>
      <c r="C202" s="3208">
        <v>0.13</v>
      </c>
      <c r="D202" s="3208">
        <v>0.13</v>
      </c>
      <c r="E202" s="3208">
        <v>0.13</v>
      </c>
      <c r="F202" s="3208">
        <v>0.13</v>
      </c>
      <c r="G202" s="3209">
        <v>0.13</v>
      </c>
    </row>
    <row r="203" spans="1:7">
      <c r="A203" s="3218" t="s">
        <v>1152</v>
      </c>
      <c r="B203" s="3207" t="s">
        <v>3077</v>
      </c>
      <c r="C203" s="3208">
        <v>0.129</v>
      </c>
      <c r="D203" s="3208">
        <v>0.129</v>
      </c>
      <c r="E203" s="3208">
        <v>0.13</v>
      </c>
      <c r="F203" s="3208">
        <v>0.13</v>
      </c>
      <c r="G203" s="3209">
        <v>0.13</v>
      </c>
    </row>
    <row r="204" spans="1:7">
      <c r="A204" s="3218" t="s">
        <v>1152</v>
      </c>
      <c r="B204" s="3207" t="s">
        <v>2893</v>
      </c>
      <c r="C204" s="3208">
        <v>0.129</v>
      </c>
      <c r="D204" s="3208">
        <v>0.129</v>
      </c>
      <c r="E204" s="3208">
        <v>0.123</v>
      </c>
      <c r="F204" s="3208">
        <v>0.13</v>
      </c>
      <c r="G204" s="3209">
        <v>0.13</v>
      </c>
    </row>
    <row r="205" spans="1:7">
      <c r="A205" s="3218" t="s">
        <v>1152</v>
      </c>
      <c r="B205" s="3207" t="s">
        <v>2894</v>
      </c>
      <c r="C205" s="3208">
        <v>0.13</v>
      </c>
      <c r="D205" s="3208">
        <v>0.13</v>
      </c>
      <c r="E205" s="3208">
        <v>0.13</v>
      </c>
      <c r="F205" s="3208">
        <v>0.13</v>
      </c>
      <c r="G205" s="3209">
        <v>0.13</v>
      </c>
    </row>
    <row r="206" spans="1:7">
      <c r="A206" s="3218" t="s">
        <v>1152</v>
      </c>
      <c r="B206" s="3207" t="s">
        <v>2895</v>
      </c>
      <c r="C206" s="3208">
        <v>0.13</v>
      </c>
      <c r="D206" s="3208">
        <v>0.13</v>
      </c>
      <c r="E206" s="3208">
        <v>0.13</v>
      </c>
      <c r="F206" s="3208">
        <v>0.128</v>
      </c>
      <c r="G206" s="3209">
        <v>0.13</v>
      </c>
    </row>
    <row r="207" spans="1:7">
      <c r="A207" s="3218" t="s">
        <v>1152</v>
      </c>
      <c r="B207" s="3207" t="s">
        <v>2896</v>
      </c>
      <c r="C207" s="3208">
        <v>0.13</v>
      </c>
      <c r="D207" s="3208">
        <v>0.13</v>
      </c>
      <c r="E207" s="3208">
        <v>0.13</v>
      </c>
      <c r="F207" s="3208">
        <v>0.13</v>
      </c>
      <c r="G207" s="3209">
        <v>0.13</v>
      </c>
    </row>
    <row r="208" spans="1:7">
      <c r="A208" s="3218" t="s">
        <v>1152</v>
      </c>
      <c r="B208" s="3207" t="s">
        <v>3078</v>
      </c>
      <c r="C208" s="3208">
        <v>0.13</v>
      </c>
      <c r="D208" s="3208">
        <v>0.13</v>
      </c>
      <c r="E208" s="3208">
        <v>0.13</v>
      </c>
      <c r="F208" s="3208">
        <v>0.13</v>
      </c>
      <c r="G208" s="3209">
        <v>0.13</v>
      </c>
    </row>
    <row r="209" spans="1:7">
      <c r="A209" s="3218" t="s">
        <v>1152</v>
      </c>
      <c r="B209" s="3207" t="s">
        <v>1110</v>
      </c>
      <c r="C209" s="3208">
        <v>0.13</v>
      </c>
      <c r="D209" s="3208">
        <v>0.13</v>
      </c>
      <c r="E209" s="3208">
        <v>0.13</v>
      </c>
      <c r="F209" s="3208">
        <v>0.13</v>
      </c>
      <c r="G209" s="3209">
        <v>0.13</v>
      </c>
    </row>
    <row r="210" spans="1:7">
      <c r="A210" s="3218" t="s">
        <v>1152</v>
      </c>
      <c r="B210" s="3207" t="s">
        <v>2898</v>
      </c>
      <c r="C210" s="3208">
        <v>0.121</v>
      </c>
      <c r="D210" s="3208">
        <v>0.121</v>
      </c>
      <c r="E210" s="3208">
        <v>0.125</v>
      </c>
      <c r="F210" s="3208">
        <v>0.13</v>
      </c>
      <c r="G210" s="3209">
        <v>0.123</v>
      </c>
    </row>
    <row r="211" spans="1:7">
      <c r="A211" s="3218" t="s">
        <v>1152</v>
      </c>
      <c r="B211" s="3207" t="s">
        <v>3079</v>
      </c>
      <c r="C211" s="3208">
        <v>0.123</v>
      </c>
      <c r="D211" s="3208">
        <v>0.123</v>
      </c>
      <c r="E211" s="3208">
        <v>0.127</v>
      </c>
      <c r="F211" s="3208">
        <v>0.115</v>
      </c>
      <c r="G211" s="3209">
        <v>0.126</v>
      </c>
    </row>
    <row r="212" spans="1:7">
      <c r="A212" s="3218" t="s">
        <v>1152</v>
      </c>
      <c r="B212" s="3207" t="s">
        <v>1132</v>
      </c>
      <c r="C212" s="3208">
        <v>0.126</v>
      </c>
      <c r="D212" s="3208">
        <v>0.126</v>
      </c>
      <c r="E212" s="3208">
        <v>0.13</v>
      </c>
      <c r="F212" s="3208">
        <v>0.13</v>
      </c>
      <c r="G212" s="3209">
        <v>0.129</v>
      </c>
    </row>
    <row r="213" spans="1:7">
      <c r="A213" s="3218" t="s">
        <v>1152</v>
      </c>
      <c r="B213" s="3207" t="s">
        <v>1135</v>
      </c>
      <c r="C213" s="3208">
        <v>0.129</v>
      </c>
      <c r="D213" s="3208">
        <v>0.13</v>
      </c>
      <c r="E213" s="3208">
        <v>0.127</v>
      </c>
      <c r="F213" s="3208">
        <v>0.13</v>
      </c>
      <c r="G213" s="3209">
        <v>0.13</v>
      </c>
    </row>
    <row r="214" spans="1:7">
      <c r="A214" s="3218" t="s">
        <v>1152</v>
      </c>
      <c r="B214" s="3207" t="s">
        <v>3080</v>
      </c>
      <c r="C214" s="3208">
        <v>0.128</v>
      </c>
      <c r="D214" s="3208">
        <v>0.128</v>
      </c>
      <c r="E214" s="3208">
        <v>0.13</v>
      </c>
      <c r="F214" s="3208">
        <v>0.13</v>
      </c>
      <c r="G214" s="3209">
        <v>0.13</v>
      </c>
    </row>
    <row r="215" spans="1:7">
      <c r="A215" s="3218" t="s">
        <v>1152</v>
      </c>
      <c r="B215" s="3207" t="s">
        <v>3081</v>
      </c>
      <c r="C215" s="3208">
        <v>0.13</v>
      </c>
      <c r="D215" s="3208">
        <v>0.13</v>
      </c>
      <c r="E215" s="3208">
        <v>0.13</v>
      </c>
      <c r="F215" s="3208">
        <v>0.129</v>
      </c>
      <c r="G215" s="3209">
        <v>0.13</v>
      </c>
    </row>
    <row r="216" spans="1:7">
      <c r="A216" s="3218" t="s">
        <v>1152</v>
      </c>
      <c r="B216" s="3207" t="s">
        <v>3082</v>
      </c>
      <c r="C216" s="3208">
        <v>0.13</v>
      </c>
      <c r="D216" s="3208">
        <v>0.13</v>
      </c>
      <c r="E216" s="3208">
        <v>0.13</v>
      </c>
      <c r="F216" s="3208">
        <v>0.13</v>
      </c>
      <c r="G216" s="3209">
        <v>0.13</v>
      </c>
    </row>
    <row r="217" spans="1:7">
      <c r="A217" s="3218" t="s">
        <v>1152</v>
      </c>
      <c r="B217" s="3207" t="s">
        <v>2902</v>
      </c>
      <c r="C217" s="3208">
        <v>0.129</v>
      </c>
      <c r="D217" s="3208">
        <v>0.129</v>
      </c>
      <c r="E217" s="3208">
        <v>0.13</v>
      </c>
      <c r="F217" s="3208">
        <v>0.13</v>
      </c>
      <c r="G217" s="3209">
        <v>0.13</v>
      </c>
    </row>
    <row r="218" spans="1:7">
      <c r="A218" s="3218" t="s">
        <v>1152</v>
      </c>
      <c r="B218" s="3207" t="s">
        <v>3083</v>
      </c>
      <c r="C218" s="3219"/>
      <c r="D218" s="3219"/>
      <c r="E218" s="3219"/>
      <c r="F218" s="3208">
        <v>0.05</v>
      </c>
      <c r="G218" s="3225"/>
    </row>
    <row r="219" spans="1:7">
      <c r="A219" s="3218" t="s">
        <v>1152</v>
      </c>
      <c r="B219" s="3207" t="s">
        <v>3084</v>
      </c>
      <c r="C219" s="3219"/>
      <c r="D219" s="3219"/>
      <c r="E219" s="3219"/>
      <c r="F219" s="3208">
        <v>0.05</v>
      </c>
      <c r="G219" s="3225"/>
    </row>
    <row r="220" spans="1:7">
      <c r="A220" s="3218" t="s">
        <v>1152</v>
      </c>
      <c r="B220" s="3207" t="s">
        <v>3085</v>
      </c>
      <c r="C220" s="3219"/>
      <c r="D220" s="3219"/>
      <c r="E220" s="3219"/>
      <c r="F220" s="3208">
        <v>0.05</v>
      </c>
      <c r="G220" s="3225"/>
    </row>
    <row r="221" spans="1:7">
      <c r="A221" s="3218" t="s">
        <v>1152</v>
      </c>
      <c r="B221" s="3207" t="s">
        <v>3086</v>
      </c>
      <c r="C221" s="3219"/>
      <c r="D221" s="3219"/>
      <c r="E221" s="3219"/>
      <c r="F221" s="3208">
        <v>0.05</v>
      </c>
      <c r="G221" s="3225"/>
    </row>
    <row r="222" spans="1:7">
      <c r="A222" s="3218" t="s">
        <v>1152</v>
      </c>
      <c r="B222" s="3207" t="s">
        <v>3087</v>
      </c>
      <c r="C222" s="3219"/>
      <c r="D222" s="3219"/>
      <c r="E222" s="3219"/>
      <c r="F222" s="3208">
        <v>0.05</v>
      </c>
      <c r="G222" s="3225"/>
    </row>
    <row r="223" spans="1:7">
      <c r="A223" s="3218" t="s">
        <v>1152</v>
      </c>
      <c r="B223" s="3207" t="s">
        <v>3088</v>
      </c>
      <c r="C223" s="3219"/>
      <c r="D223" s="3219"/>
      <c r="E223" s="3219"/>
      <c r="F223" s="3208">
        <v>0.05</v>
      </c>
      <c r="G223" s="3225"/>
    </row>
    <row r="224" spans="1:7">
      <c r="A224" s="3218" t="s">
        <v>1152</v>
      </c>
      <c r="B224" s="3207" t="s">
        <v>3089</v>
      </c>
      <c r="C224" s="3219"/>
      <c r="D224" s="3219"/>
      <c r="E224" s="3219"/>
      <c r="F224" s="3208">
        <v>0.05</v>
      </c>
      <c r="G224" s="3225"/>
    </row>
    <row r="225" spans="1:7">
      <c r="A225" s="3218" t="s">
        <v>1152</v>
      </c>
      <c r="B225" s="3207" t="s">
        <v>3090</v>
      </c>
      <c r="C225" s="3219"/>
      <c r="D225" s="3219"/>
      <c r="E225" s="3219"/>
      <c r="F225" s="3208">
        <v>0.05</v>
      </c>
      <c r="G225" s="3225"/>
    </row>
    <row r="226" spans="1:7">
      <c r="A226" s="3218" t="s">
        <v>1152</v>
      </c>
      <c r="B226" s="3207" t="s">
        <v>3091</v>
      </c>
      <c r="C226" s="3219"/>
      <c r="D226" s="3219"/>
      <c r="E226" s="3219"/>
      <c r="F226" s="3208">
        <v>0.05</v>
      </c>
      <c r="G226" s="3225"/>
    </row>
    <row r="227" spans="1:7">
      <c r="A227" s="3218" t="s">
        <v>1152</v>
      </c>
      <c r="B227" s="3207" t="s">
        <v>3092</v>
      </c>
      <c r="C227" s="3219"/>
      <c r="D227" s="3219"/>
      <c r="E227" s="3219"/>
      <c r="F227" s="3208">
        <v>0.05</v>
      </c>
      <c r="G227" s="3225"/>
    </row>
    <row r="228" spans="1:7">
      <c r="A228" s="3218" t="s">
        <v>1152</v>
      </c>
      <c r="B228" s="3207" t="s">
        <v>3093</v>
      </c>
      <c r="C228" s="3219"/>
      <c r="D228" s="3219"/>
      <c r="E228" s="3219"/>
      <c r="F228" s="3208">
        <v>0.05</v>
      </c>
      <c r="G228" s="3225"/>
    </row>
    <row r="229" spans="1:7">
      <c r="A229" s="3218" t="s">
        <v>1152</v>
      </c>
      <c r="B229" s="3207" t="s">
        <v>3094</v>
      </c>
      <c r="C229" s="3219"/>
      <c r="D229" s="3219"/>
      <c r="E229" s="3219"/>
      <c r="F229" s="3208">
        <v>0.05</v>
      </c>
      <c r="G229" s="3225"/>
    </row>
    <row r="230" spans="1:7">
      <c r="A230" s="3218" t="s">
        <v>1152</v>
      </c>
      <c r="B230" s="3207" t="s">
        <v>3095</v>
      </c>
      <c r="C230" s="3219"/>
      <c r="D230" s="3219"/>
      <c r="E230" s="3219"/>
      <c r="F230" s="3208">
        <v>0.05</v>
      </c>
      <c r="G230" s="3225"/>
    </row>
    <row r="231" spans="1:7">
      <c r="A231" s="3218" t="s">
        <v>1152</v>
      </c>
      <c r="B231" s="3207" t="s">
        <v>3096</v>
      </c>
      <c r="C231" s="3219"/>
      <c r="D231" s="3219"/>
      <c r="E231" s="3219"/>
      <c r="F231" s="3208">
        <v>0.05</v>
      </c>
      <c r="G231" s="3225"/>
    </row>
    <row r="232" spans="1:7">
      <c r="A232" s="3218" t="s">
        <v>1152</v>
      </c>
      <c r="B232" s="3207" t="s">
        <v>3097</v>
      </c>
      <c r="C232" s="3219"/>
      <c r="D232" s="3219"/>
      <c r="E232" s="3219"/>
      <c r="F232" s="3208">
        <v>0.05</v>
      </c>
      <c r="G232" s="3225"/>
    </row>
    <row r="233" spans="1:7" ht="14.25" thickBot="1">
      <c r="A233" s="3221" t="s">
        <v>1152</v>
      </c>
      <c r="B233" s="3211" t="s">
        <v>3098</v>
      </c>
      <c r="C233" s="3213"/>
      <c r="D233" s="3213"/>
      <c r="E233" s="3213"/>
      <c r="F233" s="3212">
        <v>0.05</v>
      </c>
      <c r="G233" s="3226"/>
    </row>
    <row r="234" spans="1:7">
      <c r="A234" s="3217" t="s">
        <v>1153</v>
      </c>
      <c r="B234" s="3203" t="s">
        <v>3099</v>
      </c>
      <c r="C234" s="3204">
        <v>0.13</v>
      </c>
      <c r="D234" s="3204">
        <v>0.128</v>
      </c>
      <c r="E234" s="3204">
        <v>0.14199999999999999</v>
      </c>
      <c r="F234" s="3204">
        <v>0.14699999999999999</v>
      </c>
      <c r="G234" s="3205">
        <v>0.14000000000000001</v>
      </c>
    </row>
    <row r="235" spans="1:7">
      <c r="A235" s="3218" t="s">
        <v>1153</v>
      </c>
      <c r="B235" s="3207" t="s">
        <v>977</v>
      </c>
      <c r="C235" s="3208">
        <v>0.13600000000000001</v>
      </c>
      <c r="D235" s="3208">
        <v>0.13800000000000001</v>
      </c>
      <c r="E235" s="3208">
        <v>0.14499999999999999</v>
      </c>
      <c r="F235" s="3208">
        <v>0.14299999999999999</v>
      </c>
      <c r="G235" s="3209">
        <v>0.14099999999999999</v>
      </c>
    </row>
    <row r="236" spans="1:7">
      <c r="A236" s="3218" t="s">
        <v>1153</v>
      </c>
      <c r="B236" s="3207" t="s">
        <v>987</v>
      </c>
      <c r="C236" s="3208">
        <v>0.15</v>
      </c>
      <c r="D236" s="3208">
        <v>0.15</v>
      </c>
      <c r="E236" s="3208">
        <v>0.15</v>
      </c>
      <c r="F236" s="3208">
        <v>0.15</v>
      </c>
      <c r="G236" s="3209">
        <v>0.15</v>
      </c>
    </row>
    <row r="237" spans="1:7">
      <c r="A237" s="3218" t="s">
        <v>1153</v>
      </c>
      <c r="B237" s="3207" t="s">
        <v>996</v>
      </c>
      <c r="C237" s="3208">
        <v>0.15</v>
      </c>
      <c r="D237" s="3208">
        <v>0.15</v>
      </c>
      <c r="E237" s="3208">
        <v>0.15</v>
      </c>
      <c r="F237" s="3208">
        <v>0.15</v>
      </c>
      <c r="G237" s="3209">
        <v>0.15</v>
      </c>
    </row>
    <row r="238" spans="1:7">
      <c r="A238" s="3218" t="s">
        <v>1153</v>
      </c>
      <c r="B238" s="3207" t="s">
        <v>2920</v>
      </c>
      <c r="C238" s="3208">
        <v>0.14899999999999999</v>
      </c>
      <c r="D238" s="3208">
        <v>0.14899999999999999</v>
      </c>
      <c r="E238" s="3208">
        <v>0.15</v>
      </c>
      <c r="F238" s="3208">
        <v>0.15</v>
      </c>
      <c r="G238" s="3209">
        <v>0.15</v>
      </c>
    </row>
    <row r="239" spans="1:7">
      <c r="A239" s="3218" t="s">
        <v>1153</v>
      </c>
      <c r="B239" s="3207" t="s">
        <v>3100</v>
      </c>
      <c r="C239" s="3208">
        <v>0.15</v>
      </c>
      <c r="D239" s="3208">
        <v>0.15</v>
      </c>
      <c r="E239" s="3208">
        <v>0.15</v>
      </c>
      <c r="F239" s="3208">
        <v>0.15</v>
      </c>
      <c r="G239" s="3209">
        <v>0.15</v>
      </c>
    </row>
    <row r="240" spans="1:7">
      <c r="A240" s="3218" t="s">
        <v>1153</v>
      </c>
      <c r="B240" s="3207" t="s">
        <v>3101</v>
      </c>
      <c r="C240" s="3208">
        <v>0.15</v>
      </c>
      <c r="D240" s="3208">
        <v>0.15</v>
      </c>
      <c r="E240" s="3208">
        <v>0.15</v>
      </c>
      <c r="F240" s="3208">
        <v>0.15</v>
      </c>
      <c r="G240" s="3209">
        <v>0.15</v>
      </c>
    </row>
    <row r="241" spans="1:7">
      <c r="A241" s="3218" t="s">
        <v>1153</v>
      </c>
      <c r="B241" s="3207" t="s">
        <v>3102</v>
      </c>
      <c r="C241" s="3208">
        <v>0.14099999999999999</v>
      </c>
      <c r="D241" s="3208">
        <v>0.14199999999999999</v>
      </c>
      <c r="E241" s="3208">
        <v>0.14899999999999999</v>
      </c>
      <c r="F241" s="3208">
        <v>0.15</v>
      </c>
      <c r="G241" s="3209">
        <v>0.14399999999999999</v>
      </c>
    </row>
    <row r="242" spans="1:7">
      <c r="A242" s="3218" t="s">
        <v>1153</v>
      </c>
      <c r="B242" s="3207" t="s">
        <v>1026</v>
      </c>
      <c r="C242" s="3208">
        <v>0.14099999999999999</v>
      </c>
      <c r="D242" s="3208">
        <v>0.14199999999999999</v>
      </c>
      <c r="E242" s="3208">
        <v>0.14799999999999999</v>
      </c>
      <c r="F242" s="3208">
        <v>0.127</v>
      </c>
      <c r="G242" s="3209">
        <v>0.14399999999999999</v>
      </c>
    </row>
    <row r="243" spans="1:7">
      <c r="A243" s="3218" t="s">
        <v>1153</v>
      </c>
      <c r="B243" s="3207" t="s">
        <v>1036</v>
      </c>
      <c r="C243" s="3208">
        <v>0.14699999999999999</v>
      </c>
      <c r="D243" s="3208">
        <v>0.14699999999999999</v>
      </c>
      <c r="E243" s="3208">
        <v>0.15</v>
      </c>
      <c r="F243" s="3208">
        <v>0.15</v>
      </c>
      <c r="G243" s="3209">
        <v>0.14899999999999999</v>
      </c>
    </row>
    <row r="244" spans="1:7">
      <c r="A244" s="3218" t="s">
        <v>1153</v>
      </c>
      <c r="B244" s="3207" t="s">
        <v>3103</v>
      </c>
      <c r="C244" s="3208">
        <v>0.15</v>
      </c>
      <c r="D244" s="3208">
        <v>0.15</v>
      </c>
      <c r="E244" s="3208">
        <v>0.15</v>
      </c>
      <c r="F244" s="3208">
        <v>0.15</v>
      </c>
      <c r="G244" s="3209">
        <v>0.15</v>
      </c>
    </row>
    <row r="245" spans="1:7">
      <c r="A245" s="3218" t="s">
        <v>1153</v>
      </c>
      <c r="B245" s="3207" t="s">
        <v>1051</v>
      </c>
      <c r="C245" s="3208">
        <v>0.14199999999999999</v>
      </c>
      <c r="D245" s="3208">
        <v>0.14199999999999999</v>
      </c>
      <c r="E245" s="3208">
        <v>0.15</v>
      </c>
      <c r="F245" s="3208">
        <v>0.15</v>
      </c>
      <c r="G245" s="3209">
        <v>0.14499999999999999</v>
      </c>
    </row>
    <row r="246" spans="1:7">
      <c r="A246" s="3218" t="s">
        <v>1153</v>
      </c>
      <c r="B246" s="3207" t="s">
        <v>1058</v>
      </c>
      <c r="C246" s="3208">
        <v>0.14199999999999999</v>
      </c>
      <c r="D246" s="3208">
        <v>0.14299999999999999</v>
      </c>
      <c r="E246" s="3208">
        <v>0.15</v>
      </c>
      <c r="F246" s="3208">
        <v>0.14199999999999999</v>
      </c>
      <c r="G246" s="3209">
        <v>0.14399999999999999</v>
      </c>
    </row>
    <row r="247" spans="1:7">
      <c r="A247" s="3218" t="s">
        <v>1153</v>
      </c>
      <c r="B247" s="3207" t="s">
        <v>3104</v>
      </c>
      <c r="C247" s="3208">
        <v>0.14899999999999999</v>
      </c>
      <c r="D247" s="3208">
        <v>0.14899999999999999</v>
      </c>
      <c r="E247" s="3208">
        <v>0.15</v>
      </c>
      <c r="F247" s="3208">
        <v>0.15</v>
      </c>
      <c r="G247" s="3209">
        <v>0.15</v>
      </c>
    </row>
    <row r="248" spans="1:7">
      <c r="A248" s="3218" t="s">
        <v>1153</v>
      </c>
      <c r="B248" s="3207" t="s">
        <v>1073</v>
      </c>
      <c r="C248" s="3208">
        <v>0.14399999999999999</v>
      </c>
      <c r="D248" s="3208">
        <v>0.14399999999999999</v>
      </c>
      <c r="E248" s="3208">
        <v>0.14899999999999999</v>
      </c>
      <c r="F248" s="3208">
        <v>0.14799999999999999</v>
      </c>
      <c r="G248" s="3209">
        <v>0.14599999999999999</v>
      </c>
    </row>
    <row r="249" spans="1:7">
      <c r="A249" s="3218" t="s">
        <v>1153</v>
      </c>
      <c r="B249" s="3207" t="s">
        <v>3105</v>
      </c>
      <c r="C249" s="3208">
        <v>0.14000000000000001</v>
      </c>
      <c r="D249" s="3208">
        <v>0.14000000000000001</v>
      </c>
      <c r="E249" s="3208">
        <v>0.14699999999999999</v>
      </c>
      <c r="F249" s="3208">
        <v>0.14899999999999999</v>
      </c>
      <c r="G249" s="3209">
        <v>0.14199999999999999</v>
      </c>
    </row>
    <row r="250" spans="1:7">
      <c r="A250" s="3218" t="s">
        <v>1153</v>
      </c>
      <c r="B250" s="3207" t="s">
        <v>1087</v>
      </c>
      <c r="C250" s="3208">
        <v>0.14399999999999999</v>
      </c>
      <c r="D250" s="3208">
        <v>0.14299999999999999</v>
      </c>
      <c r="E250" s="3208">
        <v>0.14899999999999999</v>
      </c>
      <c r="F250" s="3208">
        <v>0.15</v>
      </c>
      <c r="G250" s="3209">
        <v>0.14599999999999999</v>
      </c>
    </row>
    <row r="251" spans="1:7">
      <c r="A251" s="3218" t="s">
        <v>1153</v>
      </c>
      <c r="B251" s="3207" t="s">
        <v>1095</v>
      </c>
      <c r="C251" s="3224"/>
      <c r="D251" s="3219"/>
      <c r="E251" s="3219"/>
      <c r="F251" s="3208">
        <v>0.1</v>
      </c>
      <c r="G251" s="3225"/>
    </row>
    <row r="252" spans="1:7">
      <c r="A252" s="3218" t="s">
        <v>1153</v>
      </c>
      <c r="B252" s="3207" t="s">
        <v>3106</v>
      </c>
      <c r="C252" s="3208">
        <v>0.14399999999999999</v>
      </c>
      <c r="D252" s="3208">
        <v>0.14399999999999999</v>
      </c>
      <c r="E252" s="3208">
        <v>0.15</v>
      </c>
      <c r="F252" s="3208">
        <v>0.14899999999999999</v>
      </c>
      <c r="G252" s="3209">
        <v>0.14599999999999999</v>
      </c>
    </row>
    <row r="253" spans="1:7">
      <c r="A253" s="3218" t="s">
        <v>1153</v>
      </c>
      <c r="B253" s="3207" t="s">
        <v>1130</v>
      </c>
      <c r="C253" s="3208">
        <v>0.14199999999999999</v>
      </c>
      <c r="D253" s="3208">
        <v>0.14199999999999999</v>
      </c>
      <c r="E253" s="3208">
        <v>0.14599999999999999</v>
      </c>
      <c r="F253" s="3208">
        <v>0.14799999999999999</v>
      </c>
      <c r="G253" s="3209">
        <v>0.14499999999999999</v>
      </c>
    </row>
    <row r="254" spans="1:7">
      <c r="A254" s="3218" t="s">
        <v>1153</v>
      </c>
      <c r="B254" s="3207" t="s">
        <v>1133</v>
      </c>
      <c r="C254" s="3208">
        <v>0.15</v>
      </c>
      <c r="D254" s="3208">
        <v>0.15</v>
      </c>
      <c r="E254" s="3208">
        <v>0.15</v>
      </c>
      <c r="F254" s="3208">
        <v>0.15</v>
      </c>
      <c r="G254" s="3209">
        <v>0.15</v>
      </c>
    </row>
    <row r="255" spans="1:7">
      <c r="A255" s="3218" t="s">
        <v>1153</v>
      </c>
      <c r="B255" s="3207" t="s">
        <v>1136</v>
      </c>
      <c r="C255" s="3208">
        <v>0.14299999999999999</v>
      </c>
      <c r="D255" s="3208">
        <v>0.14299999999999999</v>
      </c>
      <c r="E255" s="3208">
        <v>0.15</v>
      </c>
      <c r="F255" s="3208">
        <v>0.15</v>
      </c>
      <c r="G255" s="3209">
        <v>0.14499999999999999</v>
      </c>
    </row>
    <row r="256" spans="1:7">
      <c r="A256" s="3218" t="s">
        <v>1153</v>
      </c>
      <c r="B256" s="3207" t="s">
        <v>3107</v>
      </c>
      <c r="C256" s="3208">
        <v>0.15</v>
      </c>
      <c r="D256" s="3208">
        <v>0.15</v>
      </c>
      <c r="E256" s="3208">
        <v>0.15</v>
      </c>
      <c r="F256" s="3208">
        <v>0.14599999999999999</v>
      </c>
      <c r="G256" s="3209">
        <v>0.15</v>
      </c>
    </row>
    <row r="257" spans="1:7">
      <c r="A257" s="3218" t="s">
        <v>1153</v>
      </c>
      <c r="B257" s="3207" t="s">
        <v>1122</v>
      </c>
      <c r="C257" s="3208">
        <v>0.14199999999999999</v>
      </c>
      <c r="D257" s="3208">
        <v>0.14299999999999999</v>
      </c>
      <c r="E257" s="3208">
        <v>0.14799999999999999</v>
      </c>
      <c r="F257" s="3208">
        <v>0.15</v>
      </c>
      <c r="G257" s="3209">
        <v>0.14499999999999999</v>
      </c>
    </row>
    <row r="258" spans="1:7">
      <c r="A258" s="3218" t="s">
        <v>1153</v>
      </c>
      <c r="B258" s="3207" t="s">
        <v>2929</v>
      </c>
      <c r="C258" s="3208">
        <v>0.14299999999999999</v>
      </c>
      <c r="D258" s="3208">
        <v>0.14299999999999999</v>
      </c>
      <c r="E258" s="3208">
        <v>0.15</v>
      </c>
      <c r="F258" s="3208">
        <v>0.14799999999999999</v>
      </c>
      <c r="G258" s="3209">
        <v>0.14599999999999999</v>
      </c>
    </row>
    <row r="259" spans="1:7">
      <c r="A259" s="3218" t="s">
        <v>1153</v>
      </c>
      <c r="B259" s="3207" t="s">
        <v>3108</v>
      </c>
      <c r="C259" s="3208">
        <v>0.14399999999999999</v>
      </c>
      <c r="D259" s="3208">
        <v>0.14399999999999999</v>
      </c>
      <c r="E259" s="3208">
        <v>0.14899999999999999</v>
      </c>
      <c r="F259" s="3208">
        <v>0.14699999999999999</v>
      </c>
      <c r="G259" s="3209">
        <v>0.14599999999999999</v>
      </c>
    </row>
    <row r="260" spans="1:7">
      <c r="A260" s="3218" t="s">
        <v>1153</v>
      </c>
      <c r="B260" s="3207" t="s">
        <v>3109</v>
      </c>
      <c r="C260" s="3208">
        <v>0.109</v>
      </c>
      <c r="D260" s="3208">
        <v>0.111</v>
      </c>
      <c r="E260" s="3208">
        <v>0.13100000000000001</v>
      </c>
      <c r="F260" s="3208">
        <v>0.126</v>
      </c>
      <c r="G260" s="3209">
        <v>0.11899999999999999</v>
      </c>
    </row>
    <row r="261" spans="1:7">
      <c r="A261" s="3218" t="s">
        <v>1153</v>
      </c>
      <c r="B261" s="3207" t="s">
        <v>3110</v>
      </c>
      <c r="C261" s="3208">
        <v>0.1</v>
      </c>
      <c r="D261" s="3208">
        <v>0.1</v>
      </c>
      <c r="E261" s="3208">
        <v>0.11799999999999999</v>
      </c>
      <c r="F261" s="3208">
        <v>0.108</v>
      </c>
      <c r="G261" s="3209">
        <v>0.107</v>
      </c>
    </row>
    <row r="262" spans="1:7">
      <c r="A262" s="3218" t="s">
        <v>1153</v>
      </c>
      <c r="B262" s="3207" t="s">
        <v>3111</v>
      </c>
      <c r="C262" s="3208">
        <v>0.1</v>
      </c>
      <c r="D262" s="3208">
        <v>0.1</v>
      </c>
      <c r="E262" s="3208">
        <v>0.1</v>
      </c>
      <c r="F262" s="3208">
        <v>0.14099999999999999</v>
      </c>
      <c r="G262" s="3209">
        <v>0.1</v>
      </c>
    </row>
    <row r="263" spans="1:7">
      <c r="A263" s="3218" t="s">
        <v>1153</v>
      </c>
      <c r="B263" s="3207" t="s">
        <v>3112</v>
      </c>
      <c r="C263" s="3208">
        <v>0.14799999999999999</v>
      </c>
      <c r="D263" s="3208">
        <v>0.14799999999999999</v>
      </c>
      <c r="E263" s="3208">
        <v>0.15</v>
      </c>
      <c r="F263" s="3208">
        <v>0.14699999999999999</v>
      </c>
      <c r="G263" s="3209">
        <v>0.15</v>
      </c>
    </row>
    <row r="264" spans="1:7">
      <c r="A264" s="3218" t="s">
        <v>1153</v>
      </c>
      <c r="B264" s="3207" t="s">
        <v>1146</v>
      </c>
      <c r="C264" s="3208">
        <v>0.14299999999999999</v>
      </c>
      <c r="D264" s="3208">
        <v>0.14299999999999999</v>
      </c>
      <c r="E264" s="3208">
        <v>0.15</v>
      </c>
      <c r="F264" s="3208">
        <v>0.14899999999999999</v>
      </c>
      <c r="G264" s="3209">
        <v>0.14599999999999999</v>
      </c>
    </row>
    <row r="265" spans="1:7">
      <c r="A265" s="3218" t="s">
        <v>1153</v>
      </c>
      <c r="B265" s="3207" t="s">
        <v>3113</v>
      </c>
      <c r="C265" s="3219"/>
      <c r="D265" s="3219"/>
      <c r="E265" s="3219"/>
      <c r="F265" s="3208">
        <v>0.05</v>
      </c>
      <c r="G265" s="3225"/>
    </row>
    <row r="266" spans="1:7">
      <c r="A266" s="3218" t="s">
        <v>1153</v>
      </c>
      <c r="B266" s="3207" t="s">
        <v>3114</v>
      </c>
      <c r="C266" s="3219"/>
      <c r="D266" s="3219"/>
      <c r="E266" s="3219"/>
      <c r="F266" s="3208">
        <v>0.05</v>
      </c>
      <c r="G266" s="3225"/>
    </row>
    <row r="267" spans="1:7">
      <c r="A267" s="3218" t="s">
        <v>1153</v>
      </c>
      <c r="B267" s="3207" t="s">
        <v>3115</v>
      </c>
      <c r="C267" s="3219"/>
      <c r="D267" s="3219"/>
      <c r="E267" s="3219"/>
      <c r="F267" s="3208">
        <v>0.05</v>
      </c>
      <c r="G267" s="3225"/>
    </row>
    <row r="268" spans="1:7">
      <c r="A268" s="3218" t="s">
        <v>1153</v>
      </c>
      <c r="B268" s="3207" t="s">
        <v>3116</v>
      </c>
      <c r="C268" s="3219"/>
      <c r="D268" s="3219"/>
      <c r="E268" s="3219"/>
      <c r="F268" s="3208">
        <v>0.05</v>
      </c>
      <c r="G268" s="3225"/>
    </row>
    <row r="269" spans="1:7">
      <c r="A269" s="3218" t="s">
        <v>1153</v>
      </c>
      <c r="B269" s="3207" t="s">
        <v>3117</v>
      </c>
      <c r="C269" s="3219"/>
      <c r="D269" s="3219"/>
      <c r="E269" s="3219"/>
      <c r="F269" s="3208">
        <v>0.05</v>
      </c>
      <c r="G269" s="3225"/>
    </row>
    <row r="270" spans="1:7">
      <c r="A270" s="3218" t="s">
        <v>1153</v>
      </c>
      <c r="B270" s="3207" t="s">
        <v>3118</v>
      </c>
      <c r="C270" s="3219"/>
      <c r="D270" s="3219"/>
      <c r="E270" s="3219"/>
      <c r="F270" s="3208">
        <v>0.05</v>
      </c>
      <c r="G270" s="3225"/>
    </row>
    <row r="271" spans="1:7">
      <c r="A271" s="3218" t="s">
        <v>1153</v>
      </c>
      <c r="B271" s="3207" t="s">
        <v>3119</v>
      </c>
      <c r="C271" s="3219"/>
      <c r="D271" s="3219"/>
      <c r="E271" s="3219"/>
      <c r="F271" s="3208">
        <v>0.05</v>
      </c>
      <c r="G271" s="3225"/>
    </row>
    <row r="272" spans="1:7">
      <c r="A272" s="3218" t="s">
        <v>1153</v>
      </c>
      <c r="B272" s="3207" t="s">
        <v>3120</v>
      </c>
      <c r="C272" s="3219"/>
      <c r="D272" s="3219"/>
      <c r="E272" s="3219"/>
      <c r="F272" s="3208">
        <v>0.05</v>
      </c>
      <c r="G272" s="3225"/>
    </row>
    <row r="273" spans="1:7">
      <c r="A273" s="3218" t="s">
        <v>1153</v>
      </c>
      <c r="B273" s="3207" t="s">
        <v>3121</v>
      </c>
      <c r="C273" s="3219"/>
      <c r="D273" s="3219"/>
      <c r="E273" s="3219"/>
      <c r="F273" s="3208">
        <v>0.05</v>
      </c>
      <c r="G273" s="3225"/>
    </row>
    <row r="274" spans="1:7">
      <c r="A274" s="3218" t="s">
        <v>1153</v>
      </c>
      <c r="B274" s="3207" t="s">
        <v>3122</v>
      </c>
      <c r="C274" s="3219"/>
      <c r="D274" s="3219"/>
      <c r="E274" s="3219"/>
      <c r="F274" s="3208">
        <v>0.05</v>
      </c>
      <c r="G274" s="3225"/>
    </row>
    <row r="275" spans="1:7">
      <c r="A275" s="3218" t="s">
        <v>1153</v>
      </c>
      <c r="B275" s="3207" t="s">
        <v>3123</v>
      </c>
      <c r="C275" s="3219"/>
      <c r="D275" s="3219"/>
      <c r="E275" s="3219"/>
      <c r="F275" s="3208">
        <v>0.05</v>
      </c>
      <c r="G275" s="3225"/>
    </row>
    <row r="276" spans="1:7" ht="14.25" thickBot="1">
      <c r="A276" s="3221" t="s">
        <v>1153</v>
      </c>
      <c r="B276" s="3211" t="s">
        <v>3124</v>
      </c>
      <c r="C276" s="3213"/>
      <c r="D276" s="3213"/>
      <c r="E276" s="3213"/>
      <c r="F276" s="3212">
        <v>0.05</v>
      </c>
      <c r="G276" s="3226"/>
    </row>
    <row r="277" spans="1:7">
      <c r="A277" s="3217" t="s">
        <v>1154</v>
      </c>
      <c r="B277" s="3203" t="s">
        <v>3125</v>
      </c>
      <c r="C277" s="3204">
        <v>0.15</v>
      </c>
      <c r="D277" s="3204">
        <v>0.15</v>
      </c>
      <c r="E277" s="3204">
        <v>0.15</v>
      </c>
      <c r="F277" s="3204">
        <v>0.15</v>
      </c>
      <c r="G277" s="3205">
        <v>0.15</v>
      </c>
    </row>
    <row r="278" spans="1:7">
      <c r="A278" s="3218" t="s">
        <v>1154</v>
      </c>
      <c r="B278" s="3207" t="s">
        <v>978</v>
      </c>
      <c r="C278" s="3208">
        <v>0.15</v>
      </c>
      <c r="D278" s="3208">
        <v>0.15</v>
      </c>
      <c r="E278" s="3208">
        <v>0.15</v>
      </c>
      <c r="F278" s="3208">
        <v>0.15</v>
      </c>
      <c r="G278" s="3209">
        <v>0.15</v>
      </c>
    </row>
    <row r="279" spans="1:7">
      <c r="A279" s="3218" t="s">
        <v>1154</v>
      </c>
      <c r="B279" s="3207" t="s">
        <v>3126</v>
      </c>
      <c r="C279" s="3208">
        <v>0.15</v>
      </c>
      <c r="D279" s="3208">
        <v>0.15</v>
      </c>
      <c r="E279" s="3208">
        <v>0.15</v>
      </c>
      <c r="F279" s="3208">
        <v>0.15</v>
      </c>
      <c r="G279" s="3209">
        <v>0.15</v>
      </c>
    </row>
    <row r="280" spans="1:7">
      <c r="A280" s="3218" t="s">
        <v>1154</v>
      </c>
      <c r="B280" s="3207" t="s">
        <v>3127</v>
      </c>
      <c r="C280" s="3208">
        <v>0.15</v>
      </c>
      <c r="D280" s="3208">
        <v>0.15</v>
      </c>
      <c r="E280" s="3208">
        <v>0.15</v>
      </c>
      <c r="F280" s="3208">
        <v>0.15</v>
      </c>
      <c r="G280" s="3209">
        <v>0.15</v>
      </c>
    </row>
    <row r="281" spans="1:7">
      <c r="A281" s="3218" t="s">
        <v>1154</v>
      </c>
      <c r="B281" s="3207" t="s">
        <v>3128</v>
      </c>
      <c r="C281" s="3208">
        <v>0.15</v>
      </c>
      <c r="D281" s="3208">
        <v>0.15</v>
      </c>
      <c r="E281" s="3208">
        <v>0.15</v>
      </c>
      <c r="F281" s="3208">
        <v>0.15</v>
      </c>
      <c r="G281" s="3209">
        <v>0.15</v>
      </c>
    </row>
    <row r="282" spans="1:7">
      <c r="A282" s="3218" t="s">
        <v>1154</v>
      </c>
      <c r="B282" s="3207" t="s">
        <v>3129</v>
      </c>
      <c r="C282" s="3208">
        <v>0.15</v>
      </c>
      <c r="D282" s="3208">
        <v>0.15</v>
      </c>
      <c r="E282" s="3208">
        <v>0.15</v>
      </c>
      <c r="F282" s="3208">
        <v>0.14499999999999999</v>
      </c>
      <c r="G282" s="3209">
        <v>0.15</v>
      </c>
    </row>
    <row r="283" spans="1:7">
      <c r="A283" s="3218" t="s">
        <v>1154</v>
      </c>
      <c r="B283" s="3207" t="s">
        <v>1019</v>
      </c>
      <c r="C283" s="3208">
        <v>0.15</v>
      </c>
      <c r="D283" s="3208">
        <v>0.15</v>
      </c>
      <c r="E283" s="3208">
        <v>0.15</v>
      </c>
      <c r="F283" s="3208">
        <v>0.14199999999999999</v>
      </c>
      <c r="G283" s="3209">
        <v>0.15</v>
      </c>
    </row>
    <row r="284" spans="1:7">
      <c r="A284" s="3218" t="s">
        <v>1154</v>
      </c>
      <c r="B284" s="3207" t="s">
        <v>1027</v>
      </c>
      <c r="C284" s="3208">
        <v>0.15</v>
      </c>
      <c r="D284" s="3208">
        <v>0.15</v>
      </c>
      <c r="E284" s="3208">
        <v>0.15</v>
      </c>
      <c r="F284" s="3208">
        <v>0.15</v>
      </c>
      <c r="G284" s="3209">
        <v>0.15</v>
      </c>
    </row>
    <row r="285" spans="1:7">
      <c r="A285" s="3218" t="s">
        <v>1154</v>
      </c>
      <c r="B285" s="3207" t="s">
        <v>1037</v>
      </c>
      <c r="C285" s="3208">
        <v>0.15</v>
      </c>
      <c r="D285" s="3208">
        <v>0.15</v>
      </c>
      <c r="E285" s="3208">
        <v>0.15</v>
      </c>
      <c r="F285" s="3208">
        <v>0.15</v>
      </c>
      <c r="G285" s="3209">
        <v>0.15</v>
      </c>
    </row>
    <row r="286" spans="1:7">
      <c r="A286" s="3218" t="s">
        <v>1154</v>
      </c>
      <c r="B286" s="3207" t="s">
        <v>1044</v>
      </c>
      <c r="C286" s="3208">
        <v>0.14499999999999999</v>
      </c>
      <c r="D286" s="3208">
        <v>0.14499999999999999</v>
      </c>
      <c r="E286" s="3208">
        <v>0.15</v>
      </c>
      <c r="F286" s="3208">
        <v>0.14099999999999999</v>
      </c>
      <c r="G286" s="3209">
        <v>0.14499999999999999</v>
      </c>
    </row>
    <row r="287" spans="1:7">
      <c r="A287" s="3218" t="s">
        <v>1154</v>
      </c>
      <c r="B287" s="3207" t="s">
        <v>3130</v>
      </c>
      <c r="C287" s="3208">
        <v>0.11</v>
      </c>
      <c r="D287" s="3208">
        <v>0.111</v>
      </c>
      <c r="E287" s="3208">
        <v>0.14099999999999999</v>
      </c>
      <c r="F287" s="3208">
        <v>0.11</v>
      </c>
      <c r="G287" s="3209">
        <v>0.12</v>
      </c>
    </row>
    <row r="288" spans="1:7">
      <c r="A288" s="3218" t="s">
        <v>1154</v>
      </c>
      <c r="B288" s="3207" t="s">
        <v>1065</v>
      </c>
      <c r="C288" s="3208">
        <v>0.14199999999999999</v>
      </c>
      <c r="D288" s="3208">
        <v>0.14299999999999999</v>
      </c>
      <c r="E288" s="3208">
        <v>0.15</v>
      </c>
      <c r="F288" s="3208">
        <v>0.14199999999999999</v>
      </c>
      <c r="G288" s="3209">
        <v>0.14399999999999999</v>
      </c>
    </row>
    <row r="289" spans="1:7">
      <c r="A289" s="3218" t="s">
        <v>1154</v>
      </c>
      <c r="B289" s="3207" t="s">
        <v>3131</v>
      </c>
      <c r="C289" s="3208">
        <v>0.14299999999999999</v>
      </c>
      <c r="D289" s="3208">
        <v>0.14299999999999999</v>
      </c>
      <c r="E289" s="3208">
        <v>0.14799999999999999</v>
      </c>
      <c r="F289" s="3208">
        <v>0.14399999999999999</v>
      </c>
      <c r="G289" s="3209">
        <v>0.14399999999999999</v>
      </c>
    </row>
    <row r="290" spans="1:7">
      <c r="A290" s="3218" t="s">
        <v>1154</v>
      </c>
      <c r="B290" s="3207" t="s">
        <v>1088</v>
      </c>
      <c r="C290" s="3208">
        <v>0.14799999999999999</v>
      </c>
      <c r="D290" s="3208">
        <v>0.14899999999999999</v>
      </c>
      <c r="E290" s="3208">
        <v>0.15</v>
      </c>
      <c r="F290" s="3208">
        <v>0.127</v>
      </c>
      <c r="G290" s="3209">
        <v>0.15</v>
      </c>
    </row>
    <row r="291" spans="1:7">
      <c r="A291" s="3218" t="s">
        <v>1154</v>
      </c>
      <c r="B291" s="3207" t="s">
        <v>1096</v>
      </c>
      <c r="C291" s="3208">
        <v>0.15</v>
      </c>
      <c r="D291" s="3208">
        <v>0.15</v>
      </c>
      <c r="E291" s="3208">
        <v>0.15</v>
      </c>
      <c r="F291" s="3208">
        <v>0.14899999999999999</v>
      </c>
      <c r="G291" s="3209">
        <v>0.15</v>
      </c>
    </row>
    <row r="292" spans="1:7">
      <c r="A292" s="3218" t="s">
        <v>1154</v>
      </c>
      <c r="B292" s="3207" t="s">
        <v>1102</v>
      </c>
      <c r="C292" s="3208">
        <v>0.15</v>
      </c>
      <c r="D292" s="3208">
        <v>0.15</v>
      </c>
      <c r="E292" s="3208">
        <v>0.15</v>
      </c>
      <c r="F292" s="3208">
        <v>0.14399999999999999</v>
      </c>
      <c r="G292" s="3209">
        <v>0.15</v>
      </c>
    </row>
    <row r="293" spans="1:7">
      <c r="A293" s="3218" t="s">
        <v>1154</v>
      </c>
      <c r="B293" s="3207" t="s">
        <v>2954</v>
      </c>
      <c r="C293" s="3208">
        <v>0.15</v>
      </c>
      <c r="D293" s="3208">
        <v>0.15</v>
      </c>
      <c r="E293" s="3208">
        <v>0.15</v>
      </c>
      <c r="F293" s="3208">
        <v>0.14499999999999999</v>
      </c>
      <c r="G293" s="3209">
        <v>0.15</v>
      </c>
    </row>
    <row r="294" spans="1:7">
      <c r="A294" s="3218" t="s">
        <v>1154</v>
      </c>
      <c r="B294" s="3207" t="s">
        <v>3132</v>
      </c>
      <c r="C294" s="3208">
        <v>0.15</v>
      </c>
      <c r="D294" s="3208">
        <v>0.15</v>
      </c>
      <c r="E294" s="3208">
        <v>0.15</v>
      </c>
      <c r="F294" s="3208">
        <v>0.14899999999999999</v>
      </c>
      <c r="G294" s="3209">
        <v>0.15</v>
      </c>
    </row>
    <row r="295" spans="1:7">
      <c r="A295" s="3218" t="s">
        <v>1154</v>
      </c>
      <c r="B295" s="3207" t="s">
        <v>1137</v>
      </c>
      <c r="C295" s="3208">
        <v>0.15</v>
      </c>
      <c r="D295" s="3208">
        <v>0.15</v>
      </c>
      <c r="E295" s="3208">
        <v>0.15</v>
      </c>
      <c r="F295" s="3208">
        <v>0.14799999999999999</v>
      </c>
      <c r="G295" s="3209">
        <v>0.15</v>
      </c>
    </row>
    <row r="296" spans="1:7">
      <c r="A296" s="3218" t="s">
        <v>1154</v>
      </c>
      <c r="B296" s="3207" t="s">
        <v>1140</v>
      </c>
      <c r="C296" s="3208">
        <v>0.15</v>
      </c>
      <c r="D296" s="3208">
        <v>0.15</v>
      </c>
      <c r="E296" s="3208">
        <v>0.15</v>
      </c>
      <c r="F296" s="3208">
        <v>0.14399999999999999</v>
      </c>
      <c r="G296" s="3209">
        <v>0.15</v>
      </c>
    </row>
    <row r="297" spans="1:7">
      <c r="A297" s="3218" t="s">
        <v>1154</v>
      </c>
      <c r="B297" s="3207" t="s">
        <v>1142</v>
      </c>
      <c r="C297" s="3208">
        <v>0.15</v>
      </c>
      <c r="D297" s="3208">
        <v>0.15</v>
      </c>
      <c r="E297" s="3208">
        <v>0.15</v>
      </c>
      <c r="F297" s="3208">
        <v>0.14499999999999999</v>
      </c>
      <c r="G297" s="3209">
        <v>0.15</v>
      </c>
    </row>
    <row r="298" spans="1:7">
      <c r="A298" s="3218" t="s">
        <v>1154</v>
      </c>
      <c r="B298" s="3207" t="s">
        <v>1145</v>
      </c>
      <c r="C298" s="3208">
        <v>0.15</v>
      </c>
      <c r="D298" s="3208">
        <v>0.15</v>
      </c>
      <c r="E298" s="3208">
        <v>0.15</v>
      </c>
      <c r="F298" s="3208">
        <v>0.15</v>
      </c>
      <c r="G298" s="3209">
        <v>0.15</v>
      </c>
    </row>
    <row r="299" spans="1:7">
      <c r="A299" s="3218" t="s">
        <v>1154</v>
      </c>
      <c r="B299" s="3227" t="s">
        <v>2956</v>
      </c>
      <c r="C299" s="3208">
        <v>0.15</v>
      </c>
      <c r="D299" s="3208">
        <v>0.15</v>
      </c>
      <c r="E299" s="3208">
        <v>0.15</v>
      </c>
      <c r="F299" s="3208">
        <v>0.14499999999999999</v>
      </c>
      <c r="G299" s="3209">
        <v>0.15</v>
      </c>
    </row>
    <row r="300" spans="1:7">
      <c r="A300" s="3218" t="s">
        <v>1154</v>
      </c>
      <c r="B300" s="3227" t="s">
        <v>1117</v>
      </c>
      <c r="C300" s="3208">
        <v>0.15</v>
      </c>
      <c r="D300" s="3208">
        <v>0.15</v>
      </c>
      <c r="E300" s="3208">
        <v>0.15</v>
      </c>
      <c r="F300" s="3208">
        <v>0.14599999999999999</v>
      </c>
      <c r="G300" s="3209">
        <v>0.15</v>
      </c>
    </row>
    <row r="301" spans="1:7">
      <c r="A301" s="3218" t="s">
        <v>1154</v>
      </c>
      <c r="B301" s="3227" t="s">
        <v>1123</v>
      </c>
      <c r="C301" s="3208">
        <v>0.126</v>
      </c>
      <c r="D301" s="3208">
        <v>0.124</v>
      </c>
      <c r="E301" s="3208">
        <v>0.14099999999999999</v>
      </c>
      <c r="F301" s="3208">
        <v>0.14399999999999999</v>
      </c>
      <c r="G301" s="3209">
        <v>0.13</v>
      </c>
    </row>
    <row r="302" spans="1:7">
      <c r="A302" s="3218" t="s">
        <v>1154</v>
      </c>
      <c r="B302" s="3207" t="s">
        <v>3133</v>
      </c>
      <c r="C302" s="3208">
        <v>0.15</v>
      </c>
      <c r="D302" s="3208">
        <v>0.15</v>
      </c>
      <c r="E302" s="3208">
        <v>0.15</v>
      </c>
      <c r="F302" s="3208">
        <v>0.14699999999999999</v>
      </c>
      <c r="G302" s="3209">
        <v>0.15</v>
      </c>
    </row>
    <row r="303" spans="1:7">
      <c r="A303" s="3218" t="s">
        <v>1154</v>
      </c>
      <c r="B303" s="3207" t="s">
        <v>2958</v>
      </c>
      <c r="C303" s="3208">
        <v>0.15</v>
      </c>
      <c r="D303" s="3208">
        <v>0.15</v>
      </c>
      <c r="E303" s="3208">
        <v>0.15</v>
      </c>
      <c r="F303" s="3208">
        <v>0.14199999999999999</v>
      </c>
      <c r="G303" s="3209">
        <v>0.15</v>
      </c>
    </row>
    <row r="304" spans="1:7">
      <c r="A304" s="3218" t="s">
        <v>1154</v>
      </c>
      <c r="B304" s="3207" t="s">
        <v>2959</v>
      </c>
      <c r="C304" s="3208">
        <v>0.15</v>
      </c>
      <c r="D304" s="3208">
        <v>0.15</v>
      </c>
      <c r="E304" s="3208">
        <v>0.15</v>
      </c>
      <c r="F304" s="3208">
        <v>0.14499999999999999</v>
      </c>
      <c r="G304" s="3209">
        <v>0.15</v>
      </c>
    </row>
    <row r="305" spans="1:7">
      <c r="A305" s="3218" t="s">
        <v>1154</v>
      </c>
      <c r="B305" s="3207" t="s">
        <v>2960</v>
      </c>
      <c r="C305" s="3208">
        <v>0.15</v>
      </c>
      <c r="D305" s="3208">
        <v>0.15</v>
      </c>
      <c r="E305" s="3208">
        <v>0.15</v>
      </c>
      <c r="F305" s="3208">
        <v>0.111</v>
      </c>
      <c r="G305" s="3209">
        <v>0.15</v>
      </c>
    </row>
    <row r="306" spans="1:7">
      <c r="A306" s="3218" t="s">
        <v>1154</v>
      </c>
      <c r="B306" s="3207" t="s">
        <v>3134</v>
      </c>
      <c r="C306" s="3208">
        <v>0.15</v>
      </c>
      <c r="D306" s="3208">
        <v>0.15</v>
      </c>
      <c r="E306" s="3208">
        <v>0.15</v>
      </c>
      <c r="F306" s="3208">
        <v>0.126</v>
      </c>
      <c r="G306" s="3209">
        <v>0.15</v>
      </c>
    </row>
    <row r="307" spans="1:7">
      <c r="A307" s="3218" t="s">
        <v>1154</v>
      </c>
      <c r="B307" s="3207" t="s">
        <v>2962</v>
      </c>
      <c r="C307" s="3208">
        <v>0.15</v>
      </c>
      <c r="D307" s="3208">
        <v>0.15</v>
      </c>
      <c r="E307" s="3208">
        <v>0.15</v>
      </c>
      <c r="F307" s="3208">
        <v>0.12</v>
      </c>
      <c r="G307" s="3209">
        <v>0.15</v>
      </c>
    </row>
    <row r="308" spans="1:7">
      <c r="A308" s="3218" t="s">
        <v>1154</v>
      </c>
      <c r="B308" s="3207" t="s">
        <v>3135</v>
      </c>
      <c r="C308" s="3208">
        <v>0.15</v>
      </c>
      <c r="D308" s="3208">
        <v>0.15</v>
      </c>
      <c r="E308" s="3208">
        <v>0.15</v>
      </c>
      <c r="F308" s="3208">
        <v>0.13</v>
      </c>
      <c r="G308" s="3209">
        <v>0.15</v>
      </c>
    </row>
    <row r="309" spans="1:7">
      <c r="A309" s="3218" t="s">
        <v>1154</v>
      </c>
      <c r="B309" s="3207" t="s">
        <v>3136</v>
      </c>
      <c r="C309" s="3208">
        <v>0.15</v>
      </c>
      <c r="D309" s="3208">
        <v>0.15</v>
      </c>
      <c r="E309" s="3208">
        <v>0.15</v>
      </c>
      <c r="F309" s="3208">
        <v>0.14099999999999999</v>
      </c>
      <c r="G309" s="3209">
        <v>0.15</v>
      </c>
    </row>
    <row r="310" spans="1:7">
      <c r="A310" s="3218" t="s">
        <v>1154</v>
      </c>
      <c r="B310" s="3207" t="s">
        <v>2965</v>
      </c>
      <c r="C310" s="3208">
        <v>0.15</v>
      </c>
      <c r="D310" s="3208">
        <v>0.15</v>
      </c>
      <c r="E310" s="3208">
        <v>0.15</v>
      </c>
      <c r="F310" s="3208">
        <v>0.15</v>
      </c>
      <c r="G310" s="3209">
        <v>0.15</v>
      </c>
    </row>
    <row r="311" spans="1:7">
      <c r="A311" s="3218" t="s">
        <v>1154</v>
      </c>
      <c r="B311" s="3207" t="s">
        <v>3137</v>
      </c>
      <c r="C311" s="3208">
        <v>0.13200000000000001</v>
      </c>
      <c r="D311" s="3208">
        <v>0.13300000000000001</v>
      </c>
      <c r="E311" s="3208">
        <v>0.14499999999999999</v>
      </c>
      <c r="F311" s="3208">
        <v>0.14199999999999999</v>
      </c>
      <c r="G311" s="3209">
        <v>0.14000000000000001</v>
      </c>
    </row>
    <row r="312" spans="1:7">
      <c r="A312" s="3218" t="s">
        <v>1154</v>
      </c>
      <c r="B312" s="3207" t="s">
        <v>2967</v>
      </c>
      <c r="C312" s="3208">
        <v>0.13800000000000001</v>
      </c>
      <c r="D312" s="3208">
        <v>0.14000000000000001</v>
      </c>
      <c r="E312" s="3208">
        <v>0.14599999999999999</v>
      </c>
      <c r="F312" s="3208">
        <v>0.14899999999999999</v>
      </c>
      <c r="G312" s="3209">
        <v>0.14199999999999999</v>
      </c>
    </row>
    <row r="313" spans="1:7">
      <c r="A313" s="3218" t="s">
        <v>1154</v>
      </c>
      <c r="B313" s="3207" t="s">
        <v>2968</v>
      </c>
      <c r="C313" s="3208">
        <v>0.125</v>
      </c>
      <c r="D313" s="3208">
        <v>0.127</v>
      </c>
      <c r="E313" s="3208">
        <v>0.14399999999999999</v>
      </c>
      <c r="F313" s="3208">
        <v>0.115</v>
      </c>
      <c r="G313" s="3209">
        <v>0.13600000000000001</v>
      </c>
    </row>
    <row r="314" spans="1:7">
      <c r="A314" s="3218" t="s">
        <v>1154</v>
      </c>
      <c r="B314" s="3207" t="s">
        <v>3138</v>
      </c>
      <c r="C314" s="3224"/>
      <c r="D314" s="3224"/>
      <c r="E314" s="3224"/>
      <c r="F314" s="3208">
        <v>0.05</v>
      </c>
      <c r="G314" s="3225"/>
    </row>
    <row r="315" spans="1:7">
      <c r="A315" s="3218" t="s">
        <v>1154</v>
      </c>
      <c r="B315" s="3207" t="s">
        <v>3139</v>
      </c>
      <c r="C315" s="3224"/>
      <c r="D315" s="3224"/>
      <c r="E315" s="3224"/>
      <c r="F315" s="3208">
        <v>0.05</v>
      </c>
      <c r="G315" s="3225"/>
    </row>
    <row r="316" spans="1:7">
      <c r="A316" s="3218" t="s">
        <v>1154</v>
      </c>
      <c r="B316" s="3207" t="s">
        <v>3140</v>
      </c>
      <c r="C316" s="3219"/>
      <c r="D316" s="3219"/>
      <c r="E316" s="3219"/>
      <c r="F316" s="3208">
        <v>0.05</v>
      </c>
      <c r="G316" s="3225"/>
    </row>
    <row r="317" spans="1:7">
      <c r="A317" s="3218" t="s">
        <v>1154</v>
      </c>
      <c r="B317" s="3207" t="s">
        <v>3141</v>
      </c>
      <c r="C317" s="3219"/>
      <c r="D317" s="3219"/>
      <c r="E317" s="3219"/>
      <c r="F317" s="3208">
        <v>0.05</v>
      </c>
      <c r="G317" s="3225"/>
    </row>
    <row r="318" spans="1:7">
      <c r="A318" s="3218" t="s">
        <v>1154</v>
      </c>
      <c r="B318" s="3207" t="s">
        <v>3142</v>
      </c>
      <c r="C318" s="3219"/>
      <c r="D318" s="3219"/>
      <c r="E318" s="3219"/>
      <c r="F318" s="3208">
        <v>0.05</v>
      </c>
      <c r="G318" s="3225"/>
    </row>
    <row r="319" spans="1:7">
      <c r="A319" s="3218" t="s">
        <v>1154</v>
      </c>
      <c r="B319" s="3207" t="s">
        <v>3143</v>
      </c>
      <c r="C319" s="3219"/>
      <c r="D319" s="3219"/>
      <c r="E319" s="3219"/>
      <c r="F319" s="3208">
        <v>0.05</v>
      </c>
      <c r="G319" s="3225"/>
    </row>
    <row r="320" spans="1:7">
      <c r="A320" s="3218" t="s">
        <v>1154</v>
      </c>
      <c r="B320" s="3207" t="s">
        <v>3144</v>
      </c>
      <c r="C320" s="3219"/>
      <c r="D320" s="3219"/>
      <c r="E320" s="3219"/>
      <c r="F320" s="3208">
        <v>0.05</v>
      </c>
      <c r="G320" s="3225"/>
    </row>
    <row r="321" spans="1:7">
      <c r="A321" s="3218" t="s">
        <v>1154</v>
      </c>
      <c r="B321" s="3207" t="s">
        <v>3145</v>
      </c>
      <c r="C321" s="3219"/>
      <c r="D321" s="3219"/>
      <c r="E321" s="3219"/>
      <c r="F321" s="3208">
        <v>0.05</v>
      </c>
      <c r="G321" s="3225"/>
    </row>
    <row r="322" spans="1:7">
      <c r="A322" s="3218" t="s">
        <v>1154</v>
      </c>
      <c r="B322" s="3207" t="s">
        <v>3146</v>
      </c>
      <c r="C322" s="3219"/>
      <c r="D322" s="3219"/>
      <c r="E322" s="3219"/>
      <c r="F322" s="3208">
        <v>0.05</v>
      </c>
      <c r="G322" s="3225"/>
    </row>
    <row r="323" spans="1:7">
      <c r="A323" s="3218" t="s">
        <v>1154</v>
      </c>
      <c r="B323" s="3207" t="s">
        <v>3147</v>
      </c>
      <c r="C323" s="3219"/>
      <c r="D323" s="3219"/>
      <c r="E323" s="3219"/>
      <c r="F323" s="3208">
        <v>0.05</v>
      </c>
      <c r="G323" s="3225"/>
    </row>
    <row r="324" spans="1:7">
      <c r="A324" s="3218" t="s">
        <v>1154</v>
      </c>
      <c r="B324" s="3207" t="s">
        <v>3148</v>
      </c>
      <c r="C324" s="3219"/>
      <c r="D324" s="3219"/>
      <c r="E324" s="3219"/>
      <c r="F324" s="3208">
        <v>0.05</v>
      </c>
      <c r="G324" s="3225"/>
    </row>
    <row r="325" spans="1:7">
      <c r="A325" s="3218" t="s">
        <v>1154</v>
      </c>
      <c r="B325" s="3207" t="s">
        <v>3149</v>
      </c>
      <c r="C325" s="3219"/>
      <c r="D325" s="3219"/>
      <c r="E325" s="3219"/>
      <c r="F325" s="3208">
        <v>0.05</v>
      </c>
      <c r="G325" s="3225"/>
    </row>
    <row r="326" spans="1:7" ht="14.25" thickBot="1">
      <c r="A326" s="3221" t="s">
        <v>1154</v>
      </c>
      <c r="B326" s="3211" t="s">
        <v>3150</v>
      </c>
      <c r="C326" s="3213"/>
      <c r="D326" s="3213"/>
      <c r="E326" s="3213"/>
      <c r="F326" s="3212">
        <v>0.05</v>
      </c>
      <c r="G326" s="3226"/>
    </row>
    <row r="327" spans="1:7">
      <c r="A327" s="3217" t="s">
        <v>1155</v>
      </c>
      <c r="B327" s="3203" t="s">
        <v>3151</v>
      </c>
      <c r="C327" s="3204">
        <v>0.15</v>
      </c>
      <c r="D327" s="3204">
        <v>0.15</v>
      </c>
      <c r="E327" s="3204">
        <v>0.15</v>
      </c>
      <c r="F327" s="3204">
        <v>0.15</v>
      </c>
      <c r="G327" s="3205">
        <v>0.15</v>
      </c>
    </row>
    <row r="328" spans="1:7">
      <c r="A328" s="3218" t="s">
        <v>1155</v>
      </c>
      <c r="B328" s="3207" t="s">
        <v>979</v>
      </c>
      <c r="C328" s="3208">
        <v>0.15</v>
      </c>
      <c r="D328" s="3208">
        <v>0.15</v>
      </c>
      <c r="E328" s="3208">
        <v>0.15</v>
      </c>
      <c r="F328" s="3208">
        <v>0.126</v>
      </c>
      <c r="G328" s="3209">
        <v>0.15</v>
      </c>
    </row>
    <row r="329" spans="1:7">
      <c r="A329" s="3218" t="s">
        <v>1155</v>
      </c>
      <c r="B329" s="3207" t="s">
        <v>3152</v>
      </c>
      <c r="C329" s="3208">
        <v>0.15</v>
      </c>
      <c r="D329" s="3208">
        <v>0.15</v>
      </c>
      <c r="E329" s="3208">
        <v>0.15</v>
      </c>
      <c r="F329" s="3208">
        <v>0.15</v>
      </c>
      <c r="G329" s="3209">
        <v>0.15</v>
      </c>
    </row>
    <row r="330" spans="1:7">
      <c r="A330" s="3218" t="s">
        <v>1155</v>
      </c>
      <c r="B330" s="3207" t="s">
        <v>3153</v>
      </c>
      <c r="C330" s="3208">
        <v>0.15</v>
      </c>
      <c r="D330" s="3208">
        <v>0.15</v>
      </c>
      <c r="E330" s="3208">
        <v>0.15</v>
      </c>
      <c r="F330" s="3208">
        <v>0.15</v>
      </c>
      <c r="G330" s="3209">
        <v>0.15</v>
      </c>
    </row>
    <row r="331" spans="1:7">
      <c r="A331" s="3218" t="s">
        <v>1155</v>
      </c>
      <c r="B331" s="3207" t="s">
        <v>1006</v>
      </c>
      <c r="C331" s="3208">
        <v>0.15</v>
      </c>
      <c r="D331" s="3208">
        <v>0.15</v>
      </c>
      <c r="E331" s="3208">
        <v>0.15</v>
      </c>
      <c r="F331" s="3208">
        <v>0.15</v>
      </c>
      <c r="G331" s="3209">
        <v>0.15</v>
      </c>
    </row>
    <row r="332" spans="1:7">
      <c r="A332" s="3218" t="s">
        <v>1155</v>
      </c>
      <c r="B332" s="3207" t="s">
        <v>2985</v>
      </c>
      <c r="C332" s="3208">
        <v>0.15</v>
      </c>
      <c r="D332" s="3208">
        <v>0.15</v>
      </c>
      <c r="E332" s="3208">
        <v>0.15</v>
      </c>
      <c r="F332" s="3208">
        <v>0.15</v>
      </c>
      <c r="G332" s="3209">
        <v>0.15</v>
      </c>
    </row>
    <row r="333" spans="1:7">
      <c r="A333" s="3218" t="s">
        <v>1155</v>
      </c>
      <c r="B333" s="3207" t="s">
        <v>3154</v>
      </c>
      <c r="C333" s="3208">
        <v>0.14899999999999999</v>
      </c>
      <c r="D333" s="3208">
        <v>0.14899999999999999</v>
      </c>
      <c r="E333" s="3208">
        <v>0.15</v>
      </c>
      <c r="F333" s="3208">
        <v>0.11600000000000001</v>
      </c>
      <c r="G333" s="3209">
        <v>0.15</v>
      </c>
    </row>
    <row r="334" spans="1:7">
      <c r="A334" s="3218" t="s">
        <v>1155</v>
      </c>
      <c r="B334" s="3207" t="s">
        <v>1028</v>
      </c>
      <c r="C334" s="3208">
        <v>0.15</v>
      </c>
      <c r="D334" s="3208">
        <v>0.15</v>
      </c>
      <c r="E334" s="3208">
        <v>0.15</v>
      </c>
      <c r="F334" s="3208">
        <v>0.13</v>
      </c>
      <c r="G334" s="3209">
        <v>0.15</v>
      </c>
    </row>
    <row r="335" spans="1:7">
      <c r="A335" s="3218" t="s">
        <v>1155</v>
      </c>
      <c r="B335" s="3207" t="s">
        <v>1038</v>
      </c>
      <c r="C335" s="3208">
        <v>0.15</v>
      </c>
      <c r="D335" s="3208">
        <v>0.15</v>
      </c>
      <c r="E335" s="3208">
        <v>0.15</v>
      </c>
      <c r="F335" s="3208">
        <v>0.14399999999999999</v>
      </c>
      <c r="G335" s="3209">
        <v>0.15</v>
      </c>
    </row>
    <row r="336" spans="1:7">
      <c r="A336" s="3218" t="s">
        <v>1155</v>
      </c>
      <c r="B336" s="3207" t="s">
        <v>2987</v>
      </c>
      <c r="C336" s="3208">
        <v>0.15</v>
      </c>
      <c r="D336" s="3208">
        <v>0.15</v>
      </c>
      <c r="E336" s="3208">
        <v>0.15</v>
      </c>
      <c r="F336" s="3208">
        <v>0.14199999999999999</v>
      </c>
      <c r="G336" s="3209">
        <v>0.15</v>
      </c>
    </row>
    <row r="337" spans="1:7">
      <c r="A337" s="3218" t="s">
        <v>1155</v>
      </c>
      <c r="B337" s="3207" t="s">
        <v>3155</v>
      </c>
      <c r="C337" s="3208">
        <v>0.15</v>
      </c>
      <c r="D337" s="3208">
        <v>0.15</v>
      </c>
      <c r="E337" s="3208">
        <v>0.15</v>
      </c>
      <c r="F337" s="3208">
        <v>0.14499999999999999</v>
      </c>
      <c r="G337" s="3209">
        <v>0.15</v>
      </c>
    </row>
    <row r="338" spans="1:7">
      <c r="A338" s="3218" t="s">
        <v>1155</v>
      </c>
      <c r="B338" s="3207" t="s">
        <v>1066</v>
      </c>
      <c r="C338" s="3208">
        <v>0.15</v>
      </c>
      <c r="D338" s="3208">
        <v>0.15</v>
      </c>
      <c r="E338" s="3208">
        <v>0.15</v>
      </c>
      <c r="F338" s="3208">
        <v>0.15</v>
      </c>
      <c r="G338" s="3209">
        <v>0.15</v>
      </c>
    </row>
    <row r="339" spans="1:7">
      <c r="A339" s="3218" t="s">
        <v>1155</v>
      </c>
      <c r="B339" s="3207" t="s">
        <v>1074</v>
      </c>
      <c r="C339" s="3208">
        <v>0.15</v>
      </c>
      <c r="D339" s="3208">
        <v>0.15</v>
      </c>
      <c r="E339" s="3208">
        <v>0.15</v>
      </c>
      <c r="F339" s="3208">
        <v>0.14699999999999999</v>
      </c>
      <c r="G339" s="3209">
        <v>0.15</v>
      </c>
    </row>
    <row r="340" spans="1:7">
      <c r="A340" s="3218" t="s">
        <v>1155</v>
      </c>
      <c r="B340" s="3207" t="s">
        <v>3156</v>
      </c>
      <c r="C340" s="3208">
        <v>0.14599999999999999</v>
      </c>
      <c r="D340" s="3208">
        <v>0.14599999999999999</v>
      </c>
      <c r="E340" s="3208">
        <v>0.15</v>
      </c>
      <c r="F340" s="3208">
        <v>0.14099999999999999</v>
      </c>
      <c r="G340" s="3209">
        <v>0.14699999999999999</v>
      </c>
    </row>
    <row r="341" spans="1:7">
      <c r="A341" s="3218" t="s">
        <v>1155</v>
      </c>
      <c r="B341" s="3207" t="s">
        <v>1052</v>
      </c>
      <c r="C341" s="3208">
        <v>0.126</v>
      </c>
      <c r="D341" s="3208">
        <v>0.124</v>
      </c>
      <c r="E341" s="3208">
        <v>0.14099999999999999</v>
      </c>
      <c r="F341" s="3208">
        <v>0.14399999999999999</v>
      </c>
      <c r="G341" s="3209">
        <v>0.13</v>
      </c>
    </row>
    <row r="342" spans="1:7">
      <c r="A342" s="3218" t="s">
        <v>1155</v>
      </c>
      <c r="B342" s="3207" t="s">
        <v>3157</v>
      </c>
      <c r="C342" s="3208">
        <v>0.15</v>
      </c>
      <c r="D342" s="3208">
        <v>0.15</v>
      </c>
      <c r="E342" s="3208">
        <v>0.15</v>
      </c>
      <c r="F342" s="3208">
        <v>0.14399999999999999</v>
      </c>
      <c r="G342" s="3209">
        <v>0.15</v>
      </c>
    </row>
    <row r="343" spans="1:7">
      <c r="A343" s="3218" t="s">
        <v>1155</v>
      </c>
      <c r="B343" s="3207" t="s">
        <v>1103</v>
      </c>
      <c r="C343" s="3208">
        <v>0.15</v>
      </c>
      <c r="D343" s="3208">
        <v>0.15</v>
      </c>
      <c r="E343" s="3208">
        <v>0.15</v>
      </c>
      <c r="F343" s="3208">
        <v>0.128</v>
      </c>
      <c r="G343" s="3209">
        <v>0.15</v>
      </c>
    </row>
    <row r="344" spans="1:7">
      <c r="A344" s="3218" t="s">
        <v>1155</v>
      </c>
      <c r="B344" s="3207" t="s">
        <v>1111</v>
      </c>
      <c r="C344" s="3208">
        <v>0.15</v>
      </c>
      <c r="D344" s="3208">
        <v>0.15</v>
      </c>
      <c r="E344" s="3208">
        <v>0.15</v>
      </c>
      <c r="F344" s="3208">
        <v>0.14799999999999999</v>
      </c>
      <c r="G344" s="3209">
        <v>0.15</v>
      </c>
    </row>
    <row r="345" spans="1:7">
      <c r="A345" s="3218" t="s">
        <v>1155</v>
      </c>
      <c r="B345" s="3207" t="s">
        <v>2991</v>
      </c>
      <c r="C345" s="3208">
        <v>0.15</v>
      </c>
      <c r="D345" s="3208">
        <v>0.15</v>
      </c>
      <c r="E345" s="3208">
        <v>0.15</v>
      </c>
      <c r="F345" s="3208">
        <v>0.13800000000000001</v>
      </c>
      <c r="G345" s="3209">
        <v>0.15</v>
      </c>
    </row>
    <row r="346" spans="1:7">
      <c r="A346" s="3218" t="s">
        <v>1155</v>
      </c>
      <c r="B346" s="3207" t="s">
        <v>3158</v>
      </c>
      <c r="C346" s="3208">
        <v>0.15</v>
      </c>
      <c r="D346" s="3208">
        <v>0.15</v>
      </c>
      <c r="E346" s="3208">
        <v>0.15</v>
      </c>
      <c r="F346" s="3208">
        <v>0.14399999999999999</v>
      </c>
      <c r="G346" s="3209">
        <v>0.15</v>
      </c>
    </row>
    <row r="347" spans="1:7">
      <c r="A347" s="3218" t="s">
        <v>1155</v>
      </c>
      <c r="B347" s="3207" t="s">
        <v>1089</v>
      </c>
      <c r="C347" s="3208">
        <v>0.15</v>
      </c>
      <c r="D347" s="3208">
        <v>0.15</v>
      </c>
      <c r="E347" s="3208">
        <v>0.15</v>
      </c>
      <c r="F347" s="3208">
        <v>0.14599999999999999</v>
      </c>
      <c r="G347" s="3209">
        <v>0.15</v>
      </c>
    </row>
    <row r="348" spans="1:7">
      <c r="A348" s="3218" t="s">
        <v>1155</v>
      </c>
      <c r="B348" s="3207" t="s">
        <v>2993</v>
      </c>
      <c r="C348" s="3208">
        <v>0.15</v>
      </c>
      <c r="D348" s="3208">
        <v>0.15</v>
      </c>
      <c r="E348" s="3208">
        <v>0.15</v>
      </c>
      <c r="F348" s="3208">
        <v>0.14399999999999999</v>
      </c>
      <c r="G348" s="3209">
        <v>0.15</v>
      </c>
    </row>
    <row r="349" spans="1:7">
      <c r="A349" s="3218" t="s">
        <v>1155</v>
      </c>
      <c r="B349" s="3207" t="s">
        <v>2994</v>
      </c>
      <c r="C349" s="3208">
        <v>0.15</v>
      </c>
      <c r="D349" s="3208">
        <v>0.15</v>
      </c>
      <c r="E349" s="3208">
        <v>0.15</v>
      </c>
      <c r="F349" s="3208">
        <v>0.15</v>
      </c>
      <c r="G349" s="3209">
        <v>0.15</v>
      </c>
    </row>
    <row r="350" spans="1:7">
      <c r="A350" s="3218" t="s">
        <v>1155</v>
      </c>
      <c r="B350" s="3207" t="s">
        <v>3159</v>
      </c>
      <c r="C350" s="3208">
        <v>0.15</v>
      </c>
      <c r="D350" s="3208">
        <v>0.15</v>
      </c>
      <c r="E350" s="3208">
        <v>0.15</v>
      </c>
      <c r="F350" s="3208">
        <v>0.14699999999999999</v>
      </c>
      <c r="G350" s="3209">
        <v>0.15</v>
      </c>
    </row>
    <row r="351" spans="1:7">
      <c r="A351" s="3218" t="s">
        <v>1155</v>
      </c>
      <c r="B351" s="3207" t="s">
        <v>2996</v>
      </c>
      <c r="C351" s="3208">
        <v>0.15</v>
      </c>
      <c r="D351" s="3208">
        <v>0.15</v>
      </c>
      <c r="E351" s="3208">
        <v>0.15</v>
      </c>
      <c r="F351" s="3208">
        <v>0.13</v>
      </c>
      <c r="G351" s="3209">
        <v>0.15</v>
      </c>
    </row>
    <row r="352" spans="1:7">
      <c r="A352" s="3218" t="s">
        <v>1155</v>
      </c>
      <c r="B352" s="3207" t="s">
        <v>2997</v>
      </c>
      <c r="C352" s="3208">
        <v>0.15</v>
      </c>
      <c r="D352" s="3208">
        <v>0.15</v>
      </c>
      <c r="E352" s="3208">
        <v>0.15</v>
      </c>
      <c r="F352" s="3208">
        <v>0.14599999999999999</v>
      </c>
      <c r="G352" s="3209">
        <v>0.15</v>
      </c>
    </row>
    <row r="353" spans="1:7">
      <c r="A353" s="3218" t="s">
        <v>1155</v>
      </c>
      <c r="B353" s="3207" t="s">
        <v>3160</v>
      </c>
      <c r="C353" s="3208">
        <v>0.15</v>
      </c>
      <c r="D353" s="3208">
        <v>0.15</v>
      </c>
      <c r="E353" s="3208">
        <v>0.15</v>
      </c>
      <c r="F353" s="3208">
        <v>0.14499999999999999</v>
      </c>
      <c r="G353" s="3209">
        <v>0.15</v>
      </c>
    </row>
    <row r="354" spans="1:7">
      <c r="A354" s="3218" t="s">
        <v>1155</v>
      </c>
      <c r="B354" s="3207" t="s">
        <v>1127</v>
      </c>
      <c r="C354" s="3208">
        <v>0.15</v>
      </c>
      <c r="D354" s="3208">
        <v>0.15</v>
      </c>
      <c r="E354" s="3208">
        <v>0.15</v>
      </c>
      <c r="F354" s="3208">
        <v>0.14099999999999999</v>
      </c>
      <c r="G354" s="3209">
        <v>0.15</v>
      </c>
    </row>
    <row r="355" spans="1:7">
      <c r="A355" s="3218" t="s">
        <v>1155</v>
      </c>
      <c r="B355" s="3207" t="s">
        <v>2999</v>
      </c>
      <c r="C355" s="3208">
        <v>0.15</v>
      </c>
      <c r="D355" s="3208">
        <v>0.15</v>
      </c>
      <c r="E355" s="3208">
        <v>0.15</v>
      </c>
      <c r="F355" s="3208">
        <v>0.15</v>
      </c>
      <c r="G355" s="3209">
        <v>0.15</v>
      </c>
    </row>
    <row r="356" spans="1:7">
      <c r="A356" s="3218" t="s">
        <v>1155</v>
      </c>
      <c r="B356" s="3207" t="s">
        <v>3000</v>
      </c>
      <c r="C356" s="3208">
        <v>0.15</v>
      </c>
      <c r="D356" s="3208">
        <v>0.15</v>
      </c>
      <c r="E356" s="3208">
        <v>0.15</v>
      </c>
      <c r="F356" s="3208">
        <v>0.15</v>
      </c>
      <c r="G356" s="3209">
        <v>0.15</v>
      </c>
    </row>
    <row r="357" spans="1:7" ht="14.25" thickBot="1">
      <c r="A357" s="3221" t="s">
        <v>1155</v>
      </c>
      <c r="B357" s="3211" t="s">
        <v>3161</v>
      </c>
      <c r="C357" s="3212">
        <v>0.126</v>
      </c>
      <c r="D357" s="3212">
        <v>0.127</v>
      </c>
      <c r="E357" s="3212">
        <v>0.14299999999999999</v>
      </c>
      <c r="F357" s="3212">
        <v>0.125</v>
      </c>
      <c r="G357" s="3214">
        <v>0.129</v>
      </c>
    </row>
    <row r="358" spans="1:7">
      <c r="A358" s="3217" t="s">
        <v>3162</v>
      </c>
      <c r="B358" s="3203" t="s">
        <v>3163</v>
      </c>
      <c r="C358" s="3204">
        <v>0.15</v>
      </c>
      <c r="D358" s="3204">
        <v>0.15</v>
      </c>
      <c r="E358" s="3204">
        <v>0.15</v>
      </c>
      <c r="F358" s="3204">
        <v>0.15</v>
      </c>
      <c r="G358" s="3205">
        <v>0.15</v>
      </c>
    </row>
    <row r="359" spans="1:7">
      <c r="A359" s="3218" t="s">
        <v>3162</v>
      </c>
      <c r="B359" s="3207" t="s">
        <v>3164</v>
      </c>
      <c r="C359" s="3208">
        <v>0.1</v>
      </c>
      <c r="D359" s="3208">
        <v>0.1</v>
      </c>
      <c r="E359" s="3208">
        <v>0.1</v>
      </c>
      <c r="F359" s="3208">
        <v>0.1</v>
      </c>
      <c r="G359" s="3209">
        <v>0.1</v>
      </c>
    </row>
    <row r="360" spans="1:7">
      <c r="A360" s="3218" t="s">
        <v>3162</v>
      </c>
      <c r="B360" s="3207" t="s">
        <v>3165</v>
      </c>
      <c r="C360" s="3208">
        <v>0.15</v>
      </c>
      <c r="D360" s="3208">
        <v>0.15</v>
      </c>
      <c r="E360" s="3208">
        <v>0.15</v>
      </c>
      <c r="F360" s="3208">
        <v>0.14899999999999999</v>
      </c>
      <c r="G360" s="3209">
        <v>0.15</v>
      </c>
    </row>
    <row r="361" spans="1:7">
      <c r="A361" s="3218" t="s">
        <v>3162</v>
      </c>
      <c r="B361" s="3207" t="s">
        <v>997</v>
      </c>
      <c r="C361" s="3208">
        <v>0.15</v>
      </c>
      <c r="D361" s="3208">
        <v>0.15</v>
      </c>
      <c r="E361" s="3208">
        <v>0.15</v>
      </c>
      <c r="F361" s="3208">
        <v>0.115</v>
      </c>
      <c r="G361" s="3209">
        <v>0.15</v>
      </c>
    </row>
    <row r="362" spans="1:7">
      <c r="A362" s="3218" t="s">
        <v>3162</v>
      </c>
      <c r="B362" s="3207" t="s">
        <v>3166</v>
      </c>
      <c r="C362" s="3208">
        <v>0.15</v>
      </c>
      <c r="D362" s="3208">
        <v>0.15</v>
      </c>
      <c r="E362" s="3208">
        <v>0.15</v>
      </c>
      <c r="F362" s="3208">
        <v>0.106</v>
      </c>
      <c r="G362" s="3209">
        <v>0.15</v>
      </c>
    </row>
    <row r="363" spans="1:7">
      <c r="A363" s="3218" t="s">
        <v>3162</v>
      </c>
      <c r="B363" s="3207" t="s">
        <v>3006</v>
      </c>
      <c r="C363" s="3208">
        <v>0.15</v>
      </c>
      <c r="D363" s="3208">
        <v>0.15</v>
      </c>
      <c r="E363" s="3208">
        <v>0.15</v>
      </c>
      <c r="F363" s="3208">
        <v>0.14699999999999999</v>
      </c>
      <c r="G363" s="3209">
        <v>0.15</v>
      </c>
    </row>
    <row r="364" spans="1:7">
      <c r="A364" s="3218" t="s">
        <v>3162</v>
      </c>
      <c r="B364" s="3207" t="s">
        <v>3167</v>
      </c>
      <c r="C364" s="3208">
        <v>0.15</v>
      </c>
      <c r="D364" s="3208">
        <v>0.15</v>
      </c>
      <c r="E364" s="3208">
        <v>0.15</v>
      </c>
      <c r="F364" s="3208">
        <v>0.14799999999999999</v>
      </c>
      <c r="G364" s="3209">
        <v>0.15</v>
      </c>
    </row>
    <row r="365" spans="1:7">
      <c r="A365" s="3218" t="s">
        <v>3162</v>
      </c>
      <c r="B365" s="3207" t="s">
        <v>1045</v>
      </c>
      <c r="C365" s="3208">
        <v>0.15</v>
      </c>
      <c r="D365" s="3208">
        <v>0.15</v>
      </c>
      <c r="E365" s="3208">
        <v>0.15</v>
      </c>
      <c r="F365" s="3208">
        <v>0.15</v>
      </c>
      <c r="G365" s="3209">
        <v>0.15</v>
      </c>
    </row>
    <row r="366" spans="1:7">
      <c r="A366" s="3218" t="s">
        <v>3162</v>
      </c>
      <c r="B366" s="3207" t="s">
        <v>3008</v>
      </c>
      <c r="C366" s="3208">
        <v>0.15</v>
      </c>
      <c r="D366" s="3208">
        <v>0.15</v>
      </c>
      <c r="E366" s="3208">
        <v>0.15</v>
      </c>
      <c r="F366" s="3208">
        <v>0.15</v>
      </c>
      <c r="G366" s="3209">
        <v>0.15</v>
      </c>
    </row>
    <row r="367" spans="1:7">
      <c r="A367" s="3218" t="s">
        <v>3162</v>
      </c>
      <c r="B367" s="3207" t="s">
        <v>3168</v>
      </c>
      <c r="C367" s="3208">
        <v>0.15</v>
      </c>
      <c r="D367" s="3208">
        <v>0.15</v>
      </c>
      <c r="E367" s="3208">
        <v>0.15</v>
      </c>
      <c r="F367" s="3208">
        <v>0.14699999999999999</v>
      </c>
      <c r="G367" s="3209">
        <v>0.15</v>
      </c>
    </row>
    <row r="368" spans="1:7">
      <c r="A368" s="3218" t="s">
        <v>3162</v>
      </c>
      <c r="B368" s="3207" t="s">
        <v>3169</v>
      </c>
      <c r="C368" s="3208">
        <v>0.15</v>
      </c>
      <c r="D368" s="3208">
        <v>0.15</v>
      </c>
      <c r="E368" s="3208">
        <v>0.15</v>
      </c>
      <c r="F368" s="3208">
        <v>0.13600000000000001</v>
      </c>
      <c r="G368" s="3209">
        <v>0.15</v>
      </c>
    </row>
    <row r="369" spans="1:7">
      <c r="A369" s="3218" t="s">
        <v>3162</v>
      </c>
      <c r="B369" s="3207" t="s">
        <v>1059</v>
      </c>
      <c r="C369" s="3208">
        <v>0.15</v>
      </c>
      <c r="D369" s="3208">
        <v>0.15</v>
      </c>
      <c r="E369" s="3208">
        <v>0.15</v>
      </c>
      <c r="F369" s="3208">
        <v>0.14399999999999999</v>
      </c>
      <c r="G369" s="3209">
        <v>0.15</v>
      </c>
    </row>
    <row r="370" spans="1:7">
      <c r="A370" s="3218" t="s">
        <v>3162</v>
      </c>
      <c r="B370" s="3207" t="s">
        <v>1067</v>
      </c>
      <c r="C370" s="3208">
        <v>0.15</v>
      </c>
      <c r="D370" s="3208">
        <v>0.15</v>
      </c>
      <c r="E370" s="3208">
        <v>0.15</v>
      </c>
      <c r="F370" s="3208">
        <v>0.14599999999999999</v>
      </c>
      <c r="G370" s="3209">
        <v>0.15</v>
      </c>
    </row>
    <row r="371" spans="1:7">
      <c r="A371" s="3218" t="s">
        <v>3162</v>
      </c>
      <c r="B371" s="3207" t="s">
        <v>1075</v>
      </c>
      <c r="C371" s="3208">
        <v>0.15</v>
      </c>
      <c r="D371" s="3208">
        <v>0.15</v>
      </c>
      <c r="E371" s="3208">
        <v>0.15</v>
      </c>
      <c r="F371" s="3208">
        <v>0.12</v>
      </c>
      <c r="G371" s="3209">
        <v>0.15</v>
      </c>
    </row>
    <row r="372" spans="1:7">
      <c r="A372" s="3218" t="s">
        <v>3162</v>
      </c>
      <c r="B372" s="3207" t="s">
        <v>3170</v>
      </c>
      <c r="C372" s="3208">
        <v>0.15</v>
      </c>
      <c r="D372" s="3208">
        <v>0.15</v>
      </c>
      <c r="E372" s="3208">
        <v>0.15</v>
      </c>
      <c r="F372" s="3208">
        <v>0.14299999999999999</v>
      </c>
      <c r="G372" s="3209">
        <v>0.15</v>
      </c>
    </row>
    <row r="373" spans="1:7">
      <c r="A373" s="3218" t="s">
        <v>3162</v>
      </c>
      <c r="B373" s="3207" t="s">
        <v>1104</v>
      </c>
      <c r="C373" s="3208">
        <v>0.15</v>
      </c>
      <c r="D373" s="3208">
        <v>0.15</v>
      </c>
      <c r="E373" s="3208">
        <v>0.15</v>
      </c>
      <c r="F373" s="3208">
        <v>0.14599999999999999</v>
      </c>
      <c r="G373" s="3209">
        <v>0.15</v>
      </c>
    </row>
    <row r="374" spans="1:7">
      <c r="A374" s="3218" t="s">
        <v>3162</v>
      </c>
      <c r="B374" s="3207" t="s">
        <v>1112</v>
      </c>
      <c r="C374" s="3208">
        <v>0.15</v>
      </c>
      <c r="D374" s="3208">
        <v>0.15</v>
      </c>
      <c r="E374" s="3208">
        <v>0.15</v>
      </c>
      <c r="F374" s="3208">
        <v>0.14399999999999999</v>
      </c>
      <c r="G374" s="3209">
        <v>0.15</v>
      </c>
    </row>
    <row r="375" spans="1:7">
      <c r="A375" s="3218" t="s">
        <v>3162</v>
      </c>
      <c r="B375" s="3207" t="s">
        <v>3171</v>
      </c>
      <c r="C375" s="3208">
        <v>0.15</v>
      </c>
      <c r="D375" s="3208">
        <v>0.15</v>
      </c>
      <c r="E375" s="3208">
        <v>0.15</v>
      </c>
      <c r="F375" s="3208">
        <v>0.13</v>
      </c>
      <c r="G375" s="3209">
        <v>0.15</v>
      </c>
    </row>
    <row r="376" spans="1:7">
      <c r="A376" s="3218" t="s">
        <v>3162</v>
      </c>
      <c r="B376" s="3207" t="s">
        <v>1124</v>
      </c>
      <c r="C376" s="3208">
        <v>0.15</v>
      </c>
      <c r="D376" s="3208">
        <v>0.15</v>
      </c>
      <c r="E376" s="3208">
        <v>0.15</v>
      </c>
      <c r="F376" s="3208">
        <v>0.14199999999999999</v>
      </c>
      <c r="G376" s="3209">
        <v>0.15</v>
      </c>
    </row>
    <row r="377" spans="1:7" ht="14.25" thickBot="1">
      <c r="A377" s="3221" t="s">
        <v>3162</v>
      </c>
      <c r="B377" s="3211" t="s">
        <v>3013</v>
      </c>
      <c r="C377" s="3212">
        <v>0.15</v>
      </c>
      <c r="D377" s="3212">
        <v>0.15</v>
      </c>
      <c r="E377" s="3212">
        <v>0.15</v>
      </c>
      <c r="F377" s="3212">
        <v>0.14000000000000001</v>
      </c>
      <c r="G377" s="3214">
        <v>0.15</v>
      </c>
    </row>
    <row r="378" spans="1:7">
      <c r="A378" s="3217" t="s">
        <v>3172</v>
      </c>
      <c r="B378" s="3203" t="s">
        <v>3173</v>
      </c>
      <c r="C378" s="3204">
        <v>0.15</v>
      </c>
      <c r="D378" s="3204">
        <v>0.15</v>
      </c>
      <c r="E378" s="3204">
        <v>0.15</v>
      </c>
      <c r="F378" s="3204">
        <v>0.107</v>
      </c>
      <c r="G378" s="3205">
        <v>0.15</v>
      </c>
    </row>
    <row r="379" spans="1:7">
      <c r="A379" s="3218" t="s">
        <v>3172</v>
      </c>
      <c r="B379" s="3207" t="s">
        <v>3174</v>
      </c>
      <c r="C379" s="3208">
        <v>0.15</v>
      </c>
      <c r="D379" s="3208">
        <v>0.15</v>
      </c>
      <c r="E379" s="3208">
        <v>0.15</v>
      </c>
      <c r="F379" s="3208">
        <v>0.115</v>
      </c>
      <c r="G379" s="3209">
        <v>0.14899999999999999</v>
      </c>
    </row>
    <row r="380" spans="1:7">
      <c r="A380" s="3218" t="s">
        <v>3175</v>
      </c>
      <c r="B380" s="3207" t="s">
        <v>3176</v>
      </c>
      <c r="C380" s="3208">
        <v>0.15</v>
      </c>
      <c r="D380" s="3208">
        <v>0.15</v>
      </c>
      <c r="E380" s="3208">
        <v>0.15</v>
      </c>
      <c r="F380" s="3208">
        <v>0.1</v>
      </c>
      <c r="G380" s="3209">
        <v>0.14799999999999999</v>
      </c>
    </row>
    <row r="381" spans="1:7">
      <c r="A381" s="3218" t="s">
        <v>3175</v>
      </c>
      <c r="B381" s="3207" t="s">
        <v>3177</v>
      </c>
      <c r="C381" s="3208">
        <v>0.15</v>
      </c>
      <c r="D381" s="3208">
        <v>0.15</v>
      </c>
      <c r="E381" s="3208">
        <v>0.15</v>
      </c>
      <c r="F381" s="3208">
        <v>0.126</v>
      </c>
      <c r="G381" s="3209">
        <v>0.15</v>
      </c>
    </row>
    <row r="382" spans="1:7">
      <c r="A382" s="3218" t="s">
        <v>3175</v>
      </c>
      <c r="B382" s="3207" t="s">
        <v>3178</v>
      </c>
      <c r="C382" s="3208">
        <v>0.15</v>
      </c>
      <c r="D382" s="3208">
        <v>0.15</v>
      </c>
      <c r="E382" s="3208">
        <v>0.15</v>
      </c>
      <c r="F382" s="3208">
        <v>0.15</v>
      </c>
      <c r="G382" s="3209">
        <v>0.15</v>
      </c>
    </row>
    <row r="383" spans="1:7">
      <c r="A383" s="3218" t="s">
        <v>3175</v>
      </c>
      <c r="B383" s="3207" t="s">
        <v>3179</v>
      </c>
      <c r="C383" s="3208">
        <v>0.15</v>
      </c>
      <c r="D383" s="3208">
        <v>0.15</v>
      </c>
      <c r="E383" s="3208">
        <v>0.15</v>
      </c>
      <c r="F383" s="3208">
        <v>0.14699999999999999</v>
      </c>
      <c r="G383" s="3209">
        <v>0.15</v>
      </c>
    </row>
    <row r="384" spans="1:7" ht="14.25" thickBot="1">
      <c r="A384" s="3228" t="s">
        <v>3175</v>
      </c>
      <c r="B384" s="3229" t="s">
        <v>3180</v>
      </c>
      <c r="C384" s="3230">
        <v>0.15</v>
      </c>
      <c r="D384" s="3230">
        <v>0.15</v>
      </c>
      <c r="E384" s="3230">
        <v>0.15</v>
      </c>
      <c r="F384" s="3230">
        <v>0.15</v>
      </c>
      <c r="G384" s="3231">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受贵公司委托，我公司对出让国有建设用地使用权市场价格进行了预评估。</v>
      </c>
    </row>
    <row r="5" spans="1:4" ht="18.75">
      <c r="A5" s="1492" t="s">
        <v>1427</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153333.33平方米。根据《建设工程规划许可证》[]、《出让合同》[]，估价对象规划建筑面积为153333.33平方米。</v>
      </c>
    </row>
    <row r="7" spans="1:4" ht="56.25">
      <c r="A7" s="1493" t="s">
        <v>2027</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2201</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根据《国有土地使用证》[]，估价对象（分摊）出让国有建设用地使用权面积为153333.33平方米。根据《建设工程规划许可证》[]、《出让合同》[]，估价对象规划建筑面积为153333.33平方米。</v>
      </c>
    </row>
    <row r="21" spans="1:1" ht="18.75">
      <c r="A21" s="1489" t="s">
        <v>1590</v>
      </c>
    </row>
    <row r="22" spans="1:1" ht="56.2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18.75">
      <c r="A26" s="1489" t="str">
        <f>IF(项目基本情况!B9="市场价格","——",IF(项目基本情况!E8="抵押价格",定义!C54,IF(项目基本情况!E8="已注销",定义!C55,定义!C56)))</f>
        <v>——</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9" t="str">
        <f>IF(项目基本情况!B9="市场价格","——",IF(项目基本情况!E9="——","",定义!C57))</f>
        <v>——</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809" t="s">
        <v>1856</v>
      </c>
      <c r="C1" s="3809"/>
      <c r="D1" s="3809"/>
      <c r="E1" s="3809"/>
      <c r="F1" s="3809"/>
      <c r="G1" s="3808" t="s">
        <v>1857</v>
      </c>
      <c r="H1" s="3808"/>
      <c r="I1" s="3808"/>
      <c r="J1" s="3808"/>
      <c r="K1" s="3808"/>
      <c r="L1" s="3808"/>
      <c r="N1" s="3808" t="s">
        <v>1858</v>
      </c>
      <c r="O1" s="3808"/>
      <c r="P1" s="3808"/>
      <c r="Q1" s="3808"/>
      <c r="S1" s="3808" t="s">
        <v>1859</v>
      </c>
      <c r="T1" s="3808"/>
      <c r="U1" s="3808"/>
      <c r="V1" s="3808"/>
      <c r="X1" s="3807" t="s">
        <v>1919</v>
      </c>
      <c r="Y1" s="3808"/>
      <c r="Z1" s="3808"/>
      <c r="AA1" s="3808"/>
      <c r="AB1" s="3808"/>
      <c r="AD1" s="3807" t="s">
        <v>1923</v>
      </c>
      <c r="AE1" s="3808"/>
      <c r="AF1" s="3808"/>
      <c r="AG1" s="3808"/>
      <c r="AH1" s="3808"/>
    </row>
    <row r="2" spans="1:34" s="2424" customFormat="1" ht="14.25" thickBot="1">
      <c r="B2" s="2425" t="s">
        <v>1860</v>
      </c>
      <c r="C2" s="2425" t="s">
        <v>1921</v>
      </c>
      <c r="D2" s="2426" t="s">
        <v>1177</v>
      </c>
      <c r="E2" s="2426" t="s">
        <v>1467</v>
      </c>
      <c r="F2" s="2425" t="s">
        <v>1922</v>
      </c>
      <c r="G2" s="2427"/>
      <c r="I2" s="2425" t="s">
        <v>2214</v>
      </c>
      <c r="J2" s="2426" t="s">
        <v>2216</v>
      </c>
      <c r="K2" s="2426" t="s">
        <v>2217</v>
      </c>
      <c r="L2" s="2425" t="s">
        <v>2218</v>
      </c>
      <c r="N2" s="2425" t="s">
        <v>1860</v>
      </c>
      <c r="O2" s="2426" t="s">
        <v>2215</v>
      </c>
      <c r="P2" s="2426" t="s">
        <v>1467</v>
      </c>
      <c r="Q2" s="2425" t="s">
        <v>1922</v>
      </c>
      <c r="S2" s="2425" t="s">
        <v>1860</v>
      </c>
      <c r="T2" s="2426" t="s">
        <v>2215</v>
      </c>
      <c r="U2" s="2426" t="s">
        <v>1467</v>
      </c>
      <c r="V2" s="2425" t="s">
        <v>1922</v>
      </c>
      <c r="X2" s="2425" t="s">
        <v>1860</v>
      </c>
      <c r="Y2" s="2425" t="s">
        <v>1921</v>
      </c>
      <c r="Z2" s="2426" t="s">
        <v>1177</v>
      </c>
      <c r="AA2" s="2426" t="s">
        <v>1467</v>
      </c>
      <c r="AB2" s="2425" t="s">
        <v>1922</v>
      </c>
      <c r="AD2" s="2425" t="s">
        <v>1860</v>
      </c>
      <c r="AE2" s="2425" t="s">
        <v>1921</v>
      </c>
      <c r="AF2" s="2426" t="s">
        <v>1177</v>
      </c>
      <c r="AG2" s="2426" t="s">
        <v>1467</v>
      </c>
      <c r="AH2" s="2425" t="s">
        <v>1922</v>
      </c>
    </row>
    <row r="3" spans="1:34" s="2432" customFormat="1" ht="14.25">
      <c r="A3" s="2428" t="s">
        <v>2225</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2443</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2442</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2441</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2440</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2439</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2288</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2287</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2286</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2285</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2282</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2281</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2250</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2248</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2246</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2245</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2243</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2242</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2241</v>
      </c>
      <c r="B22" s="2455">
        <f t="shared" si="11"/>
        <v>464.37293017158942</v>
      </c>
      <c r="C22" s="2455">
        <f t="shared" si="12"/>
        <v>344.73679941385956</v>
      </c>
      <c r="D22" s="2455">
        <f t="shared" si="2"/>
        <v>344.73679941385956</v>
      </c>
      <c r="E22" s="2455">
        <f t="shared" si="3"/>
        <v>663.2377795103107</v>
      </c>
      <c r="F22" s="2456">
        <f t="shared" si="4"/>
        <v>304.75936311478398</v>
      </c>
      <c r="G22" s="3811">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2234</v>
      </c>
      <c r="B23" s="2445">
        <f t="shared" si="11"/>
        <v>459.95733971036987</v>
      </c>
      <c r="C23" s="2445">
        <f t="shared" si="12"/>
        <v>341.22221064422405</v>
      </c>
      <c r="D23" s="2445">
        <f t="shared" si="2"/>
        <v>341.22221064422405</v>
      </c>
      <c r="E23" s="2445">
        <f t="shared" si="3"/>
        <v>657.19161663724799</v>
      </c>
      <c r="F23" s="2445">
        <f t="shared" si="4"/>
        <v>300.87803644464805</v>
      </c>
      <c r="G23" s="3811"/>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2235</v>
      </c>
      <c r="B24" s="2445">
        <f t="shared" si="11"/>
        <v>453.11529869999993</v>
      </c>
      <c r="C24" s="2445">
        <f t="shared" si="12"/>
        <v>336.47787264000004</v>
      </c>
      <c r="D24" s="2445">
        <f t="shared" si="2"/>
        <v>336.47787264000004</v>
      </c>
      <c r="E24" s="2445">
        <f t="shared" si="3"/>
        <v>647.35186823999993</v>
      </c>
      <c r="F24" s="2445">
        <f t="shared" si="4"/>
        <v>295.73229452000004</v>
      </c>
      <c r="G24" s="3811"/>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2231</v>
      </c>
      <c r="B25" s="2445">
        <f t="shared" si="11"/>
        <v>446.46299999999997</v>
      </c>
      <c r="C25" s="2445">
        <f t="shared" si="12"/>
        <v>333.27840000000003</v>
      </c>
      <c r="D25" s="2445">
        <f t="shared" ref="D25:D30" si="13">C25</f>
        <v>333.27840000000003</v>
      </c>
      <c r="E25" s="2445">
        <f t="shared" si="3"/>
        <v>637.28279999999995</v>
      </c>
      <c r="F25" s="2445">
        <f t="shared" si="4"/>
        <v>288.68830000000003</v>
      </c>
      <c r="G25" s="3817"/>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2224</v>
      </c>
      <c r="B26" s="2455">
        <v>439</v>
      </c>
      <c r="C26" s="2455">
        <v>327</v>
      </c>
      <c r="D26" s="2455">
        <f t="shared" si="13"/>
        <v>327</v>
      </c>
      <c r="E26" s="2455">
        <v>627</v>
      </c>
      <c r="F26" s="2456">
        <v>283</v>
      </c>
      <c r="G26" s="3816">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2226</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811"/>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1861</v>
      </c>
      <c r="B28" s="2445">
        <f t="shared" si="16"/>
        <v>419.31181600000002</v>
      </c>
      <c r="C28" s="2445">
        <f t="shared" si="16"/>
        <v>313.95436800000004</v>
      </c>
      <c r="D28" s="2445">
        <f t="shared" si="13"/>
        <v>313.95436800000004</v>
      </c>
      <c r="E28" s="2445">
        <f t="shared" si="17"/>
        <v>596.63028431999999</v>
      </c>
      <c r="F28" s="2445">
        <f t="shared" si="17"/>
        <v>274.74220703999998</v>
      </c>
      <c r="G28" s="3811"/>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1862</v>
      </c>
      <c r="B29" s="2445">
        <f t="shared" si="16"/>
        <v>405.524</v>
      </c>
      <c r="C29" s="2445">
        <f t="shared" si="16"/>
        <v>307.79840000000002</v>
      </c>
      <c r="D29" s="2445">
        <f t="shared" si="13"/>
        <v>307.79840000000002</v>
      </c>
      <c r="E29" s="2445">
        <f t="shared" si="17"/>
        <v>574.67759999999998</v>
      </c>
      <c r="F29" s="2445">
        <f t="shared" si="17"/>
        <v>270.20280000000002</v>
      </c>
      <c r="G29" s="3817"/>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893</v>
      </c>
      <c r="B30" s="2463">
        <v>392</v>
      </c>
      <c r="C30" s="2463">
        <v>302</v>
      </c>
      <c r="D30" s="2463">
        <f t="shared" si="13"/>
        <v>302</v>
      </c>
      <c r="E30" s="2463">
        <v>553</v>
      </c>
      <c r="F30" s="2464">
        <v>266</v>
      </c>
      <c r="G30" s="3816">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892</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811"/>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882</v>
      </c>
      <c r="B32" s="2445">
        <f t="shared" si="19"/>
        <v>360.06949782209392</v>
      </c>
      <c r="C32" s="2445">
        <f t="shared" si="19"/>
        <v>289.84672674747821</v>
      </c>
      <c r="D32" s="2445">
        <f t="shared" si="20"/>
        <v>289.84672674747821</v>
      </c>
      <c r="E32" s="2445">
        <f t="shared" si="21"/>
        <v>501.06543001181495</v>
      </c>
      <c r="F32" s="2445">
        <f t="shared" si="21"/>
        <v>256.82882500744967</v>
      </c>
      <c r="G32" s="3811"/>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891</v>
      </c>
      <c r="B33" s="2445">
        <f t="shared" si="19"/>
        <v>346.720748986128</v>
      </c>
      <c r="C33" s="2445">
        <f t="shared" si="19"/>
        <v>284.30282172386285</v>
      </c>
      <c r="D33" s="2445">
        <f t="shared" si="20"/>
        <v>284.30282172386285</v>
      </c>
      <c r="E33" s="2445">
        <f t="shared" si="21"/>
        <v>479.58023546306947</v>
      </c>
      <c r="F33" s="2445">
        <f t="shared" si="21"/>
        <v>253.25788877571213</v>
      </c>
      <c r="G33" s="3812"/>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890</v>
      </c>
      <c r="B34" s="2463">
        <v>333</v>
      </c>
      <c r="C34" s="2463">
        <v>277</v>
      </c>
      <c r="D34" s="2463">
        <f t="shared" si="20"/>
        <v>277</v>
      </c>
      <c r="E34" s="2463">
        <v>459</v>
      </c>
      <c r="F34" s="2464">
        <v>249</v>
      </c>
      <c r="G34" s="3810">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889</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811"/>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888</v>
      </c>
      <c r="B36" s="2445">
        <f t="shared" si="23"/>
        <v>322.34053690220776</v>
      </c>
      <c r="C36" s="2445">
        <f t="shared" si="23"/>
        <v>271.46160770422546</v>
      </c>
      <c r="D36" s="2445">
        <f t="shared" si="20"/>
        <v>271.46160770422546</v>
      </c>
      <c r="E36" s="2445">
        <f t="shared" si="24"/>
        <v>442.69434542172456</v>
      </c>
      <c r="F36" s="2445">
        <f t="shared" si="24"/>
        <v>241.34030753190925</v>
      </c>
      <c r="G36" s="3811"/>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887</v>
      </c>
      <c r="B37" s="2445">
        <f t="shared" si="23"/>
        <v>319.87748030386797</v>
      </c>
      <c r="C37" s="2445">
        <f t="shared" si="23"/>
        <v>269.60135833173649</v>
      </c>
      <c r="D37" s="2445">
        <f t="shared" si="20"/>
        <v>269.60135833173649</v>
      </c>
      <c r="E37" s="2445">
        <f t="shared" si="24"/>
        <v>439.18089823583784</v>
      </c>
      <c r="F37" s="2445">
        <f t="shared" si="24"/>
        <v>239.23503918706311</v>
      </c>
      <c r="G37" s="3812"/>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886</v>
      </c>
      <c r="B38" s="2470">
        <v>318</v>
      </c>
      <c r="C38" s="2470">
        <v>268</v>
      </c>
      <c r="D38" s="2470">
        <f t="shared" si="20"/>
        <v>268</v>
      </c>
      <c r="E38" s="2470">
        <v>437</v>
      </c>
      <c r="F38" s="2471">
        <v>237</v>
      </c>
      <c r="G38" s="3810">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885</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811"/>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884</v>
      </c>
      <c r="B40" s="2445">
        <f t="shared" si="25"/>
        <v>314.72141172386546</v>
      </c>
      <c r="C40" s="2445">
        <f t="shared" si="25"/>
        <v>263.03901319069001</v>
      </c>
      <c r="D40" s="2445">
        <f t="shared" si="20"/>
        <v>263.03901319069001</v>
      </c>
      <c r="E40" s="2445">
        <f t="shared" si="26"/>
        <v>433.65745506782821</v>
      </c>
      <c r="F40" s="2445">
        <f t="shared" si="26"/>
        <v>233.23005080045735</v>
      </c>
      <c r="G40" s="3811"/>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883</v>
      </c>
      <c r="B41" s="2475">
        <f t="shared" si="25"/>
        <v>307.34512863658733</v>
      </c>
      <c r="C41" s="2475">
        <f t="shared" si="25"/>
        <v>257.80556031626975</v>
      </c>
      <c r="D41" s="2475">
        <f t="shared" si="20"/>
        <v>257.80556031626975</v>
      </c>
      <c r="E41" s="2475">
        <f t="shared" si="26"/>
        <v>422.70928459677179</v>
      </c>
      <c r="F41" s="2475">
        <f t="shared" si="26"/>
        <v>229.73803270336617</v>
      </c>
      <c r="G41" s="3812"/>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1920</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1863</v>
      </c>
      <c r="B42" s="2463">
        <v>299</v>
      </c>
      <c r="C42" s="2463">
        <v>252</v>
      </c>
      <c r="D42" s="2463">
        <f t="shared" si="20"/>
        <v>252</v>
      </c>
      <c r="E42" s="2463">
        <v>409</v>
      </c>
      <c r="F42" s="2464">
        <v>227</v>
      </c>
      <c r="G42" s="3813">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1864</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814"/>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1865</v>
      </c>
      <c r="B44" s="2445">
        <f t="shared" si="27"/>
        <v>288.2649053828776</v>
      </c>
      <c r="C44" s="2445">
        <f t="shared" si="27"/>
        <v>243.64564425013293</v>
      </c>
      <c r="D44" s="2445">
        <f t="shared" si="20"/>
        <v>243.64564425013293</v>
      </c>
      <c r="E44" s="2445">
        <f t="shared" si="28"/>
        <v>393.31080825986544</v>
      </c>
      <c r="F44" s="2445">
        <f t="shared" si="28"/>
        <v>223.07903790551154</v>
      </c>
      <c r="G44" s="3814"/>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1866</v>
      </c>
      <c r="B45" s="2445">
        <f t="shared" si="27"/>
        <v>282.50186729015837</v>
      </c>
      <c r="C45" s="2445">
        <f t="shared" si="27"/>
        <v>238.09796174155468</v>
      </c>
      <c r="D45" s="2445">
        <f t="shared" si="20"/>
        <v>238.09796174155468</v>
      </c>
      <c r="E45" s="2445">
        <f t="shared" si="28"/>
        <v>385.33438646014054</v>
      </c>
      <c r="F45" s="2445">
        <f t="shared" si="28"/>
        <v>221.55034055567739</v>
      </c>
      <c r="G45" s="3815"/>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1867</v>
      </c>
      <c r="B46" s="2489">
        <v>278</v>
      </c>
      <c r="C46" s="2489">
        <v>234</v>
      </c>
      <c r="D46" s="2489">
        <f t="shared" si="20"/>
        <v>234</v>
      </c>
      <c r="E46" s="2489">
        <v>379</v>
      </c>
      <c r="F46" s="2490">
        <v>220</v>
      </c>
      <c r="G46" s="3810">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1868</v>
      </c>
      <c r="B47" s="2445">
        <f>B46/(1+N46)</f>
        <v>275.49301357645425</v>
      </c>
      <c r="C47" s="2445">
        <f>C46/(1+O46)</f>
        <v>232.41954707985698</v>
      </c>
      <c r="D47" s="2445">
        <f t="shared" si="20"/>
        <v>232.41954707985698</v>
      </c>
      <c r="E47" s="2445">
        <f t="shared" ref="E47:F49" si="29">E46/(1+P46)</f>
        <v>375.32184591008121</v>
      </c>
      <c r="F47" s="2445">
        <f t="shared" si="29"/>
        <v>218.03766105054513</v>
      </c>
      <c r="G47" s="3811"/>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1869</v>
      </c>
      <c r="B48" s="2445">
        <f>B47/(1+N47)</f>
        <v>275.24529281292263</v>
      </c>
      <c r="C48" s="2445">
        <f>C47/(1+O47)</f>
        <v>231.74747938962707</v>
      </c>
      <c r="D48" s="2445">
        <f t="shared" si="20"/>
        <v>231.74747938962707</v>
      </c>
      <c r="E48" s="2445">
        <f t="shared" si="29"/>
        <v>375.35938184826603</v>
      </c>
      <c r="F48" s="2445">
        <f t="shared" si="29"/>
        <v>216.78033510692495</v>
      </c>
      <c r="G48" s="3811"/>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1870</v>
      </c>
      <c r="B49" s="2445">
        <f>B48/(1+N48)</f>
        <v>275.19025476197027</v>
      </c>
      <c r="C49" s="2491">
        <v>232</v>
      </c>
      <c r="D49" s="2491">
        <f t="shared" si="20"/>
        <v>232</v>
      </c>
      <c r="E49" s="2445">
        <f t="shared" si="29"/>
        <v>375.65990977608692</v>
      </c>
      <c r="F49" s="2445">
        <f t="shared" si="29"/>
        <v>214.12518283971252</v>
      </c>
      <c r="G49" s="3812"/>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1871</v>
      </c>
      <c r="B50" s="2463">
        <v>275</v>
      </c>
      <c r="C50" s="2463">
        <v>232</v>
      </c>
      <c r="D50" s="2463">
        <f t="shared" si="20"/>
        <v>232</v>
      </c>
      <c r="E50" s="2463">
        <v>376</v>
      </c>
      <c r="F50" s="2464">
        <v>213</v>
      </c>
      <c r="G50" s="3810">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1872</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811">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1873</v>
      </c>
      <c r="B52" s="2445">
        <f t="shared" si="30"/>
        <v>275.19335084830601</v>
      </c>
      <c r="C52" s="2445">
        <f t="shared" si="30"/>
        <v>230.18088050139744</v>
      </c>
      <c r="D52" s="2445">
        <f t="shared" si="20"/>
        <v>230.18088050139744</v>
      </c>
      <c r="E52" s="2445">
        <f t="shared" si="31"/>
        <v>377.58482925212331</v>
      </c>
      <c r="F52" s="2445">
        <f t="shared" si="31"/>
        <v>210.90687997847917</v>
      </c>
      <c r="G52" s="3811">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1874</v>
      </c>
      <c r="B53" s="2445">
        <f t="shared" si="30"/>
        <v>276.29854502841971</v>
      </c>
      <c r="C53" s="2445">
        <f t="shared" si="30"/>
        <v>229.79023709833027</v>
      </c>
      <c r="D53" s="2445">
        <f t="shared" si="20"/>
        <v>229.79023709833027</v>
      </c>
      <c r="E53" s="2445">
        <f t="shared" si="31"/>
        <v>379.78759731655936</v>
      </c>
      <c r="F53" s="2445">
        <f t="shared" si="31"/>
        <v>211.32953905659235</v>
      </c>
      <c r="G53" s="3812">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1875</v>
      </c>
      <c r="B54" s="2463">
        <v>269</v>
      </c>
      <c r="C54" s="2463">
        <v>221</v>
      </c>
      <c r="D54" s="2463">
        <f t="shared" si="20"/>
        <v>221</v>
      </c>
      <c r="E54" s="2463">
        <v>373</v>
      </c>
      <c r="F54" s="2464">
        <v>196</v>
      </c>
      <c r="G54" s="3810">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1876</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811">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1877</v>
      </c>
      <c r="B56" s="2445">
        <f t="shared" si="32"/>
        <v>242.95398227588385</v>
      </c>
      <c r="C56" s="2445">
        <f t="shared" si="32"/>
        <v>199.59137053614126</v>
      </c>
      <c r="D56" s="2445">
        <f t="shared" si="20"/>
        <v>199.59137053614126</v>
      </c>
      <c r="E56" s="2445">
        <f t="shared" si="33"/>
        <v>335.92189522342125</v>
      </c>
      <c r="F56" s="2445">
        <f t="shared" si="33"/>
        <v>183.10139991109489</v>
      </c>
      <c r="G56" s="3811">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1878</v>
      </c>
      <c r="B57" s="2445">
        <f t="shared" si="32"/>
        <v>232.06990378821649</v>
      </c>
      <c r="C57" s="2445">
        <f t="shared" si="32"/>
        <v>192.74878854286936</v>
      </c>
      <c r="D57" s="2445">
        <f t="shared" si="20"/>
        <v>192.74878854286936</v>
      </c>
      <c r="E57" s="2445">
        <f t="shared" si="33"/>
        <v>319.71247284992984</v>
      </c>
      <c r="F57" s="2445">
        <f t="shared" si="33"/>
        <v>175.67053622862409</v>
      </c>
      <c r="G57" s="3812">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1879</v>
      </c>
      <c r="B58" s="2463">
        <v>220</v>
      </c>
      <c r="C58" s="2463">
        <v>187</v>
      </c>
      <c r="D58" s="2463">
        <f t="shared" si="20"/>
        <v>187</v>
      </c>
      <c r="E58" s="2463">
        <v>301</v>
      </c>
      <c r="F58" s="2464">
        <v>168</v>
      </c>
      <c r="G58" s="3810">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1880</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811">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1881</v>
      </c>
      <c r="B60" s="2445">
        <f t="shared" si="34"/>
        <v>210.630522469011</v>
      </c>
      <c r="C60" s="2445">
        <f t="shared" si="34"/>
        <v>181.69567812247232</v>
      </c>
      <c r="D60" s="2445">
        <f t="shared" si="20"/>
        <v>181.69567812247232</v>
      </c>
      <c r="E60" s="2445">
        <f t="shared" si="35"/>
        <v>286.13517466736738</v>
      </c>
      <c r="F60" s="2445">
        <f t="shared" si="35"/>
        <v>165.47535084591149</v>
      </c>
      <c r="G60" s="3811">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1882</v>
      </c>
      <c r="B61" s="2445">
        <f t="shared" si="34"/>
        <v>208.83454537875372</v>
      </c>
      <c r="C61" s="2445">
        <f t="shared" si="34"/>
        <v>183.77230517090351</v>
      </c>
      <c r="D61" s="2445">
        <f t="shared" si="20"/>
        <v>183.77230517090351</v>
      </c>
      <c r="E61" s="2445">
        <f t="shared" si="35"/>
        <v>281.10342338870947</v>
      </c>
      <c r="F61" s="2445">
        <f t="shared" si="35"/>
        <v>168.97309388942256</v>
      </c>
      <c r="G61" s="3812">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1883</v>
      </c>
      <c r="B62" s="2489">
        <v>214</v>
      </c>
      <c r="C62" s="2489">
        <v>188</v>
      </c>
      <c r="D62" s="2489">
        <f t="shared" si="20"/>
        <v>188</v>
      </c>
      <c r="E62" s="2489">
        <v>289</v>
      </c>
      <c r="F62" s="2490">
        <v>166</v>
      </c>
      <c r="G62" s="3810">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1884</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811">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1885</v>
      </c>
      <c r="B64" s="2445">
        <f t="shared" si="36"/>
        <v>206.31694671589116</v>
      </c>
      <c r="C64" s="2445">
        <f t="shared" si="36"/>
        <v>183.61041121036101</v>
      </c>
      <c r="D64" s="2445">
        <f t="shared" si="20"/>
        <v>183.61041121036101</v>
      </c>
      <c r="E64" s="2445">
        <f t="shared" si="37"/>
        <v>276.66850301795557</v>
      </c>
      <c r="F64" s="2445">
        <f t="shared" si="37"/>
        <v>165.1360938278614</v>
      </c>
      <c r="G64" s="3811">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1886</v>
      </c>
      <c r="B65" s="2492">
        <f t="shared" si="36"/>
        <v>196.62341248059772</v>
      </c>
      <c r="C65" s="2492">
        <f t="shared" si="36"/>
        <v>170.99125648199012</v>
      </c>
      <c r="D65" s="2492">
        <f t="shared" si="20"/>
        <v>170.99125648199012</v>
      </c>
      <c r="E65" s="2492">
        <f t="shared" si="37"/>
        <v>266.07857570490052</v>
      </c>
      <c r="F65" s="2492">
        <f t="shared" si="37"/>
        <v>154.53499328828505</v>
      </c>
      <c r="G65" s="3812">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1887</v>
      </c>
      <c r="B66" s="2463">
        <v>188</v>
      </c>
      <c r="C66" s="2463">
        <v>165</v>
      </c>
      <c r="D66" s="2463">
        <f t="shared" si="20"/>
        <v>165</v>
      </c>
      <c r="E66" s="2463">
        <v>254</v>
      </c>
      <c r="F66" s="2464">
        <v>148</v>
      </c>
      <c r="G66" s="3810">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1888</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811">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1889</v>
      </c>
      <c r="B68" s="2445">
        <f t="shared" si="40"/>
        <v>168.82017748715555</v>
      </c>
      <c r="C68" s="2445">
        <f t="shared" si="40"/>
        <v>148.06267029972753</v>
      </c>
      <c r="D68" s="2445">
        <f t="shared" si="20"/>
        <v>148.06267029972753</v>
      </c>
      <c r="E68" s="2445">
        <f t="shared" si="41"/>
        <v>216.46288379323747</v>
      </c>
      <c r="F68" s="2445">
        <f t="shared" si="41"/>
        <v>134.23529411764704</v>
      </c>
      <c r="G68" s="3811">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1890</v>
      </c>
      <c r="B69" s="2445">
        <f t="shared" si="40"/>
        <v>163.84913591779542</v>
      </c>
      <c r="C69" s="2445">
        <f t="shared" si="40"/>
        <v>145.0283378746594</v>
      </c>
      <c r="D69" s="2445">
        <f t="shared" si="20"/>
        <v>145.0283378746594</v>
      </c>
      <c r="E69" s="2445">
        <f t="shared" si="41"/>
        <v>204.95180722891567</v>
      </c>
      <c r="F69" s="2445">
        <f t="shared" si="41"/>
        <v>125.95920303605313</v>
      </c>
      <c r="G69" s="3812">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1891</v>
      </c>
      <c r="B70" s="2470">
        <v>159</v>
      </c>
      <c r="C70" s="2470">
        <v>141</v>
      </c>
      <c r="D70" s="2470">
        <f t="shared" si="20"/>
        <v>141</v>
      </c>
      <c r="E70" s="2470">
        <v>195</v>
      </c>
      <c r="F70" s="2471">
        <v>122</v>
      </c>
      <c r="G70" s="3810">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1892</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811">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1893</v>
      </c>
      <c r="B72" s="2445">
        <f t="shared" si="44"/>
        <v>146.57412060301507</v>
      </c>
      <c r="C72" s="2445">
        <f t="shared" si="44"/>
        <v>136.46831955922866</v>
      </c>
      <c r="D72" s="2445">
        <f t="shared" si="20"/>
        <v>136.46831955922866</v>
      </c>
      <c r="E72" s="2445">
        <f t="shared" si="45"/>
        <v>166.73864894795128</v>
      </c>
      <c r="F72" s="2445">
        <f t="shared" si="45"/>
        <v>115.05882352941177</v>
      </c>
      <c r="G72" s="3811">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1894</v>
      </c>
      <c r="B73" s="2445">
        <f t="shared" si="44"/>
        <v>144.04145728643215</v>
      </c>
      <c r="C73" s="2445">
        <f t="shared" si="44"/>
        <v>136.12396694214877</v>
      </c>
      <c r="D73" s="2445">
        <f t="shared" si="20"/>
        <v>136.12396694214877</v>
      </c>
      <c r="E73" s="2445">
        <f t="shared" si="45"/>
        <v>158.32225913621264</v>
      </c>
      <c r="F73" s="2445">
        <f t="shared" si="45"/>
        <v>114.04278074866311</v>
      </c>
      <c r="G73" s="3812">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1895</v>
      </c>
      <c r="B74" s="2470">
        <v>138</v>
      </c>
      <c r="C74" s="2470">
        <v>131</v>
      </c>
      <c r="D74" s="2470">
        <f t="shared" si="20"/>
        <v>131</v>
      </c>
      <c r="E74" s="2470">
        <v>155</v>
      </c>
      <c r="F74" s="2471">
        <v>114</v>
      </c>
      <c r="G74" s="3810">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1896</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811">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1897</v>
      </c>
      <c r="B76" s="2445">
        <f t="shared" si="48"/>
        <v>124.29032258064517</v>
      </c>
      <c r="C76" s="2445">
        <f t="shared" si="48"/>
        <v>123.8968609865471</v>
      </c>
      <c r="D76" s="2445">
        <f t="shared" si="20"/>
        <v>123.8968609865471</v>
      </c>
      <c r="E76" s="2445">
        <f t="shared" si="49"/>
        <v>138.00507614213197</v>
      </c>
      <c r="F76" s="2445">
        <f t="shared" si="49"/>
        <v>107.96106557377048</v>
      </c>
      <c r="G76" s="3811">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1898</v>
      </c>
      <c r="B77" s="2445">
        <f t="shared" si="48"/>
        <v>122.57204301075269</v>
      </c>
      <c r="C77" s="2445">
        <f t="shared" si="48"/>
        <v>123.4932735426009</v>
      </c>
      <c r="D77" s="2445">
        <f t="shared" si="20"/>
        <v>123.4932735426009</v>
      </c>
      <c r="E77" s="2445">
        <f t="shared" si="49"/>
        <v>129.82233502538071</v>
      </c>
      <c r="F77" s="2445">
        <f t="shared" si="49"/>
        <v>107.39446721311475</v>
      </c>
      <c r="G77" s="3812">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1899</v>
      </c>
      <c r="B78" s="2489">
        <v>121</v>
      </c>
      <c r="C78" s="2489">
        <v>122</v>
      </c>
      <c r="D78" s="2489">
        <f t="shared" si="20"/>
        <v>122</v>
      </c>
      <c r="E78" s="2489">
        <v>124</v>
      </c>
      <c r="F78" s="2490">
        <v>107</v>
      </c>
      <c r="G78" s="3810">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1900</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811">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1901</v>
      </c>
      <c r="B80" s="2445">
        <f t="shared" si="52"/>
        <v>116.99099099099099</v>
      </c>
      <c r="C80" s="2445">
        <f t="shared" si="52"/>
        <v>118.84848484848486</v>
      </c>
      <c r="D80" s="2445">
        <f t="shared" si="20"/>
        <v>118.84848484848486</v>
      </c>
      <c r="E80" s="2445">
        <f t="shared" si="53"/>
        <v>117.60960960960961</v>
      </c>
      <c r="F80" s="2445">
        <f t="shared" si="53"/>
        <v>104</v>
      </c>
      <c r="G80" s="3811">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1902</v>
      </c>
      <c r="B81" s="2492">
        <f t="shared" si="52"/>
        <v>112.48648648648648</v>
      </c>
      <c r="C81" s="2492">
        <f t="shared" si="52"/>
        <v>115.21212121212122</v>
      </c>
      <c r="D81" s="2492">
        <f t="shared" si="20"/>
        <v>115.21212121212122</v>
      </c>
      <c r="E81" s="2492">
        <f t="shared" si="53"/>
        <v>110.4024024024024</v>
      </c>
      <c r="F81" s="2492">
        <f t="shared" si="53"/>
        <v>104</v>
      </c>
      <c r="G81" s="3812">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1903</v>
      </c>
      <c r="B82" s="2509">
        <v>111</v>
      </c>
      <c r="C82" s="2509">
        <v>114</v>
      </c>
      <c r="D82" s="2509">
        <f t="shared" si="20"/>
        <v>114</v>
      </c>
      <c r="E82" s="2509">
        <v>108</v>
      </c>
      <c r="F82" s="2510">
        <v>104</v>
      </c>
      <c r="G82" s="3810">
        <v>2003</v>
      </c>
      <c r="H82" s="2499">
        <v>4</v>
      </c>
      <c r="I82" s="2511"/>
      <c r="J82" s="2511"/>
      <c r="K82" s="2511"/>
      <c r="L82" s="2511"/>
      <c r="N82" s="2512"/>
      <c r="O82" s="2511"/>
      <c r="P82" s="2511"/>
      <c r="Q82" s="2511"/>
      <c r="S82" s="2512"/>
      <c r="T82" s="2511"/>
      <c r="U82" s="2511"/>
      <c r="V82" s="2511"/>
      <c r="X82" s="2503"/>
      <c r="Y82" s="2503"/>
      <c r="Z82" s="2503"/>
    </row>
    <row r="83" spans="1:26">
      <c r="A83" s="2444" t="s">
        <v>1904</v>
      </c>
      <c r="B83" s="2513">
        <f t="shared" ref="B83:C85" si="54">B84+(B$82-B$86)/4</f>
        <v>109.75</v>
      </c>
      <c r="C83" s="2513">
        <f t="shared" si="54"/>
        <v>112.25</v>
      </c>
      <c r="D83" s="2513">
        <f t="shared" si="20"/>
        <v>112.25</v>
      </c>
      <c r="E83" s="2513">
        <f t="shared" ref="E83:F85" si="55">E84+(E$82-E$86)/4</f>
        <v>107.25</v>
      </c>
      <c r="F83" s="2513">
        <f t="shared" si="55"/>
        <v>103.5</v>
      </c>
      <c r="G83" s="3811">
        <v>2003</v>
      </c>
      <c r="H83" s="2468">
        <v>3</v>
      </c>
      <c r="I83" s="2511"/>
      <c r="J83" s="2511"/>
      <c r="K83" s="2511"/>
      <c r="L83" s="2511"/>
      <c r="X83" s="2503"/>
      <c r="Y83" s="2503"/>
      <c r="Z83" s="2503"/>
    </row>
    <row r="84" spans="1:26">
      <c r="A84" s="2444" t="s">
        <v>1905</v>
      </c>
      <c r="B84" s="2513">
        <f t="shared" si="54"/>
        <v>108.5</v>
      </c>
      <c r="C84" s="2513">
        <f t="shared" si="54"/>
        <v>110.5</v>
      </c>
      <c r="D84" s="2513">
        <f t="shared" si="20"/>
        <v>110.5</v>
      </c>
      <c r="E84" s="2513">
        <f t="shared" si="55"/>
        <v>106.5</v>
      </c>
      <c r="F84" s="2513">
        <f t="shared" si="55"/>
        <v>103</v>
      </c>
      <c r="G84" s="3811">
        <v>2003</v>
      </c>
      <c r="H84" s="2459">
        <v>2</v>
      </c>
      <c r="I84" s="2511"/>
      <c r="J84" s="2511"/>
      <c r="K84" s="2511"/>
      <c r="L84" s="2511"/>
      <c r="X84" s="2503"/>
      <c r="Y84" s="2503"/>
      <c r="Z84" s="2503"/>
    </row>
    <row r="85" spans="1:26" ht="13.5" thickBot="1">
      <c r="A85" s="2444" t="s">
        <v>1906</v>
      </c>
      <c r="B85" s="2513">
        <f t="shared" si="54"/>
        <v>107.25</v>
      </c>
      <c r="C85" s="2513">
        <f t="shared" si="54"/>
        <v>108.75</v>
      </c>
      <c r="D85" s="2513">
        <f t="shared" si="20"/>
        <v>108.75</v>
      </c>
      <c r="E85" s="2513">
        <f t="shared" si="55"/>
        <v>105.75</v>
      </c>
      <c r="F85" s="2513">
        <f t="shared" si="55"/>
        <v>102.5</v>
      </c>
      <c r="G85" s="3812">
        <v>2003</v>
      </c>
      <c r="H85" s="2514">
        <v>1</v>
      </c>
      <c r="I85" s="2511"/>
      <c r="J85" s="2511"/>
      <c r="K85" s="2511"/>
      <c r="L85" s="2511"/>
      <c r="S85" s="2447"/>
      <c r="T85" s="2443"/>
      <c r="U85" s="2443"/>
      <c r="X85" s="2503"/>
      <c r="Y85" s="2503"/>
      <c r="Z85" s="2503"/>
    </row>
    <row r="86" spans="1:26" ht="13.5" thickBot="1">
      <c r="A86" s="2444" t="s">
        <v>1907</v>
      </c>
      <c r="B86" s="2515">
        <v>106</v>
      </c>
      <c r="C86" s="2515">
        <v>107</v>
      </c>
      <c r="D86" s="2515">
        <f t="shared" si="20"/>
        <v>107</v>
      </c>
      <c r="E86" s="2515">
        <v>105</v>
      </c>
      <c r="F86" s="2516">
        <v>102</v>
      </c>
      <c r="G86" s="3810">
        <v>2002</v>
      </c>
      <c r="H86" s="2465">
        <v>4</v>
      </c>
      <c r="I86" s="2511"/>
      <c r="J86" s="2511"/>
      <c r="K86" s="2511"/>
      <c r="L86" s="2511"/>
      <c r="N86" s="2512"/>
      <c r="O86" s="2511"/>
      <c r="P86" s="2511"/>
      <c r="Q86" s="2511"/>
      <c r="S86" s="2512"/>
      <c r="T86" s="2511"/>
      <c r="U86" s="2511"/>
      <c r="V86" s="2511"/>
      <c r="X86" s="2503"/>
      <c r="Y86" s="2503"/>
      <c r="Z86" s="2503"/>
    </row>
    <row r="87" spans="1:26">
      <c r="A87" s="2444" t="s">
        <v>1908</v>
      </c>
      <c r="B87" s="2513">
        <f t="shared" ref="B87:C89" si="56">B88+(B$86-B$90)/4</f>
        <v>105</v>
      </c>
      <c r="C87" s="2513">
        <f t="shared" si="56"/>
        <v>106</v>
      </c>
      <c r="D87" s="2513">
        <f t="shared" si="20"/>
        <v>106</v>
      </c>
      <c r="E87" s="2513">
        <f t="shared" ref="E87:F89" si="57">E88+(E$86-E$90)/4</f>
        <v>104.5</v>
      </c>
      <c r="F87" s="2513">
        <f t="shared" si="57"/>
        <v>101.5</v>
      </c>
      <c r="G87" s="3811">
        <v>2002</v>
      </c>
      <c r="H87" s="2468">
        <v>3</v>
      </c>
      <c r="I87" s="2511"/>
      <c r="J87" s="2511"/>
      <c r="K87" s="2511"/>
      <c r="L87" s="2511"/>
      <c r="X87" s="2503"/>
      <c r="Y87" s="2503"/>
      <c r="Z87" s="2503"/>
    </row>
    <row r="88" spans="1:26">
      <c r="A88" s="2444" t="s">
        <v>1909</v>
      </c>
      <c r="B88" s="2513">
        <f t="shared" si="56"/>
        <v>104</v>
      </c>
      <c r="C88" s="2513">
        <f t="shared" si="56"/>
        <v>105</v>
      </c>
      <c r="D88" s="2513">
        <f t="shared" si="20"/>
        <v>105</v>
      </c>
      <c r="E88" s="2513">
        <f t="shared" si="57"/>
        <v>104</v>
      </c>
      <c r="F88" s="2513">
        <f t="shared" si="57"/>
        <v>101</v>
      </c>
      <c r="G88" s="3811">
        <v>2002</v>
      </c>
      <c r="H88" s="2459">
        <v>2</v>
      </c>
      <c r="I88" s="2511"/>
      <c r="J88" s="2511"/>
      <c r="K88" s="2511"/>
      <c r="L88" s="2511"/>
      <c r="X88" s="2503"/>
      <c r="Y88" s="2503"/>
      <c r="Z88" s="2503"/>
    </row>
    <row r="89" spans="1:26" s="2478" customFormat="1" ht="13.5" thickBot="1">
      <c r="A89" s="2474" t="s">
        <v>1910</v>
      </c>
      <c r="B89" s="2481">
        <f t="shared" si="56"/>
        <v>103</v>
      </c>
      <c r="C89" s="2481">
        <f t="shared" si="56"/>
        <v>104</v>
      </c>
      <c r="D89" s="2481">
        <f t="shared" si="20"/>
        <v>104</v>
      </c>
      <c r="E89" s="2481">
        <f t="shared" si="57"/>
        <v>103.5</v>
      </c>
      <c r="F89" s="2481">
        <f t="shared" si="57"/>
        <v>100.5</v>
      </c>
      <c r="G89" s="3812">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1911</v>
      </c>
      <c r="G92" s="2526"/>
      <c r="N92" s="2526"/>
      <c r="S92" s="2526"/>
    </row>
    <row r="93" spans="1:26" s="2525" customFormat="1">
      <c r="A93" s="2525" t="s">
        <v>1912</v>
      </c>
      <c r="G93" s="2526"/>
      <c r="N93" s="2526"/>
      <c r="S93" s="2526"/>
    </row>
    <row r="94" spans="1:26" s="2525" customFormat="1">
      <c r="A94" s="2525" t="s">
        <v>1913</v>
      </c>
      <c r="G94" s="2526"/>
      <c r="I94" s="2527"/>
      <c r="J94" s="2527"/>
      <c r="K94" s="2527"/>
      <c r="L94" s="2527"/>
      <c r="N94" s="2528"/>
      <c r="O94" s="2527"/>
      <c r="P94" s="2527"/>
      <c r="Q94" s="2527"/>
      <c r="S94" s="2528"/>
      <c r="T94" s="2527"/>
      <c r="U94" s="2527"/>
      <c r="V94" s="2527"/>
    </row>
    <row r="95" spans="1:26" s="2525" customFormat="1">
      <c r="A95" s="2525" t="s">
        <v>1914</v>
      </c>
      <c r="G95" s="2526"/>
      <c r="N95" s="2526"/>
      <c r="S95" s="2526"/>
    </row>
    <row r="102" spans="7:22" ht="13.5" thickBot="1"/>
    <row r="103" spans="7:22">
      <c r="G103" s="2442"/>
      <c r="S103" s="2529" t="s">
        <v>1915</v>
      </c>
      <c r="T103" s="2468" t="s">
        <v>1916</v>
      </c>
      <c r="U103" s="2468" t="s">
        <v>1917</v>
      </c>
      <c r="V103" s="2468" t="s">
        <v>1918</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78" sqref="R78"/>
    </sheetView>
  </sheetViews>
  <sheetFormatPr defaultRowHeight="13.5"/>
  <cols>
    <col min="1" max="1" width="12.375" customWidth="1"/>
    <col min="11" max="17" width="0" hidden="1" customWidth="1"/>
    <col min="24" max="30" width="0" hidden="1" customWidth="1"/>
  </cols>
  <sheetData>
    <row r="1" spans="1:30">
      <c r="A1" s="3134">
        <f>基准地价!G23</f>
        <v>41863</v>
      </c>
      <c r="B1" s="3091" t="s">
        <v>3263</v>
      </c>
      <c r="C1" s="3092"/>
      <c r="D1" s="3092"/>
      <c r="E1" s="3092"/>
      <c r="F1" s="3092"/>
      <c r="G1" s="3092"/>
      <c r="H1" s="3092"/>
      <c r="I1" s="3092"/>
      <c r="J1" s="3093"/>
      <c r="K1" s="3092" t="s">
        <v>2786</v>
      </c>
      <c r="L1" s="3092"/>
      <c r="M1" s="3092"/>
      <c r="N1" s="3092"/>
      <c r="O1" s="3092"/>
      <c r="P1" s="3092"/>
      <c r="Q1" s="3093"/>
      <c r="R1" s="3818" t="s">
        <v>2794</v>
      </c>
      <c r="S1" s="3767"/>
      <c r="T1" s="3767"/>
      <c r="U1" s="3767"/>
      <c r="V1" s="3767"/>
      <c r="W1" s="3767"/>
      <c r="X1" s="3093"/>
      <c r="Y1" s="3818" t="s">
        <v>2805</v>
      </c>
      <c r="Z1" s="3767"/>
      <c r="AA1" s="3767"/>
      <c r="AB1" s="3767"/>
      <c r="AC1" s="3767"/>
      <c r="AD1" s="3767"/>
    </row>
    <row r="2" spans="1:30" ht="14.25" thickBot="1">
      <c r="A2" s="3086"/>
      <c r="B2" s="3094"/>
      <c r="C2" s="3095"/>
      <c r="D2" s="2425" t="s">
        <v>2788</v>
      </c>
      <c r="E2" s="2426" t="s">
        <v>2789</v>
      </c>
      <c r="F2" s="2426" t="s">
        <v>2790</v>
      </c>
      <c r="G2" s="2426" t="s">
        <v>2791</v>
      </c>
      <c r="H2" s="2426" t="s">
        <v>2792</v>
      </c>
      <c r="I2" s="2426" t="s">
        <v>2734</v>
      </c>
      <c r="J2" s="3096"/>
      <c r="K2" s="2425" t="s">
        <v>2788</v>
      </c>
      <c r="L2" s="2426" t="s">
        <v>2789</v>
      </c>
      <c r="M2" s="2426" t="s">
        <v>2790</v>
      </c>
      <c r="N2" s="2426" t="s">
        <v>2791</v>
      </c>
      <c r="O2" s="2426" t="s">
        <v>2792</v>
      </c>
      <c r="P2" s="2426" t="s">
        <v>2734</v>
      </c>
      <c r="Q2" s="3096"/>
      <c r="R2" s="2425" t="s">
        <v>2795</v>
      </c>
      <c r="S2" s="2426" t="s">
        <v>2796</v>
      </c>
      <c r="T2" s="2426" t="s">
        <v>2797</v>
      </c>
      <c r="U2" s="2426" t="s">
        <v>2798</v>
      </c>
      <c r="V2" s="2426" t="s">
        <v>2799</v>
      </c>
      <c r="W2" s="2426" t="s">
        <v>2800</v>
      </c>
      <c r="X2" s="3096"/>
      <c r="Y2" s="2425" t="s">
        <v>2788</v>
      </c>
      <c r="Z2" s="2426" t="s">
        <v>1468</v>
      </c>
      <c r="AA2" s="2426" t="s">
        <v>2806</v>
      </c>
      <c r="AB2" s="2426" t="s">
        <v>1467</v>
      </c>
      <c r="AC2" s="2426" t="s">
        <v>2792</v>
      </c>
      <c r="AD2" s="2426" t="s">
        <v>2451</v>
      </c>
    </row>
    <row r="3" spans="1:30">
      <c r="A3" s="3087" t="s">
        <v>2777</v>
      </c>
      <c r="B3" s="3097"/>
      <c r="C3" s="3098"/>
      <c r="D3" s="3098">
        <f>ROUND(AVERAGEIF(D4:D21,"&lt;&gt;0"),2)</f>
        <v>0.38</v>
      </c>
      <c r="E3" s="3098">
        <f>ROUND(AVERAGEIF(E4:E21,"&lt;&gt;0"),2)</f>
        <v>0.26</v>
      </c>
      <c r="F3" s="3098">
        <f>ROUND(AVERAGEIF(F4:F21,"&lt;&gt;0"),2)</f>
        <v>-0.01</v>
      </c>
      <c r="G3" s="3098">
        <f>ROUND(AVERAGEIF(G4:G21,"&lt;&gt;0"),2)</f>
        <v>0.41</v>
      </c>
      <c r="H3" s="3098">
        <f>ROUND(AVERAGEIF(H4:H21,"&lt;&gt;0"),2)</f>
        <v>0.52</v>
      </c>
      <c r="I3" s="3098">
        <f>F3</f>
        <v>-0.01</v>
      </c>
      <c r="J3" s="3099"/>
      <c r="K3" s="3100">
        <f>ROUND(AVERAGEIF(K4:K21,"&lt;&gt;0"),4)</f>
        <v>3.8E-3</v>
      </c>
      <c r="L3" s="3101">
        <f>ROUND(AVERAGEIF(L4:L21,"&lt;&gt;0"),4)</f>
        <v>2.5999999999999999E-3</v>
      </c>
      <c r="M3" s="3101">
        <f>ROUND(AVERAGEIF(M4:M21,"&lt;&gt;0"),4)</f>
        <v>-1E-4</v>
      </c>
      <c r="N3" s="3101">
        <f>ROUND(AVERAGEIF(N4:N21,"&lt;&gt;0"),4)</f>
        <v>4.1000000000000003E-3</v>
      </c>
      <c r="O3" s="3101">
        <f>ROUND(AVERAGEIF(O4:O21,"&lt;&gt;0"),4)</f>
        <v>5.1999999999999998E-3</v>
      </c>
      <c r="P3" s="3101">
        <f>M3</f>
        <v>-1E-4</v>
      </c>
      <c r="Q3" s="3099"/>
      <c r="R3" s="3114">
        <f>ROUND(SUMPRODUCT(PRODUCT(1+K4:K21)),4)</f>
        <v>1.0613999999999999</v>
      </c>
      <c r="S3" s="3115">
        <f>ROUND(SUMPRODUCT(PRODUCT(1+L4:L21)),4)</f>
        <v>1.0415000000000001</v>
      </c>
      <c r="T3" s="3115">
        <f>ROUND(SUMPRODUCT(PRODUCT(1+M4:M21)),4)</f>
        <v>0.99780000000000002</v>
      </c>
      <c r="U3" s="3115">
        <f>ROUND(SUMPRODUCT(PRODUCT(1+N4:N21)),4)</f>
        <v>1.0678000000000001</v>
      </c>
      <c r="V3" s="3115">
        <f>ROUND(SUMPRODUCT(PRODUCT(1+O4:O21)),4)</f>
        <v>1.0866</v>
      </c>
      <c r="W3" s="3114">
        <f>T3</f>
        <v>0.99780000000000002</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1"/>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90" t="s">
        <v>3258</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1.0511999999999999</v>
      </c>
      <c r="S5" s="3116">
        <f>ROUND(IF(项目基本情况!$B$8="出让",SUMPRODUCT(PRODUCT(1+L5:$L$21)),SUMPRODUCT(PRODUCT(1+L5:$L$20))),4)</f>
        <v>1.0398000000000001</v>
      </c>
      <c r="T5" s="3116">
        <f>ROUND(IF(项目基本情况!$B$8="出让",SUMPRODUCT(PRODUCT(1+M5:$M$21)),SUMPRODUCT(PRODUCT(1+M5:$M$20))),4)</f>
        <v>1.0003</v>
      </c>
      <c r="U5" s="3116">
        <f>ROUND(IF(项目基本情况!$B$8="出让",SUMPRODUCT(PRODUCT(1+N5:$N$21)),SUMPRODUCT(PRODUCT(1+N5:$N$20))),4)</f>
        <v>1.0561</v>
      </c>
      <c r="V5" s="3116">
        <f>ROUND(IF(项目基本情况!$B$8="出让",SUMPRODUCT(PRODUCT(1+O5:$O$21)),SUMPRODUCT(PRODUCT(1+O5:$O$20))),4)</f>
        <v>1.0827</v>
      </c>
      <c r="W5" s="3116">
        <f>T5</f>
        <v>1.0003</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3259</v>
      </c>
      <c r="B6" s="3140">
        <v>2024</v>
      </c>
      <c r="C6" s="3141">
        <v>4</v>
      </c>
      <c r="D6" s="3141">
        <v>-1.02</v>
      </c>
      <c r="E6" s="3141">
        <v>-0.48</v>
      </c>
      <c r="F6" s="3141">
        <v>-0.75</v>
      </c>
      <c r="G6" s="3141">
        <v>-1.05</v>
      </c>
      <c r="H6" s="3142">
        <v>0.08</v>
      </c>
      <c r="I6" s="3143">
        <f t="shared" ref="I6" si="12">F6</f>
        <v>-0.75</v>
      </c>
      <c r="J6" s="3108"/>
      <c r="K6" s="3109">
        <f t="shared" ref="K6" si="13">D6/100</f>
        <v>-1.0200000000000001E-2</v>
      </c>
      <c r="L6" s="3110">
        <f t="shared" ref="L6" si="14">E6/100</f>
        <v>-4.7999999999999996E-3</v>
      </c>
      <c r="M6" s="3110">
        <f t="shared" ref="M6" si="15">F6/100</f>
        <v>-7.4999999999999997E-3</v>
      </c>
      <c r="N6" s="3110">
        <f t="shared" ref="N6" si="16">G6/100</f>
        <v>-1.0500000000000001E-2</v>
      </c>
      <c r="O6" s="3110">
        <f t="shared" ref="O6" si="17">H6/100</f>
        <v>8.0000000000000004E-4</v>
      </c>
      <c r="P6" s="3110">
        <f>M6</f>
        <v>-7.4999999999999997E-3</v>
      </c>
      <c r="Q6" s="3108"/>
      <c r="R6" s="3108">
        <f>ROUND(IF(项目基本情况!$B$8="出让",SUMPRODUCT(PRODUCT(1+K6:$K$21)),SUMPRODUCT(PRODUCT(1+K6:$K$20))),4)</f>
        <v>1.0511999999999999</v>
      </c>
      <c r="S6" s="3108">
        <f>ROUND(IF(项目基本情况!$B$8="出让",SUMPRODUCT(PRODUCT(1+L6:$L$21)),SUMPRODUCT(PRODUCT(1+L6:$L$20))),4)</f>
        <v>1.0398000000000001</v>
      </c>
      <c r="T6" s="3108">
        <f>ROUND(IF(项目基本情况!$B$8="出让",SUMPRODUCT(PRODUCT(1+M6:$M$21)),SUMPRODUCT(PRODUCT(1+M6:$M$20))),4)</f>
        <v>1.0003</v>
      </c>
      <c r="U6" s="3108">
        <f>ROUND(IF(项目基本情况!$B$8="出让",SUMPRODUCT(PRODUCT(1+N6:$N$21)),SUMPRODUCT(PRODUCT(1+N6:$N$20))),4)</f>
        <v>1.0561</v>
      </c>
      <c r="V6" s="3108">
        <f>ROUND(IF(项目基本情况!$B$8="出让",SUMPRODUCT(PRODUCT(1+O6:$O$21)),SUMPRODUCT(PRODUCT(1+O6:$O$20))),4)</f>
        <v>1.0827</v>
      </c>
      <c r="W6" s="3108">
        <f>T6</f>
        <v>1.0003</v>
      </c>
      <c r="X6" s="3108"/>
      <c r="Y6" s="3110">
        <f t="shared" ref="Y6" si="18">IF(D6=0,0,ROUND(AVERAGE(D6:D19)/100,4))</f>
        <v>2.8999999999999998E-3</v>
      </c>
      <c r="Z6" s="3110">
        <f t="shared" ref="Z6" si="19">IF(E6=0,0,ROUND(AVERAGE(E6:E19)/100,4))</f>
        <v>2.3E-3</v>
      </c>
      <c r="AA6" s="3110">
        <f t="shared" ref="AA6" si="20">IF(F6=0,0,ROUND(AVERAGE(F6:F19)/100,4))</f>
        <v>-2.9999999999999997E-4</v>
      </c>
      <c r="AB6" s="3110">
        <f t="shared" ref="AB6" si="21">IF(G6=0,0,ROUND(AVERAGE(G6:G19)/100,4))</f>
        <v>3.3E-3</v>
      </c>
      <c r="AC6" s="3110">
        <f t="shared" ref="AC6" si="22">IF(H6=0,0,ROUND(AVERAGE(H6:H19)/100,4))</f>
        <v>5.0000000000000001E-3</v>
      </c>
      <c r="AD6" s="3110">
        <f t="shared" ref="AD6" si="23">AA6</f>
        <v>-2.9999999999999997E-4</v>
      </c>
    </row>
    <row r="7" spans="1:30">
      <c r="A7" s="3390" t="s">
        <v>3253</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3260</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3256</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3251</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3250</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3248</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3246</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3244</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3241</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3242</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2778</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2779</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2780</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2781</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4.25" thickBot="1">
      <c r="A21" s="3090" t="s">
        <v>2782</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4.25" thickTop="1"/>
    <row r="23" spans="1:30">
      <c r="A23" s="3389" t="s">
        <v>3265</v>
      </c>
    </row>
    <row r="24" spans="1:30">
      <c r="I24" s="2749" t="s">
        <v>2793</v>
      </c>
    </row>
    <row r="26" spans="1:30">
      <c r="A26" s="2441"/>
      <c r="B26" s="3091" t="s">
        <v>3264</v>
      </c>
      <c r="C26" s="3092"/>
      <c r="D26" s="3092"/>
      <c r="E26" s="3092"/>
      <c r="F26" s="3092"/>
      <c r="G26" s="3092"/>
      <c r="H26" s="3092"/>
      <c r="I26" s="3092"/>
      <c r="J26" s="3093"/>
      <c r="K26" s="3092" t="s">
        <v>2786</v>
      </c>
      <c r="L26" s="3092"/>
      <c r="M26" s="3092"/>
      <c r="N26" s="3092"/>
      <c r="O26" s="3092"/>
      <c r="P26" s="3092"/>
      <c r="Q26" s="3093"/>
      <c r="R26" s="3818" t="s">
        <v>2801</v>
      </c>
      <c r="S26" s="3767"/>
      <c r="T26" s="3767"/>
      <c r="U26" s="3767"/>
      <c r="V26" s="3767"/>
      <c r="W26" s="3767"/>
      <c r="X26" s="3093"/>
      <c r="Y26" s="3818" t="s">
        <v>1923</v>
      </c>
      <c r="Z26" s="3767"/>
      <c r="AA26" s="3767"/>
      <c r="AB26" s="3767"/>
      <c r="AC26" s="3767"/>
      <c r="AD26" s="3767"/>
    </row>
    <row r="27" spans="1:30" ht="14.25" thickBot="1">
      <c r="A27" s="3086"/>
      <c r="B27" s="3094"/>
      <c r="C27" s="3095"/>
      <c r="D27" s="2425" t="s">
        <v>2788</v>
      </c>
      <c r="E27" s="2426" t="s">
        <v>2789</v>
      </c>
      <c r="F27" s="2426" t="s">
        <v>2790</v>
      </c>
      <c r="G27" s="2426" t="s">
        <v>1467</v>
      </c>
      <c r="H27" s="2426"/>
      <c r="I27" s="2426" t="s">
        <v>2734</v>
      </c>
      <c r="J27" s="3096"/>
      <c r="K27" s="2425" t="s">
        <v>2788</v>
      </c>
      <c r="L27" s="2426" t="s">
        <v>2789</v>
      </c>
      <c r="M27" s="2426" t="s">
        <v>2790</v>
      </c>
      <c r="N27" s="2426" t="s">
        <v>2791</v>
      </c>
      <c r="O27" s="2426"/>
      <c r="P27" s="2426" t="s">
        <v>2734</v>
      </c>
      <c r="Q27" s="3096"/>
      <c r="R27" s="2425" t="s">
        <v>2802</v>
      </c>
      <c r="S27" s="2426" t="s">
        <v>2803</v>
      </c>
      <c r="T27" s="2426" t="s">
        <v>2790</v>
      </c>
      <c r="U27" s="2426" t="s">
        <v>1467</v>
      </c>
      <c r="V27" s="2426"/>
      <c r="W27" s="2426" t="s">
        <v>2804</v>
      </c>
      <c r="X27" s="3096"/>
      <c r="Y27" s="2425" t="s">
        <v>2787</v>
      </c>
      <c r="Z27" s="2426" t="s">
        <v>2789</v>
      </c>
      <c r="AA27" s="2426" t="s">
        <v>2790</v>
      </c>
      <c r="AB27" s="2426" t="s">
        <v>1467</v>
      </c>
      <c r="AC27" s="2426"/>
      <c r="AD27" s="2426" t="s">
        <v>2807</v>
      </c>
    </row>
    <row r="28" spans="1:30">
      <c r="A28" s="3087" t="s">
        <v>2783</v>
      </c>
      <c r="B28" s="3097"/>
      <c r="C28" s="3098"/>
      <c r="D28" s="3098"/>
      <c r="E28" s="3098">
        <f>ROUND(AVERAGEIF(E29:E46,"&lt;&gt;0"),2)</f>
        <v>0.21</v>
      </c>
      <c r="F28" s="3098">
        <f>ROUND(AVERAGEIF(F29:F46,"&lt;&gt;0"),2)</f>
        <v>0.14000000000000001</v>
      </c>
      <c r="G28" s="3098">
        <f>ROUND(AVERAGEIF(G29:G46,"&lt;&gt;0"),2)</f>
        <v>0.3</v>
      </c>
      <c r="H28" s="3098"/>
      <c r="I28" s="3098">
        <f>F28</f>
        <v>0.14000000000000001</v>
      </c>
      <c r="J28" s="3099"/>
      <c r="K28" s="3100"/>
      <c r="L28" s="3101">
        <f>ROUND(AVERAGEIF(L29:L46,"&lt;&gt;0"),4)</f>
        <v>2.0999999999999999E-3</v>
      </c>
      <c r="M28" s="3101">
        <f>ROUND(AVERAGEIF(M29:M46,"&lt;&gt;0"),4)</f>
        <v>1.4E-3</v>
      </c>
      <c r="N28" s="3101">
        <f>ROUND(AVERAGEIF(N29:N46,"&lt;&gt;0"),4)</f>
        <v>3.0000000000000001E-3</v>
      </c>
      <c r="O28" s="3101"/>
      <c r="P28" s="3101">
        <f>M28</f>
        <v>1.4E-3</v>
      </c>
      <c r="Q28" s="3099"/>
      <c r="R28" s="3114"/>
      <c r="S28" s="3115">
        <f>ROUND(SUMPRODUCT(PRODUCT(1+L29:L46)),4)</f>
        <v>1.0337000000000001</v>
      </c>
      <c r="T28" s="3115">
        <f>ROUND(SUMPRODUCT(PRODUCT(1+M29:M46)),4)</f>
        <v>1.022</v>
      </c>
      <c r="U28" s="3115">
        <f>ROUND(SUMPRODUCT(PRODUCT(1+N29:N46)),4)</f>
        <v>1.0489999999999999</v>
      </c>
      <c r="V28" s="3115"/>
      <c r="W28" s="3114">
        <f>T28</f>
        <v>1.022</v>
      </c>
      <c r="X28" s="3099"/>
      <c r="Y28" s="3121"/>
      <c r="Z28" s="3122">
        <f>ROUND(AVERAGEIF(Z29:Z46,"&lt;&gt;0"),4)</f>
        <v>3.8999999999999998E-3</v>
      </c>
      <c r="AA28" s="3123">
        <f>ROUND(AVERAGEIF(AA29:AA46,"&lt;&gt;0"),4)</f>
        <v>3.0000000000000001E-3</v>
      </c>
      <c r="AB28" s="3121">
        <f>ROUND(AVERAGEIF(AB29:AB46,"&lt;&gt;0"),4)</f>
        <v>7.3000000000000001E-3</v>
      </c>
      <c r="AC28" s="3124"/>
      <c r="AD28" s="3121">
        <f>AA28</f>
        <v>3.0000000000000001E-3</v>
      </c>
    </row>
    <row r="29" spans="1:30">
      <c r="A29" s="2441"/>
      <c r="B29" s="3102"/>
      <c r="C29" s="2441"/>
      <c r="D29" s="2441"/>
      <c r="E29" s="2441"/>
      <c r="F29" s="2441"/>
      <c r="G29" s="2441"/>
      <c r="H29" s="2441"/>
      <c r="I29" s="2441"/>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90" t="s">
        <v>3258</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1.0301</v>
      </c>
      <c r="T30" s="3116">
        <f>ROUND(IF(项目基本情况!$B$8="出让",SUMPRODUCT(PRODUCT(1+M30:M$46)),SUMPRODUCT(PRODUCT(1+M30:M$45))),4)</f>
        <v>1.0170999999999999</v>
      </c>
      <c r="U30" s="3116">
        <f>ROUND(IF(项目基本情况!$B$8="出让",SUMPRODUCT(PRODUCT(1+N30:N$46)),SUMPRODUCT(PRODUCT(1+N30:N$45))),4)</f>
        <v>1.0387999999999999</v>
      </c>
      <c r="V30" s="3116"/>
      <c r="W30" s="3116">
        <f>T30</f>
        <v>1.0170999999999999</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3261</v>
      </c>
      <c r="B31" s="3140">
        <v>2024</v>
      </c>
      <c r="C31" s="3141">
        <v>4</v>
      </c>
      <c r="D31" s="3141"/>
      <c r="E31" s="3141">
        <v>-0.61</v>
      </c>
      <c r="F31" s="3141">
        <v>-0.71</v>
      </c>
      <c r="G31" s="3141">
        <v>-0.88</v>
      </c>
      <c r="H31" s="3142"/>
      <c r="I31" s="3143">
        <f t="shared" ref="I31" si="76">F31</f>
        <v>-0.71</v>
      </c>
      <c r="J31" s="3108"/>
      <c r="K31" s="3109"/>
      <c r="L31" s="3110">
        <f t="shared" ref="L31" si="77">E31/100</f>
        <v>-6.0999999999999995E-3</v>
      </c>
      <c r="M31" s="3110">
        <f t="shared" ref="M31" si="78">F31/100</f>
        <v>-7.0999999999999995E-3</v>
      </c>
      <c r="N31" s="3110">
        <f t="shared" ref="N31" si="79">G31/100</f>
        <v>-8.8000000000000005E-3</v>
      </c>
      <c r="O31" s="3110"/>
      <c r="P31" s="3110">
        <f>M31</f>
        <v>-7.0999999999999995E-3</v>
      </c>
      <c r="Q31" s="3108"/>
      <c r="R31" s="3108"/>
      <c r="S31" s="3108">
        <f>ROUND(IF(项目基本情况!$B$8="出让",SUMPRODUCT(PRODUCT(1+L31:L$46)),SUMPRODUCT(PRODUCT(1+L31:L$45))),4)</f>
        <v>1.0301</v>
      </c>
      <c r="T31" s="3108">
        <f>ROUND(IF(项目基本情况!$B$8="出让",SUMPRODUCT(PRODUCT(1+M31:M$46)),SUMPRODUCT(PRODUCT(1+M31:M$45))),4)</f>
        <v>1.0170999999999999</v>
      </c>
      <c r="U31" s="3108">
        <f>ROUND(IF(项目基本情况!$B$8="出让",SUMPRODUCT(PRODUCT(1+N31:N$46)),SUMPRODUCT(PRODUCT(1+N31:N$45))),4)</f>
        <v>1.0387999999999999</v>
      </c>
      <c r="V31" s="3108"/>
      <c r="W31" s="3108">
        <f>T31</f>
        <v>1.0170999999999999</v>
      </c>
      <c r="X31" s="3108"/>
      <c r="Y31" s="3110"/>
      <c r="Z31" s="3128">
        <f t="shared" ref="Z31" si="80">IF(E31=0,0,ROUND(AVERAGE(E31:E44)/100,4))</f>
        <v>1.6999999999999999E-3</v>
      </c>
      <c r="AA31" s="3129">
        <f t="shared" ref="AA31" si="81">IF(F31=0,0,ROUND(AVERAGE(F31:F44)/100,4))</f>
        <v>8.9999999999999998E-4</v>
      </c>
      <c r="AB31" s="3110">
        <f t="shared" ref="AB31" si="82">IF(G31=0,0,ROUND(AVERAGE(G31:G44)/100,4))</f>
        <v>2E-3</v>
      </c>
      <c r="AC31" s="3130"/>
      <c r="AD31" s="3110">
        <f>IF(I31=0,0,ROUND(AVERAGE(I31:I44)/100,4))</f>
        <v>8.9999999999999998E-4</v>
      </c>
    </row>
    <row r="32" spans="1:30">
      <c r="A32" s="3390" t="s">
        <v>3254</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3262</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3257</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3252</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3250</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3249</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3247</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3245</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3243</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3242</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2778</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2779</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2780</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2784</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4.25" thickBot="1">
      <c r="A46" s="3090" t="s">
        <v>2785</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4.25" thickTop="1"/>
    <row r="48" spans="1:30">
      <c r="A48" s="3389" t="s">
        <v>3266</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R78" sqref="R78"/>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2208</v>
      </c>
      <c r="B1" s="2747"/>
      <c r="C1" s="2747"/>
      <c r="D1" s="2747"/>
      <c r="E1" s="2747"/>
      <c r="F1" s="2747"/>
      <c r="G1" s="2748"/>
      <c r="H1" s="2748"/>
      <c r="I1" s="2748"/>
      <c r="J1" s="2748"/>
      <c r="K1" s="2748"/>
      <c r="L1" s="2748"/>
      <c r="M1" s="2748"/>
      <c r="N1" s="2748"/>
    </row>
    <row r="2" spans="1:14" ht="14.25">
      <c r="A2" s="2753" t="s">
        <v>2203</v>
      </c>
      <c r="B2" s="2758">
        <f ca="1">SUMIF(B7:B14,"&lt;&gt;#ref!",B7:B14)</f>
        <v>0</v>
      </c>
      <c r="C2" s="2753" t="s">
        <v>2204</v>
      </c>
      <c r="D2" s="2750"/>
      <c r="E2" s="2750"/>
      <c r="F2" s="2750"/>
      <c r="G2" s="2748"/>
      <c r="H2" s="2748"/>
      <c r="I2" s="2748"/>
      <c r="J2" s="2748"/>
      <c r="K2" s="2748"/>
      <c r="L2" s="2748"/>
      <c r="M2" s="2748"/>
      <c r="N2" s="2748"/>
    </row>
    <row r="3" spans="1:14" ht="14.25">
      <c r="A3" s="2753" t="s">
        <v>2232</v>
      </c>
      <c r="B3" s="2758" t="e">
        <f ca="1">ROUND(B2*10000/E3,0)</f>
        <v>#DIV/0!</v>
      </c>
      <c r="C3" s="2753" t="s">
        <v>1594</v>
      </c>
      <c r="D3" s="2753" t="s">
        <v>2205</v>
      </c>
      <c r="E3" s="2751">
        <f ca="1">SUMIF(E7:E14,"&lt;&gt;#ref!",E7:E14)</f>
        <v>0</v>
      </c>
      <c r="F3" s="2750"/>
      <c r="G3" s="2748"/>
      <c r="H3" s="2748"/>
      <c r="I3" s="2748"/>
      <c r="J3" s="2748"/>
      <c r="K3" s="2748"/>
      <c r="L3" s="2748"/>
      <c r="M3" s="2748"/>
      <c r="N3" s="2748"/>
    </row>
    <row r="4" spans="1:14" ht="14.25">
      <c r="A4" s="2753" t="s">
        <v>2211</v>
      </c>
      <c r="B4" s="2758" t="e">
        <f ca="1">ROUND(B2*10000/E4,0)</f>
        <v>#DIV/0!</v>
      </c>
      <c r="C4" s="2753" t="s">
        <v>1594</v>
      </c>
      <c r="D4" s="2753" t="s">
        <v>2212</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2209</v>
      </c>
      <c r="B6" s="2753" t="s">
        <v>2206</v>
      </c>
      <c r="C6" s="2356"/>
      <c r="D6" s="2750"/>
      <c r="E6" s="2753" t="s">
        <v>2207</v>
      </c>
      <c r="F6" s="2753" t="s">
        <v>2210</v>
      </c>
      <c r="G6" s="2748"/>
      <c r="H6" s="2748"/>
      <c r="I6" s="2748"/>
      <c r="J6" s="2748"/>
      <c r="K6" s="2748"/>
      <c r="L6" s="2748"/>
      <c r="M6" s="2748"/>
      <c r="N6" s="2748"/>
    </row>
    <row r="7" spans="1:14" ht="14.25">
      <c r="A7" s="2756"/>
      <c r="B7" s="2758" t="e">
        <f ca="1">SUMIF(INDIRECT("'"&amp;A7&amp;"'"&amp;"!A:A"),"总价",INDIRECT("'"&amp;A7&amp;"'"&amp;"!B:B"))</f>
        <v>#REF!</v>
      </c>
      <c r="C7" s="2753" t="s">
        <v>2204</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2204</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2204</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2204</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2204</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2204</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2204</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2204</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R78" sqref="R78"/>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574</v>
      </c>
      <c r="B1" s="675"/>
      <c r="C1" s="708"/>
      <c r="D1" s="1664"/>
      <c r="E1" s="1948" t="s">
        <v>1726</v>
      </c>
      <c r="F1" s="1949">
        <f ca="1">J54</f>
        <v>0</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575</v>
      </c>
      <c r="B2" s="710">
        <f ca="1">IF(ISERROR(C45+J31),0,C45+J31)</f>
        <v>0</v>
      </c>
      <c r="C2" s="1145"/>
      <c r="D2" s="1669"/>
      <c r="E2" s="1670"/>
      <c r="F2" s="1670"/>
      <c r="G2" s="1324"/>
      <c r="H2" s="1157"/>
      <c r="I2" s="1671"/>
      <c r="J2" s="1671"/>
      <c r="K2" s="1672"/>
      <c r="L2" s="1671"/>
      <c r="M2" s="1671"/>
    </row>
    <row r="3" spans="1:25" ht="18" customHeight="1">
      <c r="A3" s="1366" t="s">
        <v>1217</v>
      </c>
      <c r="B3" s="1178">
        <f ca="1">ROUND(B2*10000/'数据-汇总表'!E3,0)</f>
        <v>0</v>
      </c>
      <c r="C3" s="1145"/>
      <c r="D3" s="1669"/>
      <c r="E3" s="1670"/>
      <c r="F3" s="1670"/>
      <c r="G3" s="1324"/>
      <c r="H3" s="711" t="s">
        <v>640</v>
      </c>
      <c r="I3" s="1671"/>
      <c r="J3" s="1671"/>
      <c r="K3" s="1672"/>
      <c r="L3" s="1671"/>
      <c r="M3" s="1671"/>
    </row>
    <row r="4" spans="1:25" ht="18" customHeight="1">
      <c r="A4" s="1367" t="s">
        <v>641</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642</v>
      </c>
      <c r="D5" s="1669"/>
      <c r="E5" s="1670"/>
      <c r="F5" s="1670"/>
      <c r="G5" s="1324"/>
      <c r="H5" s="711"/>
      <c r="I5" s="1671"/>
      <c r="J5" s="1671"/>
      <c r="K5" s="1672"/>
      <c r="L5" s="1671"/>
      <c r="M5" s="1671"/>
    </row>
    <row r="6" spans="1:25" ht="18" customHeight="1">
      <c r="A6" s="1520" t="s">
        <v>643</v>
      </c>
      <c r="B6" s="1514" t="s">
        <v>644</v>
      </c>
      <c r="C6" s="1514" t="s">
        <v>578</v>
      </c>
      <c r="D6" s="1514" t="s">
        <v>579</v>
      </c>
      <c r="E6" s="714" t="s">
        <v>580</v>
      </c>
      <c r="F6" s="715"/>
      <c r="G6" s="1145"/>
      <c r="H6" s="1520" t="s">
        <v>576</v>
      </c>
      <c r="I6" s="1514" t="s">
        <v>577</v>
      </c>
      <c r="J6" s="1514" t="s">
        <v>578</v>
      </c>
      <c r="K6" s="1514" t="s">
        <v>579</v>
      </c>
      <c r="L6" s="714" t="s">
        <v>580</v>
      </c>
      <c r="M6" s="715"/>
    </row>
    <row r="7" spans="1:25" ht="18" customHeight="1">
      <c r="A7" s="716">
        <v>1</v>
      </c>
      <c r="B7" s="717" t="s">
        <v>1800</v>
      </c>
      <c r="C7" s="49">
        <f ca="1">C8+C12+C14</f>
        <v>0</v>
      </c>
      <c r="D7" s="2002" t="s">
        <v>1803</v>
      </c>
      <c r="E7" s="1996"/>
      <c r="F7" s="1997"/>
      <c r="G7" s="1145"/>
      <c r="H7" s="716">
        <v>1</v>
      </c>
      <c r="I7" s="717" t="s">
        <v>1800</v>
      </c>
      <c r="J7" s="49">
        <f ca="1">J8+J12+J14</f>
        <v>0</v>
      </c>
      <c r="K7" s="2002" t="s">
        <v>1803</v>
      </c>
      <c r="L7" s="1996"/>
      <c r="M7" s="1997"/>
    </row>
    <row r="8" spans="1:25" ht="18" customHeight="1">
      <c r="A8" s="1522" t="s">
        <v>1351</v>
      </c>
      <c r="B8" s="3820" t="s">
        <v>1805</v>
      </c>
      <c r="C8" s="1517">
        <f ca="1">ROUND(F8*F10*F9*(1-F11)/10000,0)</f>
        <v>0</v>
      </c>
      <c r="D8" s="317" t="s">
        <v>1815</v>
      </c>
      <c r="E8" s="57" t="s">
        <v>583</v>
      </c>
      <c r="F8" s="720">
        <f ca="1">INDIRECT("'数据-取费表'!u"&amp;$G$1)</f>
        <v>0</v>
      </c>
      <c r="G8" s="1145"/>
      <c r="H8" s="2010" t="s">
        <v>1351</v>
      </c>
      <c r="I8" s="3820" t="s">
        <v>1805</v>
      </c>
      <c r="J8" s="718">
        <f ca="1">ROUND(M8*M10*M9*(1-M11)/10000,0)</f>
        <v>0</v>
      </c>
      <c r="K8" s="315" t="s">
        <v>1815</v>
      </c>
      <c r="L8" s="719" t="s">
        <v>1265</v>
      </c>
      <c r="M8" s="720">
        <f ca="1">INDIRECT("'数据-取费表'!z"&amp;$G$1)</f>
        <v>0</v>
      </c>
    </row>
    <row r="9" spans="1:25" ht="18" customHeight="1">
      <c r="A9" s="2006"/>
      <c r="B9" s="3821"/>
      <c r="C9" s="1518"/>
      <c r="D9" s="330"/>
      <c r="E9" s="57" t="s">
        <v>584</v>
      </c>
      <c r="F9" s="720">
        <f ca="1">IF(INDIRECT("'数据-取费表'!ah"&amp;$G$1)="",INDIRECT("'数据-取费表'!k"&amp;$G$1),INDIRECT("'数据-取费表'!ah"&amp;$G$1))</f>
        <v>0</v>
      </c>
      <c r="G9" s="1145"/>
      <c r="H9" s="1995"/>
      <c r="I9" s="3821"/>
      <c r="J9" s="723"/>
      <c r="K9" s="724"/>
      <c r="L9" s="719" t="s">
        <v>1266</v>
      </c>
      <c r="M9" s="720">
        <f ca="1">F9</f>
        <v>0</v>
      </c>
    </row>
    <row r="10" spans="1:25" ht="18" customHeight="1">
      <c r="A10" s="1999"/>
      <c r="B10" s="3822"/>
      <c r="C10" s="1518"/>
      <c r="D10" s="330"/>
      <c r="E10" s="57" t="s">
        <v>585</v>
      </c>
      <c r="F10" s="720">
        <f ca="1">INDIRECT("'数据-取费表'!ai"&amp;$G$1)</f>
        <v>0</v>
      </c>
      <c r="G10" s="1145"/>
      <c r="H10" s="1995"/>
      <c r="I10" s="3822"/>
      <c r="J10" s="723"/>
      <c r="K10" s="724"/>
      <c r="L10" s="719" t="s">
        <v>1267</v>
      </c>
      <c r="M10" s="720">
        <f ca="1">INDIRECT("'数据-取费表'!ai"&amp;$G$1)</f>
        <v>0</v>
      </c>
    </row>
    <row r="11" spans="1:25" ht="18" customHeight="1">
      <c r="A11" s="721"/>
      <c r="B11" s="3823"/>
      <c r="C11" s="1518"/>
      <c r="D11" s="330"/>
      <c r="E11" s="57" t="s">
        <v>586</v>
      </c>
      <c r="F11" s="729">
        <f ca="1">INDIRECT("'数据-取费表'!w"&amp;$G$1)</f>
        <v>0</v>
      </c>
      <c r="G11" s="1145"/>
      <c r="H11" s="2011"/>
      <c r="I11" s="3822"/>
      <c r="J11" s="723"/>
      <c r="K11" s="724"/>
      <c r="L11" s="730" t="s">
        <v>1268</v>
      </c>
      <c r="M11" s="731">
        <f ca="1">INDIRECT("'数据-取费表'!ab"&amp;$G$1)</f>
        <v>0</v>
      </c>
    </row>
    <row r="12" spans="1:25" ht="18" customHeight="1">
      <c r="A12" s="1522" t="s">
        <v>1352</v>
      </c>
      <c r="B12" s="2000" t="s">
        <v>1801</v>
      </c>
      <c r="C12" s="734">
        <f ca="1">ROUND(IF(F12="押一",C8/12*F13,IF(F12="押二",C8/12*2*F13,IF(F12="押三",C8/12*3*F13,C13*F13))),0)</f>
        <v>0</v>
      </c>
      <c r="D12" s="2007" t="s">
        <v>2229</v>
      </c>
      <c r="E12" s="2004" t="s">
        <v>1806</v>
      </c>
      <c r="F12" s="2077"/>
      <c r="G12" s="1145"/>
      <c r="H12" s="2038" t="s">
        <v>1352</v>
      </c>
      <c r="I12" s="2042" t="s">
        <v>1801</v>
      </c>
      <c r="J12" s="718">
        <f ca="1">ROUND(IF(M12="押一",J8/12*M13,IF(M12="押二",J8/12*2*M13,IF(M12="押三",J8/12*3*M13,J13*M13))),0)</f>
        <v>0</v>
      </c>
      <c r="K12" s="2007" t="s">
        <v>2229</v>
      </c>
      <c r="L12" s="2004" t="s">
        <v>1806</v>
      </c>
      <c r="M12" s="2077"/>
    </row>
    <row r="13" spans="1:25" ht="18" customHeight="1">
      <c r="A13" s="725"/>
      <c r="B13" s="2001" t="s">
        <v>1854</v>
      </c>
      <c r="C13" s="2005"/>
      <c r="D13" s="724"/>
      <c r="E13" s="2004" t="s">
        <v>1799</v>
      </c>
      <c r="F13" s="731">
        <f ca="1">'数据-取费表'!B39</f>
        <v>0.03</v>
      </c>
      <c r="G13" s="1145"/>
      <c r="H13" s="2039"/>
      <c r="I13" s="2001" t="s">
        <v>1854</v>
      </c>
      <c r="J13" s="2005"/>
      <c r="K13" s="287"/>
      <c r="L13" s="2004" t="s">
        <v>1799</v>
      </c>
      <c r="M13" s="1998">
        <f ca="1">'数据-取费表'!B39</f>
        <v>0.03</v>
      </c>
    </row>
    <row r="14" spans="1:25" ht="18" customHeight="1" thickBot="1">
      <c r="A14" s="2014" t="s">
        <v>1809</v>
      </c>
      <c r="B14" s="2015" t="s">
        <v>1802</v>
      </c>
      <c r="C14" s="2016"/>
      <c r="D14" s="2017"/>
      <c r="E14" s="2018"/>
      <c r="F14" s="2019"/>
      <c r="G14" s="1145"/>
      <c r="H14" s="2028" t="s">
        <v>1809</v>
      </c>
      <c r="I14" s="2040" t="s">
        <v>1802</v>
      </c>
      <c r="J14" s="2041"/>
      <c r="K14" s="2017"/>
      <c r="L14" s="2018"/>
      <c r="M14" s="2031"/>
    </row>
    <row r="15" spans="1:25" ht="18" customHeight="1" thickTop="1">
      <c r="A15" s="1521" t="s">
        <v>1397</v>
      </c>
      <c r="B15" s="1519" t="s">
        <v>587</v>
      </c>
      <c r="C15" s="727" t="e">
        <f ca="1">ROUND(C31*F15,0)</f>
        <v>#VALUE!</v>
      </c>
      <c r="D15" s="1526" t="s">
        <v>588</v>
      </c>
      <c r="E15" s="730" t="s">
        <v>589</v>
      </c>
      <c r="F15" s="735">
        <f ca="1">INDIRECT("'数据-取费表'!y"&amp;$G$1)</f>
        <v>0</v>
      </c>
      <c r="G15" s="1145"/>
      <c r="H15" s="1521" t="s">
        <v>1353</v>
      </c>
      <c r="I15" s="1519" t="s">
        <v>590</v>
      </c>
      <c r="J15" s="1513" t="e">
        <f ca="1">ROUND(J16*J17,0)</f>
        <v>#VALUE!</v>
      </c>
      <c r="K15" s="1515" t="s">
        <v>588</v>
      </c>
      <c r="L15" s="736"/>
      <c r="M15" s="737"/>
    </row>
    <row r="16" spans="1:25" ht="18" customHeight="1">
      <c r="A16" s="738" t="s">
        <v>1398</v>
      </c>
      <c r="B16" s="719" t="s">
        <v>591</v>
      </c>
      <c r="C16" s="739">
        <f ca="1">INDIRECT("'数据-取费表'!m"&amp;$G$1)+INDIRECT("'数据-取费表'!t"&amp;$G$1)</f>
        <v>0</v>
      </c>
      <c r="D16" s="906" t="s">
        <v>592</v>
      </c>
      <c r="E16" s="905"/>
      <c r="F16" s="740"/>
      <c r="G16" s="1145"/>
      <c r="H16" s="738" t="s">
        <v>1585</v>
      </c>
      <c r="I16" s="1826" t="s">
        <v>2100</v>
      </c>
      <c r="J16" s="49" t="e">
        <f ca="1">C31</f>
        <v>#VALUE!</v>
      </c>
      <c r="K16" s="22"/>
      <c r="L16" s="736"/>
      <c r="M16" s="737"/>
    </row>
    <row r="17" spans="1:25" s="1677" customFormat="1" ht="18" customHeight="1">
      <c r="A17" s="738" t="s">
        <v>1376</v>
      </c>
      <c r="B17" s="719" t="s">
        <v>593</v>
      </c>
      <c r="C17" s="49">
        <f ca="1">ROUND(C16*F17,0)</f>
        <v>0</v>
      </c>
      <c r="D17" s="741" t="s">
        <v>594</v>
      </c>
      <c r="E17" s="741" t="s">
        <v>595</v>
      </c>
      <c r="F17" s="742">
        <f>'数据-取费表'!B33</f>
        <v>0</v>
      </c>
      <c r="G17" s="1326"/>
      <c r="H17" s="738" t="s">
        <v>1586</v>
      </c>
      <c r="I17" s="719" t="s">
        <v>589</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1377</v>
      </c>
      <c r="B18" s="719" t="s">
        <v>596</v>
      </c>
      <c r="C18" s="49">
        <f ca="1">ROUND(INDIRECT("'数据-取费表'!m"&amp;$G$1)*F18,0)</f>
        <v>0</v>
      </c>
      <c r="D18" s="719" t="s">
        <v>594</v>
      </c>
      <c r="E18" s="719" t="s">
        <v>595</v>
      </c>
      <c r="F18" s="744">
        <f ca="1">IF(INDIRECT("'数据-取费表'!c"&amp;$G$1)="住宅",'数据-取费表'!B34,0)</f>
        <v>0</v>
      </c>
      <c r="G18" s="1145"/>
      <c r="H18" s="732" t="s">
        <v>1354</v>
      </c>
      <c r="I18" s="733" t="s">
        <v>597</v>
      </c>
      <c r="J18" s="734" t="e">
        <f ca="1">ROUND(J19+J24+J25+J26,0)</f>
        <v>#VALUE!</v>
      </c>
      <c r="K18" s="22" t="s">
        <v>598</v>
      </c>
      <c r="L18" s="915"/>
      <c r="M18" s="52"/>
    </row>
    <row r="19" spans="1:25" s="1677" customFormat="1" ht="18" customHeight="1">
      <c r="A19" s="738" t="s">
        <v>1378</v>
      </c>
      <c r="B19" s="719" t="s">
        <v>599</v>
      </c>
      <c r="C19" s="49">
        <f ca="1">ROUND(F19*(INDIRECT("'数据-取费表'!k"&amp;$G$1)+INDIRECT("'数据-取费表'!S"&amp;$G$1))/10000,0)</f>
        <v>0</v>
      </c>
      <c r="D19" s="719" t="s">
        <v>600</v>
      </c>
      <c r="E19" s="719" t="s">
        <v>601</v>
      </c>
      <c r="F19" s="52">
        <f>'数据-取费表'!B35</f>
        <v>0</v>
      </c>
      <c r="G19" s="1326"/>
      <c r="H19" s="738" t="s">
        <v>1585</v>
      </c>
      <c r="I19" s="719" t="s">
        <v>602</v>
      </c>
      <c r="J19" s="2556">
        <f ca="1">ROUND(IF(AND(项目基本情况!B11="自然人",项目基本情况!B10="北京市"),J8*M19/(1+'数据-取费表'!C42),J20+J21+J22),0)</f>
        <v>0</v>
      </c>
      <c r="K19" s="906" t="s">
        <v>603</v>
      </c>
      <c r="L19" s="907" t="s">
        <v>604</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1379</v>
      </c>
      <c r="B20" s="719" t="s">
        <v>605</v>
      </c>
      <c r="C20" s="49">
        <f ca="1">ROUND(C16*F20,0)</f>
        <v>0</v>
      </c>
      <c r="D20" s="719" t="s">
        <v>594</v>
      </c>
      <c r="E20" s="719" t="s">
        <v>595</v>
      </c>
      <c r="F20" s="744">
        <f>'数据-取费表'!B36</f>
        <v>0</v>
      </c>
      <c r="G20" s="1326"/>
      <c r="H20" s="738" t="s">
        <v>1358</v>
      </c>
      <c r="I20" s="719" t="s">
        <v>606</v>
      </c>
      <c r="J20" s="49">
        <f ca="1">ROUND(J8*M20/(1+'数据-取费表'!C42),1)</f>
        <v>0</v>
      </c>
      <c r="K20" s="907" t="s">
        <v>607</v>
      </c>
      <c r="L20" s="719" t="s">
        <v>595</v>
      </c>
      <c r="M20" s="744">
        <f>'数据-取费表'!B41</f>
        <v>0</v>
      </c>
      <c r="N20" s="1676"/>
      <c r="O20" s="1676"/>
      <c r="P20" s="1676"/>
      <c r="Q20" s="1676"/>
      <c r="R20" s="1676"/>
      <c r="S20" s="1676"/>
      <c r="T20" s="1676"/>
      <c r="U20" s="1676"/>
      <c r="V20" s="1676"/>
      <c r="W20" s="1676"/>
      <c r="X20" s="1676"/>
      <c r="Y20" s="1676"/>
    </row>
    <row r="21" spans="1:25" ht="18" customHeight="1">
      <c r="A21" s="738" t="s">
        <v>1399</v>
      </c>
      <c r="B21" s="719" t="s">
        <v>608</v>
      </c>
      <c r="C21" s="49">
        <f ca="1">SUM(C16:C20)</f>
        <v>0</v>
      </c>
      <c r="D21" s="241" t="s">
        <v>609</v>
      </c>
      <c r="E21" s="915"/>
      <c r="F21" s="52"/>
      <c r="G21" s="1145"/>
      <c r="H21" s="1522" t="s">
        <v>1376</v>
      </c>
      <c r="I21" s="719" t="s">
        <v>610</v>
      </c>
      <c r="J21" s="49">
        <f ca="1">IF(K21="按租金收入计税",ROUND(J8*M21/(1+'数据-取费表'!C42),1),ROUND(C31*F35*0.7,1))</f>
        <v>0</v>
      </c>
      <c r="K21" s="745" t="s">
        <v>3240</v>
      </c>
      <c r="L21" s="719" t="s">
        <v>595</v>
      </c>
      <c r="M21" s="744">
        <f>IF(K21="按租金收入计税",'数据-取费表'!B51,'数据-取费表'!B50)</f>
        <v>0.12</v>
      </c>
    </row>
    <row r="22" spans="1:25" s="1677" customFormat="1" ht="18" customHeight="1">
      <c r="A22" s="738" t="s">
        <v>1400</v>
      </c>
      <c r="B22" s="719" t="s">
        <v>611</v>
      </c>
      <c r="C22" s="49">
        <f ca="1">ROUND(C21*F22,0)</f>
        <v>0</v>
      </c>
      <c r="D22" s="746" t="s">
        <v>612</v>
      </c>
      <c r="E22" s="719" t="s">
        <v>595</v>
      </c>
      <c r="F22" s="744">
        <f>'数据-取费表'!B37</f>
        <v>0</v>
      </c>
      <c r="G22" s="1326"/>
      <c r="H22" s="1524" t="s">
        <v>1377</v>
      </c>
      <c r="I22" s="317" t="s">
        <v>613</v>
      </c>
      <c r="J22" s="50">
        <f ca="1">ROUND(M22*M23/10000,0)</f>
        <v>0</v>
      </c>
      <c r="K22" s="748" t="s">
        <v>614</v>
      </c>
      <c r="L22" s="719" t="s">
        <v>615</v>
      </c>
      <c r="M22" s="587">
        <f>'数据-取费表'!B52</f>
        <v>0</v>
      </c>
      <c r="N22" s="1676"/>
      <c r="O22" s="1676"/>
      <c r="P22" s="1676"/>
      <c r="Q22" s="1676"/>
      <c r="R22" s="1676"/>
      <c r="S22" s="1676"/>
      <c r="T22" s="1676"/>
      <c r="U22" s="1676"/>
      <c r="V22" s="1676"/>
      <c r="W22" s="1676"/>
      <c r="X22" s="1676"/>
      <c r="Y22" s="1676"/>
    </row>
    <row r="23" spans="1:25" s="1677" customFormat="1" ht="18" customHeight="1">
      <c r="A23" s="738" t="s">
        <v>1401</v>
      </c>
      <c r="B23" s="719" t="s">
        <v>616</v>
      </c>
      <c r="C23" s="49" t="s">
        <v>0</v>
      </c>
      <c r="D23" s="746" t="s">
        <v>617</v>
      </c>
      <c r="E23" s="719" t="s">
        <v>618</v>
      </c>
      <c r="F23" s="744">
        <f>'数据-取费表'!B38</f>
        <v>0</v>
      </c>
      <c r="G23" s="1326"/>
      <c r="H23" s="1525"/>
      <c r="I23" s="1516"/>
      <c r="J23" s="65"/>
      <c r="K23" s="750"/>
      <c r="L23" s="719" t="s">
        <v>619</v>
      </c>
      <c r="M23" s="720">
        <f ca="1">INDIRECT("'数据-取费表'!r"&amp;$G$1)</f>
        <v>0</v>
      </c>
      <c r="N23" s="1676"/>
      <c r="O23" s="1676"/>
      <c r="P23" s="1676"/>
      <c r="Q23" s="1676"/>
      <c r="R23" s="1676"/>
      <c r="S23" s="1676"/>
      <c r="T23" s="1676"/>
      <c r="U23" s="1676"/>
      <c r="V23" s="1676"/>
      <c r="W23" s="1676"/>
      <c r="X23" s="1676"/>
      <c r="Y23" s="1676"/>
    </row>
    <row r="24" spans="1:25" ht="18" customHeight="1">
      <c r="A24" s="738" t="s">
        <v>1402</v>
      </c>
      <c r="B24" s="719" t="s">
        <v>620</v>
      </c>
      <c r="C24" s="49"/>
      <c r="D24" s="2046" t="str">
        <f>IF(F25&lt;=1,"单利计息。","复利计息。")&amp;"建造成本、管理费用、销售费用产生的利息。"</f>
        <v>单利计息。建造成本、管理费用、销售费用产生的利息。</v>
      </c>
      <c r="E24" s="915"/>
      <c r="F24" s="52"/>
      <c r="G24" s="1145"/>
      <c r="H24" s="1523" t="s">
        <v>1586</v>
      </c>
      <c r="I24" s="719" t="s">
        <v>621</v>
      </c>
      <c r="J24" s="49" t="e">
        <f ca="1">ROUND(J16*M24,0)</f>
        <v>#VALUE!</v>
      </c>
      <c r="K24" s="907" t="s">
        <v>622</v>
      </c>
      <c r="L24" s="719" t="s">
        <v>595</v>
      </c>
      <c r="M24" s="751">
        <f ca="1">INDIRECT("'数据-取费表'!Ak"&amp;$G$1)</f>
        <v>0</v>
      </c>
    </row>
    <row r="25" spans="1:25" s="1677" customFormat="1" ht="18" customHeight="1">
      <c r="A25" s="738" t="s">
        <v>1398</v>
      </c>
      <c r="B25" s="719" t="s">
        <v>1782</v>
      </c>
      <c r="C25" s="49" t="e">
        <f ca="1">ROUND(IF('数据-取费表'!B22&lt;=1,(C21+C22)*F26*F25/2,(C21+C22)*(POWER((1+F26),F25/2)-1)),0)</f>
        <v>#VALUE!</v>
      </c>
      <c r="D25" s="2045" t="str">
        <f>IF(F25&lt;=1,"(建造成本+管理费用)×利率×(建设周期÷2)","(建造成本+管理费用)×((1+利率)^(建设周期÷2)-1)")</f>
        <v>(建造成本+管理费用)×利率×(建设周期÷2)</v>
      </c>
      <c r="E25" s="719" t="s">
        <v>623</v>
      </c>
      <c r="F25" s="587">
        <f>'数据-取费表'!B20</f>
        <v>0</v>
      </c>
      <c r="G25" s="1326"/>
      <c r="H25" s="738" t="s">
        <v>1401</v>
      </c>
      <c r="I25" s="719" t="s">
        <v>624</v>
      </c>
      <c r="J25" s="49" t="e">
        <f ca="1">ROUND(J15*M25,0)</f>
        <v>#VALUE!</v>
      </c>
      <c r="K25" s="907" t="s">
        <v>625</v>
      </c>
      <c r="L25" s="719" t="s">
        <v>595</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1376</v>
      </c>
      <c r="B26" s="719" t="s">
        <v>626</v>
      </c>
      <c r="C26" s="49" t="e">
        <f ca="1">ROUND(IF('数据-取费表'!B22&lt;=1,F23*F26*F25/2,F23*(POWER((1+F26),F25/2)-1)),4)</f>
        <v>#VALUE!</v>
      </c>
      <c r="D26" s="2045" t="str">
        <f>IF(F25&lt;=1,"销售费用×利率×(建设周期÷2)","销售费用×((1+利率)^(建设周期÷2)-1)")</f>
        <v>销售费用×利率×(建设周期÷2)</v>
      </c>
      <c r="E26" s="719" t="s">
        <v>627</v>
      </c>
      <c r="F26" s="753" t="e">
        <f ca="1">'数据-取费表'!B40</f>
        <v>#VALUE!</v>
      </c>
      <c r="G26" s="1326"/>
      <c r="H26" s="738" t="s">
        <v>1402</v>
      </c>
      <c r="I26" s="719" t="s">
        <v>611</v>
      </c>
      <c r="J26" s="49">
        <f ca="1">ROUND(J7*M26,0)</f>
        <v>0</v>
      </c>
      <c r="K26" s="907" t="s">
        <v>628</v>
      </c>
      <c r="L26" s="719" t="s">
        <v>595</v>
      </c>
      <c r="M26" s="729">
        <f ca="1">INDIRECT("'数据-取费表'!Am"&amp;$G$1)</f>
        <v>0</v>
      </c>
      <c r="N26" s="1676"/>
      <c r="O26" s="1676"/>
      <c r="P26" s="1676"/>
      <c r="Q26" s="1676"/>
      <c r="R26" s="1676"/>
      <c r="S26" s="1676"/>
      <c r="T26" s="1676"/>
      <c r="U26" s="1676"/>
      <c r="V26" s="1676"/>
      <c r="W26" s="1676"/>
      <c r="X26" s="1676"/>
      <c r="Y26" s="1676"/>
    </row>
    <row r="27" spans="1:25" ht="18" customHeight="1">
      <c r="A27" s="738" t="s">
        <v>1404</v>
      </c>
      <c r="B27" s="719" t="s">
        <v>629</v>
      </c>
      <c r="C27" s="49"/>
      <c r="D27" s="241" t="s">
        <v>630</v>
      </c>
      <c r="E27" s="915"/>
      <c r="F27" s="52"/>
      <c r="G27" s="1145"/>
      <c r="H27" s="732" t="s">
        <v>1355</v>
      </c>
      <c r="I27" s="2299" t="s">
        <v>2097</v>
      </c>
      <c r="J27" s="734" t="e">
        <f ca="1">J7-J18</f>
        <v>#VALUE!</v>
      </c>
      <c r="K27" s="906" t="s">
        <v>645</v>
      </c>
      <c r="L27" s="904"/>
      <c r="M27" s="754"/>
    </row>
    <row r="28" spans="1:25" ht="18" customHeight="1">
      <c r="A28" s="738" t="s">
        <v>1398</v>
      </c>
      <c r="B28" s="719" t="s">
        <v>1783</v>
      </c>
      <c r="C28" s="49">
        <f ca="1">ROUND((C21+C22)*F28,0)</f>
        <v>0</v>
      </c>
      <c r="D28" s="746" t="s">
        <v>646</v>
      </c>
      <c r="E28" s="730" t="s">
        <v>647</v>
      </c>
      <c r="F28" s="729">
        <f ca="1">INDIRECT("'数据-取费表'!q"&amp;$G$1)</f>
        <v>0</v>
      </c>
      <c r="G28" s="1145"/>
      <c r="H28" s="716" t="s">
        <v>1364</v>
      </c>
      <c r="I28" s="717" t="s">
        <v>648</v>
      </c>
      <c r="J28" s="718">
        <f ca="1">IF(J7&lt;&gt;0,ROUND(J27*(1-((1+M30)/(1+M28))^M29)/(M28-M30),0),0)</f>
        <v>0</v>
      </c>
      <c r="K28" s="748" t="s">
        <v>649</v>
      </c>
      <c r="L28" s="719" t="s">
        <v>650</v>
      </c>
      <c r="M28" s="729">
        <f ca="1">INDIRECT("'数据-取费表'!I"&amp;$G$1)</f>
        <v>0</v>
      </c>
    </row>
    <row r="29" spans="1:25" ht="18" customHeight="1">
      <c r="A29" s="738" t="s">
        <v>1376</v>
      </c>
      <c r="B29" s="719" t="s">
        <v>631</v>
      </c>
      <c r="C29" s="49">
        <f ca="1">ROUND(F23*F28,4)</f>
        <v>0</v>
      </c>
      <c r="D29" s="746" t="s">
        <v>651</v>
      </c>
      <c r="E29" s="741"/>
      <c r="F29" s="742"/>
      <c r="G29" s="1145"/>
      <c r="H29" s="721"/>
      <c r="I29" s="722"/>
      <c r="J29" s="723"/>
      <c r="K29" s="755" t="s">
        <v>652</v>
      </c>
      <c r="L29" s="719" t="s">
        <v>653</v>
      </c>
      <c r="M29" s="756">
        <f ca="1">INDIRECT("'数据-取费表'!ag"&amp;$G$1)</f>
        <v>0</v>
      </c>
    </row>
    <row r="30" spans="1:25" s="1677" customFormat="1" ht="18" customHeight="1">
      <c r="A30" s="738" t="s">
        <v>1405</v>
      </c>
      <c r="B30" s="719" t="s">
        <v>632</v>
      </c>
      <c r="C30" s="49">
        <f>ROUND(F30/(1+'数据-取费表'!C42),4)</f>
        <v>0</v>
      </c>
      <c r="D30" s="746" t="s">
        <v>654</v>
      </c>
      <c r="E30" s="719" t="s">
        <v>595</v>
      </c>
      <c r="F30" s="744">
        <f>'数据-取费表'!B41</f>
        <v>0</v>
      </c>
      <c r="G30" s="1326"/>
      <c r="H30" s="725"/>
      <c r="I30" s="726"/>
      <c r="J30" s="727"/>
      <c r="K30" s="750"/>
      <c r="L30" s="719" t="s">
        <v>655</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1406</v>
      </c>
      <c r="B31" s="2018" t="s">
        <v>2098</v>
      </c>
      <c r="C31" s="2021" t="e">
        <f ca="1">ROUND((C21+C22+C25+C28)/(1-F23-C26-C29-C30),0)</f>
        <v>#VALUE!</v>
      </c>
      <c r="D31" s="2022"/>
      <c r="E31" s="2023"/>
      <c r="F31" s="2024"/>
      <c r="G31" s="1326"/>
      <c r="H31" s="757" t="s">
        <v>1395</v>
      </c>
      <c r="I31" s="2300" t="s">
        <v>2099</v>
      </c>
      <c r="J31" s="759">
        <f ca="1">ROUND(J28/(1+F45)^F46,0)</f>
        <v>0</v>
      </c>
      <c r="K31" s="760" t="s">
        <v>633</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634</v>
      </c>
      <c r="C32" s="727" t="e">
        <f ca="1">ROUND(C33+C38+C39+C40,0)</f>
        <v>#VALUE!</v>
      </c>
      <c r="D32" s="1515" t="s">
        <v>598</v>
      </c>
      <c r="E32" s="909"/>
      <c r="F32" s="1997"/>
      <c r="G32" s="1669"/>
      <c r="H32" s="1678"/>
      <c r="I32" s="1679"/>
      <c r="J32" s="1680"/>
      <c r="K32" s="1637"/>
      <c r="L32" s="1681"/>
      <c r="M32" s="1682"/>
    </row>
    <row r="33" spans="1:18" ht="18" customHeight="1">
      <c r="A33" s="738" t="s">
        <v>1399</v>
      </c>
      <c r="B33" s="719" t="s">
        <v>602</v>
      </c>
      <c r="C33" s="2556">
        <f ca="1">ROUND(IF(AND(项目基本情况!B11="自然人",项目基本情况!B10="北京市"),C8*F33/(1+'数据-取费表'!C42),C34+C35+C36),2)</f>
        <v>0</v>
      </c>
      <c r="D33" s="906" t="s">
        <v>603</v>
      </c>
      <c r="E33" s="907" t="s">
        <v>635</v>
      </c>
      <c r="F33" s="2555">
        <f ca="1">IF(项目基本情况!B11="企业","——",IF(M48="住宅",IF(F8*F9*F10/12/(1+'数据-取费表'!F30)&gt;100000,4%,2.5%),IF(F8*F9*F10/12/(1+'数据-取费表'!F30)&gt;100000,12%,7%)))</f>
        <v>7.0000000000000007E-2</v>
      </c>
      <c r="G33" s="1669"/>
      <c r="H33" s="2759" t="s">
        <v>2276</v>
      </c>
      <c r="I33" s="1679"/>
      <c r="J33" s="1680"/>
      <c r="K33" s="1637"/>
      <c r="L33" s="1681"/>
      <c r="M33" s="1682"/>
    </row>
    <row r="34" spans="1:18" ht="18" customHeight="1">
      <c r="A34" s="738" t="s">
        <v>1398</v>
      </c>
      <c r="B34" s="719" t="s">
        <v>606</v>
      </c>
      <c r="C34" s="49">
        <f ca="1">ROUND(C8*F34/(1+'数据-取费表'!C42),2)</f>
        <v>0</v>
      </c>
      <c r="D34" s="907" t="s">
        <v>607</v>
      </c>
      <c r="E34" s="719" t="s">
        <v>595</v>
      </c>
      <c r="F34" s="744">
        <f>'数据-取费表'!B41</f>
        <v>0</v>
      </c>
      <c r="G34" s="1669"/>
      <c r="H34" s="1683"/>
      <c r="I34" s="1684"/>
      <c r="J34" s="1685"/>
      <c r="K34" s="1686"/>
      <c r="L34" s="1687"/>
      <c r="M34" s="1688"/>
    </row>
    <row r="35" spans="1:18" ht="18" customHeight="1">
      <c r="A35" s="738" t="s">
        <v>1376</v>
      </c>
      <c r="B35" s="719" t="s">
        <v>610</v>
      </c>
      <c r="C35" s="49">
        <f ca="1">IF(D35="按租金收入计税",ROUND(C8*F35/(1+'数据-取费表'!C42),2),IF(D35="按房产原值计税",ROUND(C31*F35*0.7,2),INDIRECT("'数据-取费表'!Aj"&amp;$G$1)))</f>
        <v>0</v>
      </c>
      <c r="D35" s="745" t="s">
        <v>3240</v>
      </c>
      <c r="E35" s="719" t="s">
        <v>595</v>
      </c>
      <c r="F35" s="744">
        <f>IF(D35="按租金收入计税",'数据-取费表'!B51,'数据-取费表'!B50)</f>
        <v>0.12</v>
      </c>
      <c r="G35" s="1669"/>
      <c r="H35" s="1689"/>
      <c r="I35" s="1689"/>
      <c r="J35" s="1689"/>
      <c r="K35" s="1690"/>
      <c r="L35" s="1689"/>
      <c r="M35" s="1689"/>
    </row>
    <row r="36" spans="1:18" ht="18" customHeight="1">
      <c r="A36" s="747" t="s">
        <v>1403</v>
      </c>
      <c r="B36" s="315" t="s">
        <v>613</v>
      </c>
      <c r="C36" s="50">
        <f ca="1">ROUND(F36*F37/10000,2)</f>
        <v>0</v>
      </c>
      <c r="D36" s="748" t="s">
        <v>614</v>
      </c>
      <c r="E36" s="719" t="s">
        <v>615</v>
      </c>
      <c r="F36" s="587">
        <f>'数据-取费表'!B52</f>
        <v>0</v>
      </c>
      <c r="G36" s="1669"/>
      <c r="H36" s="1678"/>
      <c r="I36" s="3819"/>
      <c r="J36" s="1691"/>
      <c r="K36" s="1692"/>
      <c r="L36" s="1691"/>
      <c r="M36" s="1691"/>
    </row>
    <row r="37" spans="1:18" ht="18" customHeight="1">
      <c r="A37" s="749"/>
      <c r="B37" s="728"/>
      <c r="C37" s="65"/>
      <c r="D37" s="750"/>
      <c r="E37" s="719" t="s">
        <v>619</v>
      </c>
      <c r="F37" s="720">
        <f ca="1">INDIRECT("'数据-取费表'!r"&amp;$G$1)</f>
        <v>0</v>
      </c>
      <c r="G37" s="1669"/>
      <c r="H37" s="1678"/>
      <c r="I37" s="3819"/>
      <c r="J37" s="1689"/>
      <c r="K37" s="1690"/>
      <c r="L37" s="1689"/>
      <c r="M37" s="1689"/>
    </row>
    <row r="38" spans="1:18" ht="18" customHeight="1">
      <c r="A38" s="738" t="s">
        <v>1400</v>
      </c>
      <c r="B38" s="719" t="s">
        <v>621</v>
      </c>
      <c r="C38" s="49" t="e">
        <f ca="1">ROUND(C31*F38,2)</f>
        <v>#VALUE!</v>
      </c>
      <c r="D38" s="907" t="s">
        <v>636</v>
      </c>
      <c r="E38" s="719" t="s">
        <v>595</v>
      </c>
      <c r="F38" s="751">
        <f ca="1">INDIRECT("'数据-取费表'!Ak"&amp;$G$1)</f>
        <v>0</v>
      </c>
      <c r="G38" s="1669"/>
      <c r="H38" s="1689"/>
      <c r="I38" s="2558"/>
      <c r="J38" s="1637"/>
      <c r="K38" s="1693"/>
      <c r="L38" s="1689"/>
      <c r="M38" s="1689"/>
    </row>
    <row r="39" spans="1:18" ht="18" customHeight="1">
      <c r="A39" s="738" t="s">
        <v>1401</v>
      </c>
      <c r="B39" s="719" t="s">
        <v>624</v>
      </c>
      <c r="C39" s="49" t="e">
        <f ca="1">ROUND(C15*F39,2)</f>
        <v>#VALUE!</v>
      </c>
      <c r="D39" s="907" t="s">
        <v>625</v>
      </c>
      <c r="E39" s="719" t="s">
        <v>595</v>
      </c>
      <c r="F39" s="752">
        <f ca="1">INDIRECT("'数据-取费表'!Al"&amp;$G$1)</f>
        <v>0</v>
      </c>
      <c r="G39" s="1669"/>
      <c r="H39" s="1689"/>
      <c r="I39" s="2558"/>
      <c r="J39" s="1637"/>
      <c r="K39" s="1693"/>
      <c r="L39" s="1689"/>
      <c r="M39" s="1689"/>
    </row>
    <row r="40" spans="1:18" ht="18" customHeight="1" thickBot="1">
      <c r="A40" s="2037" t="s">
        <v>1402</v>
      </c>
      <c r="B40" s="2023" t="s">
        <v>611</v>
      </c>
      <c r="C40" s="2021">
        <f ca="1">ROUND(C7*F40,2)</f>
        <v>0</v>
      </c>
      <c r="D40" s="2022" t="s">
        <v>628</v>
      </c>
      <c r="E40" s="2023" t="s">
        <v>595</v>
      </c>
      <c r="F40" s="2019">
        <f ca="1">INDIRECT("'数据-取费表'!Am"&amp;$G$1)</f>
        <v>0</v>
      </c>
      <c r="G40" s="1669"/>
      <c r="H40" s="1689"/>
      <c r="I40" s="2558"/>
      <c r="J40" s="1637"/>
      <c r="K40" s="1694"/>
      <c r="L40" s="1689"/>
      <c r="M40" s="1689"/>
    </row>
    <row r="41" spans="1:18" ht="18" customHeight="1" thickTop="1">
      <c r="A41" s="1521">
        <v>4</v>
      </c>
      <c r="B41" s="1519" t="s">
        <v>637</v>
      </c>
      <c r="C41" s="1147"/>
      <c r="D41" s="1148"/>
      <c r="E41" s="1148"/>
      <c r="F41" s="1149"/>
      <c r="G41" s="1669"/>
      <c r="H41" s="1669"/>
      <c r="I41" s="1669"/>
      <c r="J41" s="1669"/>
      <c r="K41" s="1694"/>
      <c r="L41" s="1669"/>
      <c r="M41" s="1669"/>
    </row>
    <row r="42" spans="1:18" ht="18" customHeight="1">
      <c r="A42" s="738" t="s">
        <v>1399</v>
      </c>
      <c r="B42" s="769" t="s">
        <v>638</v>
      </c>
      <c r="C42" s="763" t="e">
        <f ca="1">C7-C32</f>
        <v>#VALUE!</v>
      </c>
      <c r="D42" s="906" t="s">
        <v>639</v>
      </c>
      <c r="E42" s="904"/>
      <c r="F42" s="754"/>
      <c r="G42" s="1669"/>
      <c r="H42" s="1669"/>
      <c r="I42" s="1669"/>
      <c r="J42" s="1669"/>
      <c r="K42" s="1694"/>
      <c r="L42" s="1669"/>
      <c r="M42" s="1669"/>
    </row>
    <row r="43" spans="1:18" ht="18" customHeight="1">
      <c r="A43" s="738" t="s">
        <v>1400</v>
      </c>
      <c r="B43" s="769" t="s">
        <v>656</v>
      </c>
      <c r="C43" s="770" t="e">
        <f ca="1">ROUND(C15*F43,0)</f>
        <v>#VALUE!</v>
      </c>
      <c r="D43" s="1150" t="s">
        <v>657</v>
      </c>
      <c r="E43" s="2361" t="s">
        <v>2219</v>
      </c>
      <c r="F43" s="2362">
        <f ca="1">INDIRECT("'数据-取费表'!j"&amp;$G$1)</f>
        <v>0</v>
      </c>
      <c r="G43" s="1669"/>
      <c r="H43" s="1669"/>
      <c r="I43" s="1669"/>
      <c r="J43" s="1669"/>
      <c r="K43" s="1694"/>
      <c r="L43" s="1669"/>
      <c r="M43" s="1669"/>
    </row>
    <row r="44" spans="1:18" ht="18" customHeight="1">
      <c r="A44" s="738" t="s">
        <v>1401</v>
      </c>
      <c r="B44" s="769" t="s">
        <v>658</v>
      </c>
      <c r="C44" s="1151" t="e">
        <f ca="1">C42-C43</f>
        <v>#VALUE!</v>
      </c>
      <c r="D44" s="432" t="s">
        <v>659</v>
      </c>
      <c r="E44" s="433"/>
      <c r="F44" s="434"/>
      <c r="G44" s="1669"/>
      <c r="H44" s="1669"/>
      <c r="I44" s="1669"/>
      <c r="J44" s="1669"/>
      <c r="K44" s="1694"/>
      <c r="L44" s="1669"/>
      <c r="M44" s="1669"/>
    </row>
    <row r="45" spans="1:18" ht="18" customHeight="1">
      <c r="A45" s="738" t="s">
        <v>1402</v>
      </c>
      <c r="B45" s="1150" t="s">
        <v>660</v>
      </c>
      <c r="C45" s="718" t="e">
        <f ca="1">ROUND(-PV(F45,F46,C44,0),0)</f>
        <v>#VALUE!</v>
      </c>
      <c r="D45" s="1152" t="s">
        <v>661</v>
      </c>
      <c r="E45" s="741" t="s">
        <v>662</v>
      </c>
      <c r="F45" s="764">
        <f ca="1">INDIRECT("'数据-取费表'!h"&amp;$G$1)</f>
        <v>0</v>
      </c>
      <c r="G45" s="1669"/>
      <c r="H45" s="1669"/>
      <c r="I45" s="1669"/>
      <c r="J45" s="1669"/>
      <c r="K45" s="1694"/>
      <c r="L45" s="1669"/>
      <c r="M45" s="1669"/>
    </row>
    <row r="46" spans="1:18" ht="18" customHeight="1" thickBot="1">
      <c r="A46" s="765"/>
      <c r="B46" s="1153"/>
      <c r="C46" s="1154"/>
      <c r="D46" s="1155"/>
      <c r="E46" s="2363" t="s">
        <v>2222</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1695</v>
      </c>
      <c r="J47" s="1941"/>
      <c r="K47" s="1942"/>
      <c r="L47" s="2376" t="e">
        <f ca="1">IF(M48="住宅",0,IF(L49&gt;J52,L61,J61))</f>
        <v>#DIV/0!</v>
      </c>
      <c r="O47" s="1954" t="s">
        <v>1762</v>
      </c>
      <c r="P47" s="1145"/>
      <c r="Q47" s="1331"/>
      <c r="R47" s="1145"/>
    </row>
    <row r="48" spans="1:18" s="1673" customFormat="1" ht="18" customHeight="1" thickBot="1">
      <c r="A48" s="1695"/>
      <c r="C48" s="1698"/>
      <c r="D48" s="1696"/>
      <c r="E48" s="1696"/>
      <c r="F48" s="1699"/>
      <c r="G48" s="1700"/>
      <c r="I48" s="2368" t="s">
        <v>1696</v>
      </c>
      <c r="J48" s="1943"/>
      <c r="K48" s="2373" t="s">
        <v>1701</v>
      </c>
      <c r="L48" s="2377">
        <f ca="1">INDIRECT("'数据-取费表'!d"&amp;$G$1)</f>
        <v>0</v>
      </c>
      <c r="M48" s="2360" t="str">
        <f>IF(ISNUMBER(FIND("住宅",C1)),"住宅","非住宅")</f>
        <v>非住宅</v>
      </c>
      <c r="O48" s="1955" t="s">
        <v>1727</v>
      </c>
      <c r="P48" s="1956" t="s">
        <v>1728</v>
      </c>
      <c r="Q48" s="1957" t="s">
        <v>1729</v>
      </c>
      <c r="R48" s="1956" t="s">
        <v>1730</v>
      </c>
    </row>
    <row r="49" spans="1:18" s="1673" customFormat="1" ht="18" customHeight="1" thickBot="1">
      <c r="A49" s="1695"/>
      <c r="D49" s="1701"/>
      <c r="E49" s="1702"/>
      <c r="F49" s="1699"/>
      <c r="G49" s="1700"/>
      <c r="H49" s="1703"/>
      <c r="I49" s="2365" t="s">
        <v>1697</v>
      </c>
      <c r="J49" s="1944"/>
      <c r="K49" s="2374" t="s">
        <v>1703</v>
      </c>
      <c r="L49" s="1568">
        <f ca="1">INDIRECT("'数据-取费表'!f"&amp;$G$1)</f>
        <v>0</v>
      </c>
      <c r="O49" s="1958" t="s">
        <v>1731</v>
      </c>
      <c r="P49" s="1959" t="s">
        <v>1757</v>
      </c>
      <c r="Q49" s="1960">
        <f ca="1">C41+J31</f>
        <v>0</v>
      </c>
      <c r="R49" s="1959" t="s">
        <v>1732</v>
      </c>
    </row>
    <row r="50" spans="1:18" s="1673" customFormat="1" ht="18" customHeight="1" thickBot="1">
      <c r="A50" s="1695"/>
      <c r="D50" s="1704"/>
      <c r="E50" s="1704"/>
      <c r="F50" s="1696"/>
      <c r="H50" s="1703"/>
      <c r="I50" s="2365" t="s">
        <v>1698</v>
      </c>
      <c r="J50" s="1945"/>
      <c r="K50" s="2375" t="s">
        <v>1704</v>
      </c>
      <c r="L50" s="1567"/>
      <c r="O50" s="1958" t="s">
        <v>1733</v>
      </c>
      <c r="P50" s="1959" t="s">
        <v>1758</v>
      </c>
      <c r="Q50" s="1960" t="e">
        <f ca="1">J61</f>
        <v>#DIV/0!</v>
      </c>
      <c r="R50" s="1959" t="s">
        <v>1734</v>
      </c>
    </row>
    <row r="51" spans="1:18" s="1673" customFormat="1" ht="18" customHeight="1" thickBot="1">
      <c r="A51" s="1705"/>
      <c r="D51" s="1704"/>
      <c r="E51" s="1704"/>
      <c r="F51" s="1696"/>
      <c r="H51" s="1703"/>
      <c r="I51" s="2365" t="s">
        <v>1699</v>
      </c>
      <c r="J51" s="2372">
        <f>SUMPRODUCT((I64:I66=J48)*(J63:L63=J49)*(J64:L66))</f>
        <v>0</v>
      </c>
      <c r="K51" s="2375" t="s">
        <v>1705</v>
      </c>
      <c r="L51" s="1567"/>
      <c r="O51" s="1961" t="s">
        <v>1735</v>
      </c>
      <c r="P51" s="1959" t="s">
        <v>1759</v>
      </c>
      <c r="Q51" s="1960" t="e">
        <f ca="1">C31</f>
        <v>#VALUE!</v>
      </c>
      <c r="R51" s="1959" t="s">
        <v>1732</v>
      </c>
    </row>
    <row r="52" spans="1:18" s="1673" customFormat="1" ht="18" customHeight="1" thickBot="1">
      <c r="A52" s="1705"/>
      <c r="F52" s="1696"/>
      <c r="I52" s="2369" t="s">
        <v>1700</v>
      </c>
      <c r="J52" s="1568">
        <f>IF(J50="",J51,J50+J51-YEAR('数据-取费表'!B3))</f>
        <v>0</v>
      </c>
      <c r="K52" s="2365" t="s">
        <v>1706</v>
      </c>
      <c r="L52" s="2378" t="e">
        <f ca="1">C45</f>
        <v>#VALUE!</v>
      </c>
      <c r="O52" s="1961" t="s">
        <v>1736</v>
      </c>
      <c r="P52" s="1959" t="s">
        <v>1737</v>
      </c>
      <c r="Q52" s="1962" t="e">
        <f ca="1">J59</f>
        <v>#DIV/0!</v>
      </c>
      <c r="R52" s="1963"/>
    </row>
    <row r="53" spans="1:18" s="1673" customFormat="1" ht="18" customHeight="1" thickBot="1">
      <c r="A53" s="1705"/>
      <c r="F53" s="1696"/>
      <c r="I53" s="2370" t="s">
        <v>1773</v>
      </c>
      <c r="J53" s="1946"/>
      <c r="K53" s="2370" t="s">
        <v>1772</v>
      </c>
      <c r="L53" s="1946"/>
      <c r="O53" s="1961" t="s">
        <v>1738</v>
      </c>
      <c r="P53" s="1959" t="s">
        <v>1739</v>
      </c>
      <c r="Q53" s="1962">
        <f>J53</f>
        <v>0</v>
      </c>
      <c r="R53" s="1963"/>
    </row>
    <row r="54" spans="1:18" s="1673" customFormat="1" ht="29.25" thickBot="1">
      <c r="A54" s="1705"/>
      <c r="I54" s="2371" t="s">
        <v>2233</v>
      </c>
      <c r="J54" s="2417">
        <f ca="1">IF(M48="住宅",MAX(J52,L49-'数据-取费表'!B20),MIN(J52,L49-'数据-取费表'!B20))</f>
        <v>0</v>
      </c>
      <c r="K54" s="3824"/>
      <c r="L54" s="3825"/>
      <c r="O54" s="1961" t="s">
        <v>1740</v>
      </c>
      <c r="P54" s="1959" t="s">
        <v>1741</v>
      </c>
      <c r="Q54" s="1960">
        <f ca="1">J54</f>
        <v>0</v>
      </c>
      <c r="R54" s="1959" t="s">
        <v>1742</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1743</v>
      </c>
      <c r="P55" s="1959" t="s">
        <v>1760</v>
      </c>
      <c r="Q55" s="1960" t="e">
        <f ca="1">Q49+Q50</f>
        <v>#DIV/0!</v>
      </c>
      <c r="R55" s="1963" t="s">
        <v>1744</v>
      </c>
    </row>
    <row r="56" spans="1:18" s="1673" customFormat="1" ht="16.5" thickBot="1">
      <c r="A56" s="1705"/>
      <c r="B56" s="1706"/>
      <c r="C56" s="1706"/>
      <c r="I56" s="2381" t="s">
        <v>1707</v>
      </c>
      <c r="J56" s="2354" t="e">
        <f ca="1">ROUND(IF(J48="钢混",J58/J51,1-(1-2%)*(J51-J58)/J51),3)</f>
        <v>#DIV/0!</v>
      </c>
      <c r="K56" s="2382" t="s">
        <v>1708</v>
      </c>
      <c r="L56" s="1947"/>
      <c r="O56" s="1964" t="s">
        <v>1763</v>
      </c>
      <c r="P56" s="1145"/>
      <c r="Q56" s="1331"/>
      <c r="R56" s="1145"/>
    </row>
    <row r="57" spans="1:18" s="1673" customFormat="1" ht="43.5" thickBot="1">
      <c r="A57" s="1705"/>
      <c r="B57" s="1706"/>
      <c r="C57" s="1706"/>
      <c r="I57" s="2383" t="s">
        <v>1709</v>
      </c>
      <c r="J57" s="2393"/>
      <c r="K57" s="2365" t="s">
        <v>1714</v>
      </c>
      <c r="L57" s="1568">
        <f ca="1">IF(L49&lt;J52,"——",L49-J52)</f>
        <v>0</v>
      </c>
      <c r="O57" s="1955" t="s">
        <v>1727</v>
      </c>
      <c r="P57" s="1956" t="s">
        <v>1728</v>
      </c>
      <c r="Q57" s="1957" t="s">
        <v>1729</v>
      </c>
      <c r="R57" s="1956" t="s">
        <v>1730</v>
      </c>
    </row>
    <row r="58" spans="1:18" s="1673" customFormat="1" ht="29.25" thickBot="1">
      <c r="A58" s="1705"/>
      <c r="B58" s="1706"/>
      <c r="C58" s="1706"/>
      <c r="I58" s="2384" t="s">
        <v>1710</v>
      </c>
      <c r="J58" s="2385">
        <f ca="1">IF(OR(M48="住宅",J52&lt;L49,J57="是"),"——",J52-L49)</f>
        <v>0</v>
      </c>
      <c r="K58" s="2365" t="s">
        <v>1715</v>
      </c>
      <c r="L58" s="1568" t="e">
        <f ca="1">IF(L49&lt;J52,"——",IF(L56="比较法",L50,IF(L56="基准地价",L51,L52)))</f>
        <v>#VALUE!</v>
      </c>
      <c r="O58" s="1958" t="s">
        <v>1731</v>
      </c>
      <c r="P58" s="1959" t="s">
        <v>1757</v>
      </c>
      <c r="Q58" s="1960">
        <f ca="1">C41+J31</f>
        <v>0</v>
      </c>
      <c r="R58" s="1959" t="s">
        <v>1732</v>
      </c>
    </row>
    <row r="59" spans="1:18" s="1673" customFormat="1" ht="29.25" thickBot="1">
      <c r="A59" s="1705"/>
      <c r="B59" s="1706"/>
      <c r="C59" s="1706"/>
      <c r="I59" s="2384" t="s">
        <v>1711</v>
      </c>
      <c r="J59" s="2355" t="e">
        <f ca="1">IF(J56&lt;0.4,0.4,J56)</f>
        <v>#DIV/0!</v>
      </c>
      <c r="K59" s="2365" t="s">
        <v>1716</v>
      </c>
      <c r="L59" s="1568">
        <f ca="1">IF(ISERROR(POWER(1+L53,L48-L49)*(POWER(1+L53,L49)-1)/(POWER(1+L53,L48)-1)),0,POWER(1+L53,L48-L49)*(POWER(1+L53,L49)-1)/(POWER(1+L53,L48)-1))</f>
        <v>0</v>
      </c>
      <c r="O59" s="1958" t="s">
        <v>1733</v>
      </c>
      <c r="P59" s="1959" t="s">
        <v>1764</v>
      </c>
      <c r="Q59" s="1960" t="e">
        <f ca="1">L61</f>
        <v>#VALUE!</v>
      </c>
      <c r="R59" s="1963" t="s">
        <v>1766</v>
      </c>
    </row>
    <row r="60" spans="1:18" s="1673" customFormat="1" ht="29.25" thickBot="1">
      <c r="A60" s="1705"/>
      <c r="B60" s="1706"/>
      <c r="C60" s="1706"/>
      <c r="I60" s="2384" t="s">
        <v>1712</v>
      </c>
      <c r="J60" s="2385" t="e">
        <f ca="1">IF(OR(M48="住宅",J52&lt;L49,J57="是"),"——",ROUND(C30*J59,0))</f>
        <v>#DIV/0!</v>
      </c>
      <c r="K60" s="2365" t="s">
        <v>1717</v>
      </c>
      <c r="L60" s="1568">
        <f ca="1">IF(ISERROR(POWER(1+L53,L48-J52)*(POWER(1+L53,J52)-1)/(POWER(1+L53,L48)-1)),0,POWER(1+L53,L48-J52)*(POWER(1+L53,J52)-1)/(POWER(1+L53,L48)-1))</f>
        <v>0</v>
      </c>
      <c r="O60" s="1961" t="s">
        <v>1735</v>
      </c>
      <c r="P60" s="1959" t="s">
        <v>1765</v>
      </c>
      <c r="Q60" s="1960">
        <f>IF(L56="比较法",L50,IF(L56="基准地价",L51,0))</f>
        <v>0</v>
      </c>
      <c r="R60" s="1959" t="s">
        <v>1732</v>
      </c>
    </row>
    <row r="61" spans="1:18" s="1673" customFormat="1" ht="15.75" thickBot="1">
      <c r="A61" s="1705"/>
      <c r="B61" s="1706"/>
      <c r="C61" s="1706"/>
      <c r="I61" s="2386" t="s">
        <v>1713</v>
      </c>
      <c r="J61" s="2387" t="e">
        <f ca="1">IF(OR(M48="住宅",J52&lt;L49,J57="是"),"0",ROUND(J60/(1+J53)^J54,0))</f>
        <v>#DIV/0!</v>
      </c>
      <c r="K61" s="2388" t="s">
        <v>1718</v>
      </c>
      <c r="L61" s="2387" t="e">
        <f ca="1">IF(OR(M48="住宅",L49&lt;J52),0,ROUND(L58*(L59/L60-1),0))</f>
        <v>#VALUE!</v>
      </c>
      <c r="O61" s="1961" t="s">
        <v>1736</v>
      </c>
      <c r="P61" s="1959" t="s">
        <v>1745</v>
      </c>
      <c r="Q61" s="1962">
        <f>L53</f>
        <v>0</v>
      </c>
      <c r="R61" s="1963"/>
    </row>
    <row r="62" spans="1:18" s="1673" customFormat="1" ht="20.25" thickBot="1">
      <c r="A62" s="1705"/>
      <c r="B62" s="1706"/>
      <c r="C62" s="1706"/>
      <c r="K62" s="1697"/>
      <c r="O62" s="1961" t="s">
        <v>1738</v>
      </c>
      <c r="P62" s="1959" t="s">
        <v>1746</v>
      </c>
      <c r="Q62" s="1960">
        <f ca="1">L59</f>
        <v>0</v>
      </c>
      <c r="R62" s="1963" t="s">
        <v>1747</v>
      </c>
    </row>
    <row r="63" spans="1:18" s="1673" customFormat="1" ht="20.25" thickBot="1">
      <c r="A63" s="1705"/>
      <c r="B63" s="1706"/>
      <c r="C63" s="1706"/>
      <c r="I63" s="2389" t="s">
        <v>1719</v>
      </c>
      <c r="J63" s="2390" t="s">
        <v>1720</v>
      </c>
      <c r="K63" s="2390" t="s">
        <v>1721</v>
      </c>
      <c r="L63" s="2390" t="s">
        <v>1702</v>
      </c>
      <c r="M63" s="2391" t="s">
        <v>2202</v>
      </c>
      <c r="O63" s="1961" t="s">
        <v>1740</v>
      </c>
      <c r="P63" s="1959" t="s">
        <v>1748</v>
      </c>
      <c r="Q63" s="1960">
        <f ca="1">L60</f>
        <v>0</v>
      </c>
      <c r="R63" s="1963" t="s">
        <v>1749</v>
      </c>
    </row>
    <row r="64" spans="1:18" s="1673" customFormat="1" ht="15.75" thickBot="1">
      <c r="A64" s="1705"/>
      <c r="B64" s="1706"/>
      <c r="C64" s="1706"/>
      <c r="I64" s="2389" t="s">
        <v>1722</v>
      </c>
      <c r="J64" s="2390">
        <v>70</v>
      </c>
      <c r="K64" s="2390">
        <v>50</v>
      </c>
      <c r="L64" s="2390">
        <v>80</v>
      </c>
      <c r="M64" s="2392">
        <v>0.02</v>
      </c>
      <c r="O64" s="1958" t="s">
        <v>1743</v>
      </c>
      <c r="P64" s="1959" t="s">
        <v>1760</v>
      </c>
      <c r="Q64" s="1960" t="e">
        <f ca="1">Q58+Q59</f>
        <v>#VALUE!</v>
      </c>
      <c r="R64" s="1963" t="s">
        <v>1744</v>
      </c>
    </row>
    <row r="65" spans="1:18" s="1673" customFormat="1" ht="16.5" thickBot="1">
      <c r="A65" s="1705"/>
      <c r="B65" s="1706"/>
      <c r="C65" s="1706"/>
      <c r="I65" s="2389" t="s">
        <v>1723</v>
      </c>
      <c r="J65" s="2390">
        <v>50</v>
      </c>
      <c r="K65" s="2390">
        <v>35</v>
      </c>
      <c r="L65" s="2390">
        <v>60</v>
      </c>
      <c r="M65" s="780">
        <v>0</v>
      </c>
      <c r="O65" s="1964" t="s">
        <v>1767</v>
      </c>
      <c r="P65" s="1145"/>
      <c r="Q65" s="1331"/>
      <c r="R65" s="1145"/>
    </row>
    <row r="66" spans="1:18" s="1673" customFormat="1" ht="15.75" thickBot="1">
      <c r="A66" s="1705"/>
      <c r="B66" s="1706"/>
      <c r="C66" s="1706"/>
      <c r="I66" s="2389" t="s">
        <v>1724</v>
      </c>
      <c r="J66" s="2390">
        <v>40</v>
      </c>
      <c r="K66" s="2390">
        <v>30</v>
      </c>
      <c r="L66" s="2390">
        <v>50</v>
      </c>
      <c r="M66" s="2392">
        <v>0.02</v>
      </c>
      <c r="O66" s="1955" t="s">
        <v>1727</v>
      </c>
      <c r="P66" s="1956" t="s">
        <v>1728</v>
      </c>
      <c r="Q66" s="1957" t="s">
        <v>1729</v>
      </c>
      <c r="R66" s="1956" t="s">
        <v>1730</v>
      </c>
    </row>
    <row r="67" spans="1:18" s="1673" customFormat="1" ht="15.75" thickBot="1">
      <c r="A67" s="1705"/>
      <c r="B67" s="1706"/>
      <c r="C67" s="1706"/>
      <c r="K67" s="1697"/>
      <c r="O67" s="1958" t="s">
        <v>1731</v>
      </c>
      <c r="P67" s="1959" t="s">
        <v>1757</v>
      </c>
      <c r="Q67" s="1960">
        <f ca="1">C41+J31</f>
        <v>0</v>
      </c>
      <c r="R67" s="1959" t="s">
        <v>1732</v>
      </c>
    </row>
    <row r="68" spans="1:18" s="1673" customFormat="1" ht="20.25" thickBot="1">
      <c r="A68" s="1705"/>
      <c r="B68" s="1706"/>
      <c r="C68" s="1706"/>
      <c r="K68" s="1697"/>
      <c r="O68" s="1958" t="s">
        <v>1733</v>
      </c>
      <c r="P68" s="1959" t="s">
        <v>1764</v>
      </c>
      <c r="Q68" s="1960" t="e">
        <f ca="1">L61</f>
        <v>#VALUE!</v>
      </c>
      <c r="R68" s="1963" t="s">
        <v>1766</v>
      </c>
    </row>
    <row r="69" spans="1:18" s="1673" customFormat="1" ht="21.75" thickBot="1">
      <c r="A69" s="1705"/>
      <c r="B69" s="1706"/>
      <c r="C69" s="1706"/>
      <c r="K69" s="1697"/>
      <c r="O69" s="1961" t="s">
        <v>1735</v>
      </c>
      <c r="P69" s="1959" t="s">
        <v>1765</v>
      </c>
      <c r="Q69" s="1965" t="e">
        <f ca="1">L52</f>
        <v>#VALUE!</v>
      </c>
      <c r="R69" s="1966" t="s">
        <v>1768</v>
      </c>
    </row>
    <row r="70" spans="1:18" s="1673" customFormat="1" ht="20.25" thickBot="1">
      <c r="A70" s="1705"/>
      <c r="B70" s="1706"/>
      <c r="C70" s="1706"/>
      <c r="K70" s="1697"/>
      <c r="O70" s="1961" t="s">
        <v>1736</v>
      </c>
      <c r="P70" s="1967" t="s">
        <v>1750</v>
      </c>
      <c r="Q70" s="1960" t="e">
        <f ca="1">ROUND(Q71-Q72*Q73,0)</f>
        <v>#VALUE!</v>
      </c>
      <c r="R70" s="1963"/>
    </row>
    <row r="71" spans="1:18" s="1673" customFormat="1" ht="15.75" thickBot="1">
      <c r="A71" s="1705"/>
      <c r="B71" s="1706"/>
      <c r="C71" s="1706"/>
      <c r="K71" s="1697"/>
      <c r="O71" s="1961" t="s">
        <v>1751</v>
      </c>
      <c r="P71" s="1967" t="s">
        <v>1752</v>
      </c>
      <c r="Q71" s="1960" t="e">
        <f ca="1">C42</f>
        <v>#VALUE!</v>
      </c>
      <c r="R71" s="1959" t="s">
        <v>1732</v>
      </c>
    </row>
    <row r="72" spans="1:18" s="1673" customFormat="1" ht="15.75" thickBot="1">
      <c r="A72" s="1705"/>
      <c r="B72" s="1706"/>
      <c r="C72" s="1706"/>
      <c r="K72" s="1697"/>
      <c r="O72" s="1961" t="s">
        <v>1753</v>
      </c>
      <c r="P72" s="1967" t="s">
        <v>1754</v>
      </c>
      <c r="Q72" s="1960" t="e">
        <f ca="1">C15</f>
        <v>#VALUE!</v>
      </c>
      <c r="R72" s="1959" t="s">
        <v>1732</v>
      </c>
    </row>
    <row r="73" spans="1:18" s="1673" customFormat="1" ht="15.75" thickBot="1">
      <c r="A73" s="1705"/>
      <c r="B73" s="1706"/>
      <c r="C73" s="1706"/>
      <c r="K73" s="1697"/>
      <c r="O73" s="1961" t="s">
        <v>1755</v>
      </c>
      <c r="P73" s="1967" t="s">
        <v>1756</v>
      </c>
      <c r="Q73" s="1962">
        <f ca="1">F43</f>
        <v>0</v>
      </c>
      <c r="R73" s="1963"/>
    </row>
    <row r="74" spans="1:18" s="1673" customFormat="1" ht="15.75" thickBot="1">
      <c r="A74" s="1705"/>
      <c r="B74" s="1706"/>
      <c r="C74" s="1706"/>
      <c r="K74" s="1697"/>
      <c r="O74" s="1961" t="s">
        <v>1738</v>
      </c>
      <c r="P74" s="1959" t="s">
        <v>1745</v>
      </c>
      <c r="Q74" s="1962">
        <f>L53</f>
        <v>0</v>
      </c>
      <c r="R74" s="1963"/>
    </row>
    <row r="75" spans="1:18" s="1673" customFormat="1" ht="20.25" thickBot="1">
      <c r="A75" s="1705"/>
      <c r="B75" s="1706"/>
      <c r="C75" s="1706"/>
      <c r="K75" s="1697"/>
      <c r="O75" s="1961" t="s">
        <v>1740</v>
      </c>
      <c r="P75" s="1959" t="s">
        <v>1746</v>
      </c>
      <c r="Q75" s="1960">
        <f ca="1">L59</f>
        <v>0</v>
      </c>
      <c r="R75" s="1963" t="s">
        <v>1747</v>
      </c>
    </row>
    <row r="76" spans="1:18" s="1673" customFormat="1" ht="20.25" thickBot="1">
      <c r="A76" s="1705"/>
      <c r="B76" s="1706"/>
      <c r="C76" s="1706"/>
      <c r="K76" s="1697"/>
      <c r="O76" s="1961" t="s">
        <v>1769</v>
      </c>
      <c r="P76" s="1959" t="s">
        <v>1748</v>
      </c>
      <c r="Q76" s="1960">
        <f ca="1">L60</f>
        <v>0</v>
      </c>
      <c r="R76" s="1963" t="s">
        <v>1749</v>
      </c>
    </row>
    <row r="77" spans="1:18" s="1673" customFormat="1" ht="15.75" thickBot="1">
      <c r="A77" s="1705"/>
      <c r="B77" s="1706"/>
      <c r="C77" s="1706"/>
      <c r="K77" s="1697"/>
      <c r="O77" s="1958" t="s">
        <v>1743</v>
      </c>
      <c r="P77" s="1959" t="s">
        <v>1760</v>
      </c>
      <c r="Q77" s="1960" t="e">
        <f ca="1">Q67+Q68</f>
        <v>#VALUE!</v>
      </c>
      <c r="R77" s="1963" t="s">
        <v>1744</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R78" sqref="R78"/>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1252</v>
      </c>
      <c r="B1" s="675"/>
      <c r="C1" s="708" t="s">
        <v>849</v>
      </c>
      <c r="D1" s="2364" t="s">
        <v>875</v>
      </c>
      <c r="E1" s="1948" t="s">
        <v>1726</v>
      </c>
      <c r="F1" s="1949" t="e">
        <f ca="1">J53</f>
        <v>#N/A</v>
      </c>
      <c r="G1" s="2760"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1253</v>
      </c>
      <c r="B2" s="710" t="e">
        <f ca="1">C40+J29+L46</f>
        <v>#N/A</v>
      </c>
      <c r="C2" s="2765"/>
      <c r="D2" s="2764"/>
      <c r="E2" s="2766"/>
      <c r="F2" s="2766"/>
      <c r="G2" s="2761"/>
      <c r="H2" s="1671"/>
      <c r="I2" s="1671"/>
      <c r="J2" s="1671"/>
      <c r="K2" s="1672"/>
      <c r="L2" s="1671"/>
      <c r="M2" s="1671"/>
    </row>
    <row r="3" spans="1:33" ht="18" customHeight="1" thickBot="1">
      <c r="A3" s="767" t="s">
        <v>1254</v>
      </c>
      <c r="B3" s="768">
        <f ca="1">IF(ISERROR(B2*10000/F43),0,ROUND(B2*10000/F43,0))</f>
        <v>0</v>
      </c>
      <c r="C3" s="2765"/>
      <c r="D3" s="2764"/>
      <c r="E3" s="2766"/>
      <c r="F3" s="2766"/>
      <c r="G3" s="2761"/>
      <c r="H3" s="711" t="s">
        <v>640</v>
      </c>
      <c r="I3" s="1157"/>
      <c r="J3" s="1157"/>
      <c r="K3" s="1325"/>
      <c r="L3" s="1157"/>
      <c r="M3" s="1157"/>
    </row>
    <row r="4" spans="1:33" ht="18" customHeight="1">
      <c r="A4" s="712" t="s">
        <v>1255</v>
      </c>
      <c r="B4" s="713" t="s">
        <v>1256</v>
      </c>
      <c r="C4" s="713" t="s">
        <v>1257</v>
      </c>
      <c r="D4" s="713" t="s">
        <v>579</v>
      </c>
      <c r="E4" s="714" t="s">
        <v>1258</v>
      </c>
      <c r="F4" s="715"/>
      <c r="G4" s="1669"/>
      <c r="H4" s="712" t="s">
        <v>1259</v>
      </c>
      <c r="I4" s="713" t="s">
        <v>1260</v>
      </c>
      <c r="J4" s="713" t="s">
        <v>1261</v>
      </c>
      <c r="K4" s="713" t="s">
        <v>1262</v>
      </c>
      <c r="L4" s="714" t="s">
        <v>1263</v>
      </c>
      <c r="M4" s="715"/>
    </row>
    <row r="5" spans="1:33" ht="18" customHeight="1">
      <c r="A5" s="716">
        <v>1</v>
      </c>
      <c r="B5" s="717" t="s">
        <v>1800</v>
      </c>
      <c r="C5" s="51" t="e">
        <f ca="1">C6+C10+C12</f>
        <v>#N/A</v>
      </c>
      <c r="D5" s="2002" t="s">
        <v>1803</v>
      </c>
      <c r="E5" s="1996"/>
      <c r="F5" s="1997"/>
      <c r="G5" s="1669"/>
      <c r="H5" s="716">
        <v>1</v>
      </c>
      <c r="I5" s="717" t="s">
        <v>1800</v>
      </c>
      <c r="J5" s="51" t="e">
        <f ca="1">J6+J10+J12</f>
        <v>#N/A</v>
      </c>
      <c r="K5" s="2002" t="s">
        <v>1803</v>
      </c>
      <c r="L5" s="1996"/>
      <c r="M5" s="1997"/>
    </row>
    <row r="6" spans="1:33" ht="18" customHeight="1">
      <c r="A6" s="1522" t="s">
        <v>1351</v>
      </c>
      <c r="B6" s="3820" t="s">
        <v>1805</v>
      </c>
      <c r="C6" s="718" t="e">
        <f ca="1">ROUND(F6*F8*F7*(1-F9)/10000,0)</f>
        <v>#N/A</v>
      </c>
      <c r="D6" s="2003" t="s">
        <v>1804</v>
      </c>
      <c r="E6" s="719" t="s">
        <v>1265</v>
      </c>
      <c r="F6" s="720" t="e">
        <f ca="1">INDIRECT("'数据-取费表'!u"&amp;$G$1)</f>
        <v>#N/A</v>
      </c>
      <c r="G6" s="1669"/>
      <c r="H6" s="2010" t="s">
        <v>1810</v>
      </c>
      <c r="I6" s="3820" t="s">
        <v>1805</v>
      </c>
      <c r="J6" s="718" t="e">
        <f ca="1">ROUND(M6*M8*M7*(1-M9)/10000,0)</f>
        <v>#N/A</v>
      </c>
      <c r="K6" s="315" t="s">
        <v>1264</v>
      </c>
      <c r="L6" s="719" t="s">
        <v>1265</v>
      </c>
      <c r="M6" s="720" t="e">
        <f ca="1">INDIRECT("'数据-取费表'!z"&amp;$G$1)</f>
        <v>#N/A</v>
      </c>
    </row>
    <row r="7" spans="1:33" ht="18" customHeight="1">
      <c r="A7" s="2006"/>
      <c r="B7" s="3821"/>
      <c r="C7" s="723"/>
      <c r="D7" s="724"/>
      <c r="E7" s="719" t="s">
        <v>1266</v>
      </c>
      <c r="F7" s="720" t="e">
        <f ca="1">IF(INDIRECT("'数据-取费表'!ah"&amp;$G$1)="",INDIRECT("'数据-取费表'!k"&amp;$G$1),INDIRECT("'数据-取费表'!ah"&amp;$G$1))</f>
        <v>#N/A</v>
      </c>
      <c r="G7" s="1669"/>
      <c r="H7" s="1995"/>
      <c r="I7" s="3821"/>
      <c r="J7" s="723"/>
      <c r="K7" s="724"/>
      <c r="L7" s="719" t="s">
        <v>1266</v>
      </c>
      <c r="M7" s="720" t="e">
        <f ca="1">F7</f>
        <v>#N/A</v>
      </c>
    </row>
    <row r="8" spans="1:33" ht="18" customHeight="1">
      <c r="A8" s="1999"/>
      <c r="B8" s="3822"/>
      <c r="C8" s="723"/>
      <c r="D8" s="724"/>
      <c r="E8" s="719" t="s">
        <v>1267</v>
      </c>
      <c r="F8" s="720" t="e">
        <f ca="1">INDIRECT("'数据-取费表'!ai"&amp;$G$1)</f>
        <v>#N/A</v>
      </c>
      <c r="G8" s="1669"/>
      <c r="H8" s="1995"/>
      <c r="I8" s="3822"/>
      <c r="J8" s="723"/>
      <c r="K8" s="724"/>
      <c r="L8" s="719" t="s">
        <v>1267</v>
      </c>
      <c r="M8" s="720" t="e">
        <f ca="1">INDIRECT("'数据-取费表'!ai"&amp;$G$1)</f>
        <v>#N/A</v>
      </c>
    </row>
    <row r="9" spans="1:33" ht="18" customHeight="1">
      <c r="A9" s="721"/>
      <c r="B9" s="3823"/>
      <c r="C9" s="723"/>
      <c r="D9" s="724"/>
      <c r="E9" s="719" t="s">
        <v>1268</v>
      </c>
      <c r="F9" s="729" t="e">
        <f ca="1">INDIRECT("'数据-取费表'!w"&amp;$G$1)</f>
        <v>#N/A</v>
      </c>
      <c r="G9" s="1669"/>
      <c r="H9" s="2011"/>
      <c r="I9" s="3822"/>
      <c r="J9" s="723"/>
      <c r="K9" s="724"/>
      <c r="L9" s="730" t="s">
        <v>1268</v>
      </c>
      <c r="M9" s="731" t="e">
        <f ca="1">INDIRECT("'数据-取费表'!ab"&amp;$G$1)</f>
        <v>#N/A</v>
      </c>
    </row>
    <row r="10" spans="1:33" ht="18" customHeight="1">
      <c r="A10" s="1522" t="s">
        <v>1808</v>
      </c>
      <c r="B10" s="2000" t="s">
        <v>1801</v>
      </c>
      <c r="C10" s="734">
        <f ca="1">ROUND(IF(F10="押一",C6/12*F11,IF(F10="押二",C6/12*2*F11,IF(F10="押三",C6/12*3*F11,C11*F11))),0)</f>
        <v>0</v>
      </c>
      <c r="D10" s="2007" t="s">
        <v>2229</v>
      </c>
      <c r="E10" s="2004" t="s">
        <v>1806</v>
      </c>
      <c r="F10" s="2077"/>
      <c r="G10" s="1669"/>
      <c r="H10" s="2038" t="s">
        <v>1811</v>
      </c>
      <c r="I10" s="2042" t="s">
        <v>1801</v>
      </c>
      <c r="J10" s="718">
        <f ca="1">ROUND(IF(M10="押一",J6/12*M11,IF(M10="押二",J6/12*2*M11,IF(M10="押三",J6/12*3*M11,J11*M11))),0)</f>
        <v>0</v>
      </c>
      <c r="K10" s="2007" t="s">
        <v>2229</v>
      </c>
      <c r="L10" s="2004" t="s">
        <v>1806</v>
      </c>
      <c r="M10" s="2077"/>
    </row>
    <row r="11" spans="1:33" ht="18" customHeight="1">
      <c r="A11" s="725"/>
      <c r="B11" s="2001" t="s">
        <v>1854</v>
      </c>
      <c r="C11" s="2005"/>
      <c r="D11" s="724"/>
      <c r="E11" s="2004" t="s">
        <v>1807</v>
      </c>
      <c r="F11" s="731">
        <f ca="1">'数据-取费表'!B39</f>
        <v>0.03</v>
      </c>
      <c r="G11" s="1669"/>
      <c r="H11" s="2039"/>
      <c r="I11" s="2001" t="s">
        <v>1854</v>
      </c>
      <c r="J11" s="2005"/>
      <c r="K11" s="287"/>
      <c r="L11" s="2004" t="s">
        <v>1807</v>
      </c>
      <c r="M11" s="1998">
        <f ca="1">'数据-取费表'!B39</f>
        <v>0.03</v>
      </c>
    </row>
    <row r="12" spans="1:33" ht="18" customHeight="1" thickBot="1">
      <c r="A12" s="2014" t="s">
        <v>1809</v>
      </c>
      <c r="B12" s="2015" t="s">
        <v>1802</v>
      </c>
      <c r="C12" s="2016"/>
      <c r="D12" s="2017"/>
      <c r="E12" s="2018"/>
      <c r="F12" s="2019"/>
      <c r="G12" s="1669"/>
      <c r="H12" s="2028" t="s">
        <v>1812</v>
      </c>
      <c r="I12" s="2040" t="s">
        <v>1802</v>
      </c>
      <c r="J12" s="2041"/>
      <c r="K12" s="2017"/>
      <c r="L12" s="2018"/>
      <c r="M12" s="2031"/>
    </row>
    <row r="13" spans="1:33" ht="18" customHeight="1" thickTop="1">
      <c r="A13" s="1521">
        <v>2</v>
      </c>
      <c r="B13" s="1519" t="s">
        <v>1269</v>
      </c>
      <c r="C13" s="727" t="e">
        <f ca="1">ROUND(C29*F13,0)</f>
        <v>#N/A</v>
      </c>
      <c r="D13" s="1526" t="s">
        <v>1652</v>
      </c>
      <c r="E13" s="1526" t="s">
        <v>1271</v>
      </c>
      <c r="F13" s="2013" t="e">
        <f ca="1">INDIRECT("'数据-取费表'!y"&amp;$G$1)</f>
        <v>#N/A</v>
      </c>
      <c r="G13" s="1669"/>
      <c r="H13" s="1521">
        <v>2</v>
      </c>
      <c r="I13" s="1519" t="s">
        <v>1269</v>
      </c>
      <c r="J13" s="1513" t="e">
        <f ca="1">ROUND(J14*J15,0)</f>
        <v>#N/A</v>
      </c>
      <c r="K13" s="1515" t="s">
        <v>1270</v>
      </c>
      <c r="L13" s="2029"/>
      <c r="M13" s="2030"/>
    </row>
    <row r="14" spans="1:33" ht="18" customHeight="1">
      <c r="A14" s="1369" t="s">
        <v>1407</v>
      </c>
      <c r="B14" s="719" t="s">
        <v>591</v>
      </c>
      <c r="C14" s="739" t="e">
        <f ca="1">INDIRECT("'数据-取费表'!m"&amp;$G$1)+INDIRECT("'数据-取费表'!t"&amp;$G$1)</f>
        <v>#N/A</v>
      </c>
      <c r="D14" s="906" t="s">
        <v>1272</v>
      </c>
      <c r="E14" s="905"/>
      <c r="F14" s="740"/>
      <c r="G14" s="1669"/>
      <c r="H14" s="1370" t="s">
        <v>1357</v>
      </c>
      <c r="I14" s="1826" t="s">
        <v>2101</v>
      </c>
      <c r="J14" s="49" t="e">
        <f ca="1">C29</f>
        <v>#N/A</v>
      </c>
      <c r="K14" s="22"/>
      <c r="L14" s="736"/>
      <c r="M14" s="737"/>
    </row>
    <row r="15" spans="1:33" s="1677" customFormat="1" ht="18" customHeight="1" thickBot="1">
      <c r="A15" s="1369" t="s">
        <v>1408</v>
      </c>
      <c r="B15" s="719" t="s">
        <v>593</v>
      </c>
      <c r="C15" s="49" t="e">
        <f ca="1">ROUND(C14*F15,0)</f>
        <v>#N/A</v>
      </c>
      <c r="D15" s="741" t="s">
        <v>1273</v>
      </c>
      <c r="E15" s="741" t="s">
        <v>1274</v>
      </c>
      <c r="F15" s="742">
        <f>'数据-取费表'!B33</f>
        <v>0</v>
      </c>
      <c r="G15" s="2762"/>
      <c r="H15" s="2028" t="s">
        <v>1412</v>
      </c>
      <c r="I15" s="2023" t="s">
        <v>1271</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1409</v>
      </c>
      <c r="B16" s="719" t="s">
        <v>596</v>
      </c>
      <c r="C16" s="49" t="e">
        <f ca="1">ROUND(INDIRECT("'数据-取费表'!m"&amp;$G$1)*F16,0)</f>
        <v>#N/A</v>
      </c>
      <c r="D16" s="719" t="s">
        <v>1273</v>
      </c>
      <c r="E16" s="719" t="s">
        <v>1274</v>
      </c>
      <c r="F16" s="744" t="e">
        <f ca="1">IF(INDIRECT("'数据-取费表'!c"&amp;$G$1)="住宅",'数据-取费表'!B34,0)</f>
        <v>#N/A</v>
      </c>
      <c r="G16" s="1669"/>
      <c r="H16" s="1521" t="s">
        <v>1275</v>
      </c>
      <c r="I16" s="1519" t="s">
        <v>1276</v>
      </c>
      <c r="J16" s="727" t="e">
        <f ca="1">ROUND(J17+J22+J23+J24,0)</f>
        <v>#N/A</v>
      </c>
      <c r="K16" s="1515" t="s">
        <v>1277</v>
      </c>
      <c r="L16" s="909"/>
      <c r="M16" s="1997"/>
    </row>
    <row r="17" spans="1:33" s="1677" customFormat="1" ht="18" customHeight="1">
      <c r="A17" s="1369" t="s">
        <v>1410</v>
      </c>
      <c r="B17" s="719" t="s">
        <v>599</v>
      </c>
      <c r="C17" s="49" t="e">
        <f ca="1">ROUND(F17*(F43+INDIRECT("'数据-取费表'!S"&amp;$G$1))/10000,0)</f>
        <v>#N/A</v>
      </c>
      <c r="D17" s="719" t="s">
        <v>1278</v>
      </c>
      <c r="E17" s="719" t="s">
        <v>1279</v>
      </c>
      <c r="F17" s="52">
        <f>'数据-取费表'!B35</f>
        <v>0</v>
      </c>
      <c r="G17" s="2762"/>
      <c r="H17" s="1370" t="s">
        <v>1357</v>
      </c>
      <c r="I17" s="719" t="s">
        <v>602</v>
      </c>
      <c r="J17" s="2556" t="e">
        <f ca="1">ROUND(IF(AND(项目基本情况!B11="自然人",项目基本情况!B10="北京市"),J6*M17/(1+'数据-取费表'!C42),J18+J19+J20),2)</f>
        <v>#N/A</v>
      </c>
      <c r="K17" s="906" t="s">
        <v>1280</v>
      </c>
      <c r="L17" s="907" t="s">
        <v>1281</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1411</v>
      </c>
      <c r="B18" s="719" t="s">
        <v>605</v>
      </c>
      <c r="C18" s="49" t="e">
        <f ca="1">ROUND(C14*F18,0)</f>
        <v>#N/A</v>
      </c>
      <c r="D18" s="719" t="s">
        <v>1273</v>
      </c>
      <c r="E18" s="719" t="s">
        <v>1274</v>
      </c>
      <c r="F18" s="744">
        <f>'数据-取费表'!B36</f>
        <v>0</v>
      </c>
      <c r="G18" s="2762"/>
      <c r="H18" s="1369" t="s">
        <v>1407</v>
      </c>
      <c r="I18" s="719" t="s">
        <v>1282</v>
      </c>
      <c r="J18" s="49" t="e">
        <f ca="1">ROUND(J6*M18/(1+'数据-取费表'!C42),2)</f>
        <v>#N/A</v>
      </c>
      <c r="K18" s="907" t="s">
        <v>1283</v>
      </c>
      <c r="L18" s="719" t="s">
        <v>1274</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1357</v>
      </c>
      <c r="B19" s="719" t="s">
        <v>608</v>
      </c>
      <c r="C19" s="49" t="e">
        <f ca="1">SUM(C14:C18)</f>
        <v>#N/A</v>
      </c>
      <c r="D19" s="241" t="s">
        <v>1284</v>
      </c>
      <c r="E19" s="915"/>
      <c r="F19" s="52"/>
      <c r="G19" s="1669"/>
      <c r="H19" s="1369" t="s">
        <v>1408</v>
      </c>
      <c r="I19" s="719" t="s">
        <v>1285</v>
      </c>
      <c r="J19" s="49" t="e">
        <f ca="1">IF(K19="按租金收入计税",ROUND(J6*M19/(1+'数据-取费表'!C42),1),ROUND(C29*F33*0.7,2))</f>
        <v>#N/A</v>
      </c>
      <c r="K19" s="745" t="s">
        <v>3240</v>
      </c>
      <c r="L19" s="719" t="s">
        <v>1274</v>
      </c>
      <c r="M19" s="744">
        <f>IF(K19="按租金收入计税",'数据-取费表'!B51,'数据-取费表'!B50)</f>
        <v>0.12</v>
      </c>
    </row>
    <row r="20" spans="1:33" s="1677" customFormat="1" ht="18" customHeight="1">
      <c r="A20" s="1370" t="s">
        <v>1412</v>
      </c>
      <c r="B20" s="719" t="s">
        <v>611</v>
      </c>
      <c r="C20" s="49" t="e">
        <f ca="1">ROUND(C19*F20,0)</f>
        <v>#N/A</v>
      </c>
      <c r="D20" s="746" t="s">
        <v>1286</v>
      </c>
      <c r="E20" s="719" t="s">
        <v>1274</v>
      </c>
      <c r="F20" s="744">
        <f>'数据-取费表'!B37</f>
        <v>0</v>
      </c>
      <c r="G20" s="2762"/>
      <c r="H20" s="1372" t="s">
        <v>1403</v>
      </c>
      <c r="I20" s="315" t="s">
        <v>1287</v>
      </c>
      <c r="J20" s="50" t="e">
        <f ca="1">ROUND(M20*M21/10000,2)</f>
        <v>#N/A</v>
      </c>
      <c r="K20" s="748" t="s">
        <v>1288</v>
      </c>
      <c r="L20" s="719" t="s">
        <v>1289</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1413</v>
      </c>
      <c r="B21" s="719" t="s">
        <v>1290</v>
      </c>
      <c r="C21" s="49" t="s">
        <v>1291</v>
      </c>
      <c r="D21" s="746" t="s">
        <v>1653</v>
      </c>
      <c r="E21" s="719" t="s">
        <v>1292</v>
      </c>
      <c r="F21" s="744">
        <f>'数据-取费表'!B38</f>
        <v>0</v>
      </c>
      <c r="G21" s="2762"/>
      <c r="H21" s="2012"/>
      <c r="I21" s="728"/>
      <c r="J21" s="65"/>
      <c r="K21" s="750"/>
      <c r="L21" s="719" t="s">
        <v>1293</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1414</v>
      </c>
      <c r="B22" s="719" t="s">
        <v>1294</v>
      </c>
      <c r="C22" s="49"/>
      <c r="D22" s="2046" t="str">
        <f>IF(F23&lt;=1,"单利计息。","复利计息。")&amp;"建造成本、管理费用、销售费用产生的利息。"</f>
        <v>单利计息。建造成本、管理费用、销售费用产生的利息。</v>
      </c>
      <c r="E22" s="915"/>
      <c r="F22" s="52"/>
      <c r="G22" s="1669"/>
      <c r="H22" s="1370" t="s">
        <v>1412</v>
      </c>
      <c r="I22" s="719" t="s">
        <v>1295</v>
      </c>
      <c r="J22" s="49" t="e">
        <f ca="1">ROUND(J14*M22,2)</f>
        <v>#N/A</v>
      </c>
      <c r="K22" s="907" t="s">
        <v>1296</v>
      </c>
      <c r="L22" s="719" t="s">
        <v>1274</v>
      </c>
      <c r="M22" s="751" t="e">
        <f ca="1">INDIRECT("'数据-取费表'!Ak"&amp;$G$1)</f>
        <v>#N/A</v>
      </c>
    </row>
    <row r="23" spans="1:33" s="1677" customFormat="1" ht="18" customHeight="1">
      <c r="A23" s="1369" t="s">
        <v>1358</v>
      </c>
      <c r="B23" s="719" t="s">
        <v>1816</v>
      </c>
      <c r="C23" s="49" t="e">
        <f ca="1">ROUND(IF('数据-取费表'!B22&lt;=1,(C19+C20)*F24*F23/2,(C19+C20)*(POWER((1+F24),F23/2)-1)),0)</f>
        <v>#N/A</v>
      </c>
      <c r="D23" s="2045" t="str">
        <f>IF(F23&lt;=1,"(建造成本+管理费用)×利率×(建设周期÷2)","(建造成本+管理费用)×((1+利率)^(建设周期÷2)-1)")</f>
        <v>(建造成本+管理费用)×利率×(建设周期÷2)</v>
      </c>
      <c r="E23" s="719" t="s">
        <v>1297</v>
      </c>
      <c r="F23" s="587">
        <f>'数据-取费表'!B20</f>
        <v>0</v>
      </c>
      <c r="G23" s="2762"/>
      <c r="H23" s="1370" t="s">
        <v>1413</v>
      </c>
      <c r="I23" s="719" t="s">
        <v>624</v>
      </c>
      <c r="J23" s="49" t="e">
        <f ca="1">ROUND(J13*M23,2)</f>
        <v>#N/A</v>
      </c>
      <c r="K23" s="907" t="s">
        <v>1298</v>
      </c>
      <c r="L23" s="719" t="s">
        <v>1274</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1359</v>
      </c>
      <c r="B24" s="719" t="s">
        <v>1299</v>
      </c>
      <c r="C24" s="49" t="e">
        <f ca="1">ROUND(IF('数据-取费表'!B22&lt;=1,F21*F24*F23/2,F21*(POWER((1+F24),F23/2)-1)),4)</f>
        <v>#VALUE!</v>
      </c>
      <c r="D24" s="2045" t="str">
        <f>IF(F23&lt;=1,"销售费用×利率×(建设周期÷2)","销售费用×((1+利率)^(建设周期÷2)-1)")</f>
        <v>销售费用×利率×(建设周期÷2)</v>
      </c>
      <c r="E24" s="719" t="s">
        <v>1300</v>
      </c>
      <c r="F24" s="753" t="e">
        <f ca="1">'数据-取费表'!B40</f>
        <v>#VALUE!</v>
      </c>
      <c r="G24" s="2762"/>
      <c r="H24" s="2028" t="s">
        <v>1414</v>
      </c>
      <c r="I24" s="2023" t="s">
        <v>611</v>
      </c>
      <c r="J24" s="2021" t="e">
        <f ca="1">ROUND(J5*M24,2)</f>
        <v>#N/A</v>
      </c>
      <c r="K24" s="2022" t="s">
        <v>1301</v>
      </c>
      <c r="L24" s="2023" t="s">
        <v>1274</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1367</v>
      </c>
      <c r="B25" s="719" t="s">
        <v>629</v>
      </c>
      <c r="C25" s="49"/>
      <c r="D25" s="241" t="s">
        <v>1302</v>
      </c>
      <c r="E25" s="915"/>
      <c r="F25" s="52"/>
      <c r="G25" s="1669"/>
      <c r="H25" s="1521" t="s">
        <v>1303</v>
      </c>
      <c r="I25" s="2298" t="s">
        <v>2097</v>
      </c>
      <c r="J25" s="727" t="e">
        <f ca="1">J5-J16</f>
        <v>#N/A</v>
      </c>
      <c r="K25" s="2025" t="s">
        <v>1304</v>
      </c>
      <c r="L25" s="2026"/>
      <c r="M25" s="2027"/>
    </row>
    <row r="26" spans="1:33" ht="18" customHeight="1">
      <c r="A26" s="1369" t="s">
        <v>1358</v>
      </c>
      <c r="B26" s="719" t="s">
        <v>1783</v>
      </c>
      <c r="C26" s="49" t="e">
        <f ca="1">ROUND((C19+C20)*F26,0)</f>
        <v>#N/A</v>
      </c>
      <c r="D26" s="746" t="s">
        <v>1305</v>
      </c>
      <c r="E26" s="730" t="s">
        <v>1306</v>
      </c>
      <c r="F26" s="729" t="e">
        <f ca="1">INDIRECT("'数据-取费表'!q"&amp;$G$1)</f>
        <v>#N/A</v>
      </c>
      <c r="G26" s="1669"/>
      <c r="H26" s="2008" t="s">
        <v>1307</v>
      </c>
      <c r="I26" s="1827" t="s">
        <v>2102</v>
      </c>
      <c r="J26" s="718" t="e">
        <f ca="1">IF(J5&lt;&gt;0,ROUND(J25*(1-((1+M28)/(1+M26))^M27)/(M26-M28),0),0)</f>
        <v>#N/A</v>
      </c>
      <c r="K26" s="748" t="s">
        <v>1308</v>
      </c>
      <c r="L26" s="719" t="s">
        <v>1771</v>
      </c>
      <c r="M26" s="729" t="e">
        <f ca="1">INDIRECT("'数据-取费表'!I"&amp;$G$1)</f>
        <v>#N/A</v>
      </c>
    </row>
    <row r="27" spans="1:33" ht="18" customHeight="1">
      <c r="A27" s="1369" t="s">
        <v>1359</v>
      </c>
      <c r="B27" s="719" t="s">
        <v>631</v>
      </c>
      <c r="C27" s="49" t="e">
        <f ca="1">ROUND(F21*F26,4)</f>
        <v>#N/A</v>
      </c>
      <c r="D27" s="746" t="s">
        <v>1309</v>
      </c>
      <c r="E27" s="741"/>
      <c r="F27" s="742"/>
      <c r="G27" s="1669"/>
      <c r="H27" s="2009"/>
      <c r="I27" s="722"/>
      <c r="J27" s="723"/>
      <c r="K27" s="755" t="s">
        <v>1310</v>
      </c>
      <c r="L27" s="719" t="s">
        <v>1311</v>
      </c>
      <c r="M27" s="756" t="e">
        <f ca="1">INDIRECT("'数据-取费表'!ag"&amp;$G$1)</f>
        <v>#N/A</v>
      </c>
    </row>
    <row r="28" spans="1:33" s="1677" customFormat="1" ht="18" customHeight="1">
      <c r="A28" s="1371" t="s">
        <v>1368</v>
      </c>
      <c r="B28" s="719" t="s">
        <v>632</v>
      </c>
      <c r="C28" s="49">
        <f>ROUND(F28/(1+'数据-取费表'!C42),4)</f>
        <v>0</v>
      </c>
      <c r="D28" s="746" t="s">
        <v>1654</v>
      </c>
      <c r="E28" s="719" t="s">
        <v>1312</v>
      </c>
      <c r="F28" s="744">
        <f>'数据-取费表'!B41</f>
        <v>0</v>
      </c>
      <c r="G28" s="2762"/>
      <c r="H28" s="1521"/>
      <c r="I28" s="726"/>
      <c r="J28" s="727"/>
      <c r="K28" s="750"/>
      <c r="L28" s="719" t="s">
        <v>1313</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1415</v>
      </c>
      <c r="B29" s="2018" t="s">
        <v>1655</v>
      </c>
      <c r="C29" s="2021" t="e">
        <f ca="1">ROUND((C19+C20+C23+C26)/(1-F21-C24-C27-C28),0)</f>
        <v>#N/A</v>
      </c>
      <c r="D29" s="2022"/>
      <c r="E29" s="2023"/>
      <c r="F29" s="2024"/>
      <c r="G29" s="2762"/>
      <c r="H29" s="757" t="s">
        <v>1314</v>
      </c>
      <c r="I29" s="758" t="s">
        <v>1315</v>
      </c>
      <c r="J29" s="759" t="e">
        <f ca="1">ROUND(J26/(1+F40)^F41,0)</f>
        <v>#N/A</v>
      </c>
      <c r="K29" s="760" t="s">
        <v>1316</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1416</v>
      </c>
      <c r="B30" s="1519" t="s">
        <v>1317</v>
      </c>
      <c r="C30" s="727" t="e">
        <f ca="1">ROUND(C31+C36+C37+C38,0)</f>
        <v>#N/A</v>
      </c>
      <c r="D30" s="1515" t="s">
        <v>1318</v>
      </c>
      <c r="E30" s="909"/>
      <c r="F30" s="1997"/>
      <c r="G30" s="1669"/>
      <c r="H30" s="1678"/>
      <c r="I30" s="1679"/>
      <c r="J30" s="1680"/>
      <c r="K30" s="1637"/>
      <c r="L30" s="1681"/>
      <c r="M30" s="1682"/>
    </row>
    <row r="31" spans="1:33" ht="18" customHeight="1">
      <c r="A31" s="1370" t="s">
        <v>1357</v>
      </c>
      <c r="B31" s="719" t="s">
        <v>602</v>
      </c>
      <c r="C31" s="2556" t="e">
        <f ca="1">ROUND(IF(AND(项目基本情况!B11="自然人",项目基本情况!B10="北京市"),C6*F31/(1+'数据-取费表'!C42),C32+C33+C34),2)</f>
        <v>#N/A</v>
      </c>
      <c r="D31" s="906" t="s">
        <v>1319</v>
      </c>
      <c r="E31" s="907" t="s">
        <v>1320</v>
      </c>
      <c r="F31" s="2555" t="e">
        <f ca="1">IF(项目基本情况!B11="企业","——",IF(M47="住宅",IF(F6*F7*F8/12/(1+'数据-取费表'!F30)&gt;100000,4%,2.5%),IF(F6*F7*F8/12/(1+'数据-取费表'!F30)&gt;100000,12%,7%)))</f>
        <v>#N/A</v>
      </c>
      <c r="G31" s="1669"/>
      <c r="H31" s="2759" t="s">
        <v>2277</v>
      </c>
      <c r="I31" s="1679"/>
      <c r="J31" s="1680"/>
      <c r="K31" s="1637"/>
      <c r="L31" s="1681"/>
      <c r="M31" s="1682"/>
    </row>
    <row r="32" spans="1:33" ht="18" customHeight="1">
      <c r="A32" s="1369" t="s">
        <v>1358</v>
      </c>
      <c r="B32" s="719" t="s">
        <v>1321</v>
      </c>
      <c r="C32" s="49" t="e">
        <f ca="1">ROUND(C6*F32/(1+'数据-取费表'!C42),2)</f>
        <v>#N/A</v>
      </c>
      <c r="D32" s="907" t="s">
        <v>1322</v>
      </c>
      <c r="E32" s="719" t="s">
        <v>1323</v>
      </c>
      <c r="F32" s="744">
        <f>'数据-取费表'!B41</f>
        <v>0</v>
      </c>
      <c r="G32" s="1669"/>
      <c r="H32" s="1683"/>
      <c r="I32" s="1684"/>
      <c r="J32" s="1685"/>
      <c r="K32" s="1686"/>
      <c r="L32" s="1687"/>
      <c r="M32" s="1688"/>
    </row>
    <row r="33" spans="1:18" ht="18" customHeight="1">
      <c r="A33" s="1369" t="s">
        <v>1359</v>
      </c>
      <c r="B33" s="719" t="s">
        <v>1324</v>
      </c>
      <c r="C33" s="49" t="e">
        <f ca="1">IF(D33="按租金收入计税",ROUND(C6*F33/(1+'数据-取费表'!C42),2),IF(D33="按房产原值计税",ROUND(C29*F33*0.7,2),INDIRECT("'数据-取费表'!Aj"&amp;$G$1)))</f>
        <v>#N/A</v>
      </c>
      <c r="D33" s="745" t="s">
        <v>3240</v>
      </c>
      <c r="E33" s="719" t="s">
        <v>1323</v>
      </c>
      <c r="F33" s="744">
        <f>IF(D33="按租金收入计税",'数据-取费表'!B51,'数据-取费表'!B50)</f>
        <v>0.12</v>
      </c>
      <c r="G33" s="1669"/>
      <c r="H33" s="1689"/>
      <c r="I33" s="1689"/>
      <c r="J33" s="1689"/>
      <c r="K33" s="1690"/>
      <c r="L33" s="1689"/>
      <c r="M33" s="1689"/>
    </row>
    <row r="34" spans="1:18" ht="18" customHeight="1">
      <c r="A34" s="1372" t="s">
        <v>1360</v>
      </c>
      <c r="B34" s="315" t="s">
        <v>1325</v>
      </c>
      <c r="C34" s="50" t="e">
        <f ca="1">ROUND(F34*F35/10000,2)</f>
        <v>#N/A</v>
      </c>
      <c r="D34" s="748" t="s">
        <v>1326</v>
      </c>
      <c r="E34" s="719" t="s">
        <v>1327</v>
      </c>
      <c r="F34" s="587">
        <f>'数据-取费表'!B52</f>
        <v>0</v>
      </c>
      <c r="G34" s="1669"/>
      <c r="H34" s="1678"/>
      <c r="I34" s="769" t="s">
        <v>1340</v>
      </c>
      <c r="J34" s="770"/>
      <c r="K34" s="1692"/>
      <c r="L34" s="1691"/>
      <c r="M34" s="1691"/>
    </row>
    <row r="35" spans="1:18" ht="18" customHeight="1">
      <c r="A35" s="749"/>
      <c r="B35" s="728"/>
      <c r="C35" s="65"/>
      <c r="D35" s="750"/>
      <c r="E35" s="719" t="s">
        <v>1328</v>
      </c>
      <c r="F35" s="720" t="e">
        <f ca="1">INDIRECT("'数据-取费表'!r"&amp;$G$1)</f>
        <v>#N/A</v>
      </c>
      <c r="G35" s="1669"/>
      <c r="H35" s="1678"/>
      <c r="I35" s="771" t="s">
        <v>1341</v>
      </c>
      <c r="J35" s="772" t="e">
        <f ca="1">ROUND(C13*J36,0)</f>
        <v>#N/A</v>
      </c>
      <c r="K35" s="1690"/>
      <c r="L35" s="1689"/>
      <c r="M35" s="1689"/>
    </row>
    <row r="36" spans="1:18" ht="18" customHeight="1">
      <c r="A36" s="1370" t="s">
        <v>1412</v>
      </c>
      <c r="B36" s="719" t="s">
        <v>1329</v>
      </c>
      <c r="C36" s="49" t="e">
        <f ca="1">ROUND(C29*F36,2)</f>
        <v>#N/A</v>
      </c>
      <c r="D36" s="907" t="s">
        <v>1330</v>
      </c>
      <c r="E36" s="719" t="s">
        <v>1323</v>
      </c>
      <c r="F36" s="751" t="e">
        <f ca="1">INDIRECT("'数据-取费表'!Ak"&amp;$G$1)</f>
        <v>#N/A</v>
      </c>
      <c r="G36" s="1669"/>
      <c r="H36" s="1689"/>
      <c r="I36" s="773" t="s">
        <v>1342</v>
      </c>
      <c r="J36" s="774" t="e">
        <f ca="1">INDIRECT("'数据-取费表'!j"&amp;$G$1)</f>
        <v>#N/A</v>
      </c>
      <c r="K36" s="1693"/>
      <c r="L36" s="1689"/>
      <c r="M36" s="1689"/>
    </row>
    <row r="37" spans="1:18" ht="18" customHeight="1">
      <c r="A37" s="1370" t="s">
        <v>1413</v>
      </c>
      <c r="B37" s="719" t="s">
        <v>624</v>
      </c>
      <c r="C37" s="49" t="e">
        <f ca="1">ROUND(C13*F37,2)</f>
        <v>#N/A</v>
      </c>
      <c r="D37" s="907" t="s">
        <v>1331</v>
      </c>
      <c r="E37" s="719" t="s">
        <v>1323</v>
      </c>
      <c r="F37" s="752" t="e">
        <f ca="1">INDIRECT("'数据-取费表'!Al"&amp;$G$1)</f>
        <v>#N/A</v>
      </c>
      <c r="G37" s="1669"/>
      <c r="H37" s="1689"/>
      <c r="I37" s="775" t="s">
        <v>1343</v>
      </c>
      <c r="J37" s="776"/>
      <c r="K37" s="1693"/>
      <c r="L37" s="1689"/>
      <c r="M37" s="1689"/>
    </row>
    <row r="38" spans="1:18" ht="18" customHeight="1" thickBot="1">
      <c r="A38" s="2028" t="s">
        <v>1414</v>
      </c>
      <c r="B38" s="2023" t="s">
        <v>611</v>
      </c>
      <c r="C38" s="2021" t="e">
        <f ca="1">ROUND(C5*F38,2)</f>
        <v>#N/A</v>
      </c>
      <c r="D38" s="2022" t="s">
        <v>1332</v>
      </c>
      <c r="E38" s="2023" t="s">
        <v>1323</v>
      </c>
      <c r="F38" s="2019" t="e">
        <f ca="1">INDIRECT("'数据-取费表'!Am"&amp;$G$1)</f>
        <v>#N/A</v>
      </c>
      <c r="G38" s="1669"/>
      <c r="H38" s="1689"/>
      <c r="I38" s="777" t="s">
        <v>1344</v>
      </c>
      <c r="J38" s="778"/>
      <c r="K38" s="1694"/>
      <c r="L38" s="1689"/>
      <c r="M38" s="1689"/>
    </row>
    <row r="39" spans="1:18" ht="24.6" customHeight="1" thickTop="1">
      <c r="A39" s="1521" t="s">
        <v>1417</v>
      </c>
      <c r="B39" s="2298" t="s">
        <v>2097</v>
      </c>
      <c r="C39" s="727" t="e">
        <f ca="1">C5-C30</f>
        <v>#N/A</v>
      </c>
      <c r="D39" s="2025" t="s">
        <v>1333</v>
      </c>
      <c r="E39" s="2026"/>
      <c r="F39" s="2027"/>
      <c r="G39" s="1669"/>
      <c r="H39" s="1689"/>
      <c r="I39" s="771" t="s">
        <v>1345</v>
      </c>
      <c r="J39" s="779" t="e">
        <f ca="1">ROUND(J35/C39,3)</f>
        <v>#N/A</v>
      </c>
      <c r="K39" s="1694"/>
      <c r="L39" s="1689"/>
      <c r="M39" s="1689"/>
    </row>
    <row r="40" spans="1:18" ht="18" customHeight="1">
      <c r="A40" s="716" t="s">
        <v>1418</v>
      </c>
      <c r="B40" s="1827" t="s">
        <v>1656</v>
      </c>
      <c r="C40" s="718" t="e">
        <f ca="1">ROUND(C39*(1-((1+F42)/(1+F40))^F41)/(F40-F42),0)</f>
        <v>#N/A</v>
      </c>
      <c r="D40" s="748" t="s">
        <v>1334</v>
      </c>
      <c r="E40" s="719" t="s">
        <v>1771</v>
      </c>
      <c r="F40" s="729" t="e">
        <f ca="1">INDIRECT("'数据-取费表'!I"&amp;$G$1)</f>
        <v>#N/A</v>
      </c>
      <c r="G40" s="1669"/>
      <c r="H40" s="1669"/>
      <c r="I40" s="771" t="s">
        <v>1346</v>
      </c>
      <c r="J40" s="779" t="e">
        <f ca="1">1-J39</f>
        <v>#N/A</v>
      </c>
      <c r="K40" s="1694"/>
      <c r="L40" s="1669"/>
      <c r="M40" s="1669"/>
    </row>
    <row r="41" spans="1:18" ht="18" customHeight="1">
      <c r="A41" s="721"/>
      <c r="B41" s="722"/>
      <c r="C41" s="723"/>
      <c r="D41" s="755" t="s">
        <v>1335</v>
      </c>
      <c r="E41" s="719" t="s">
        <v>2221</v>
      </c>
      <c r="F41" s="756" t="e">
        <f ca="1">IF(INDIRECT("'数据-取费表'!af"&amp;$G$1)=0,INDIRECT("'数据-取费表'!ae"&amp;$G$1),INDIRECT("'数据-取费表'!af"&amp;$G$1))</f>
        <v>#N/A</v>
      </c>
      <c r="G41" s="1669"/>
      <c r="H41" s="1637"/>
      <c r="I41" s="777" t="s">
        <v>1347</v>
      </c>
      <c r="J41" s="780"/>
      <c r="K41" s="1693"/>
      <c r="L41" s="1637"/>
      <c r="M41" s="1637"/>
    </row>
    <row r="42" spans="1:18" ht="18" customHeight="1">
      <c r="A42" s="725"/>
      <c r="B42" s="726"/>
      <c r="C42" s="727"/>
      <c r="D42" s="750"/>
      <c r="E42" s="719" t="s">
        <v>1336</v>
      </c>
      <c r="F42" s="729" t="e">
        <f ca="1">INDIRECT("'数据-取费表'!v"&amp;$G$1)</f>
        <v>#N/A</v>
      </c>
      <c r="G42" s="1669"/>
      <c r="H42" s="1637"/>
      <c r="I42" s="781" t="s">
        <v>1348</v>
      </c>
      <c r="J42" s="779" t="e">
        <f ca="1">ROUND(C13/C40,3)</f>
        <v>#N/A</v>
      </c>
      <c r="K42" s="1693"/>
      <c r="L42" s="1637"/>
      <c r="M42" s="1637"/>
    </row>
    <row r="43" spans="1:18" ht="18" customHeight="1" thickBot="1">
      <c r="A43" s="757" t="s">
        <v>1314</v>
      </c>
      <c r="B43" s="758" t="s">
        <v>1337</v>
      </c>
      <c r="C43" s="759" t="e">
        <f ca="1">ROUND(C40*10000/F43,0)</f>
        <v>#N/A</v>
      </c>
      <c r="D43" s="760" t="s">
        <v>1338</v>
      </c>
      <c r="E43" s="761" t="s">
        <v>1339</v>
      </c>
      <c r="F43" s="762" t="e">
        <f ca="1">INDIRECT("'数据-取费表'!k"&amp;$G$1)</f>
        <v>#N/A</v>
      </c>
      <c r="G43" s="1669"/>
      <c r="H43" s="1637"/>
      <c r="I43" s="781" t="s">
        <v>1349</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1650</v>
      </c>
      <c r="B46" s="1696"/>
      <c r="C46" s="1147" t="e">
        <f ca="1">C67-C40</f>
        <v>#N/A</v>
      </c>
      <c r="D46" s="2763"/>
      <c r="E46" s="2763"/>
      <c r="F46" s="2763"/>
      <c r="I46" s="1940" t="s">
        <v>1695</v>
      </c>
      <c r="J46" s="1941"/>
      <c r="K46" s="1942"/>
      <c r="L46" s="2376">
        <f>IF(OR(M47="住宅",D1="土地（套用方法）"),0,IF(L48&gt;J51,L60,J60))</f>
        <v>0</v>
      </c>
      <c r="M46" s="2764"/>
      <c r="O46" s="1954" t="s">
        <v>1762</v>
      </c>
      <c r="P46" s="1145"/>
      <c r="Q46" s="1331"/>
      <c r="R46" s="1145"/>
    </row>
    <row r="47" spans="1:18" s="1673" customFormat="1" ht="18" customHeight="1" thickBot="1">
      <c r="A47" s="3382">
        <v>1</v>
      </c>
      <c r="B47" s="3383" t="s">
        <v>581</v>
      </c>
      <c r="C47" s="3384" t="e">
        <f ca="1">C48+C52+C54</f>
        <v>#N/A</v>
      </c>
      <c r="D47" s="3385"/>
      <c r="E47" s="3385"/>
      <c r="F47" s="3386"/>
      <c r="I47" s="2368" t="s">
        <v>1696</v>
      </c>
      <c r="J47" s="1943"/>
      <c r="K47" s="2373" t="s">
        <v>1701</v>
      </c>
      <c r="L47" s="2377" t="e">
        <f ca="1">INDIRECT("'数据-取费表'!d"&amp;$G$1)</f>
        <v>#N/A</v>
      </c>
      <c r="M47" s="1331" t="str">
        <f>IF(ISNUMBER(FIND("住宅",C1)),"住宅","非住宅")</f>
        <v>住宅</v>
      </c>
      <c r="O47" s="1955" t="s">
        <v>1727</v>
      </c>
      <c r="P47" s="1956" t="s">
        <v>1728</v>
      </c>
      <c r="Q47" s="1957" t="s">
        <v>1729</v>
      </c>
      <c r="R47" s="1956" t="s">
        <v>1730</v>
      </c>
    </row>
    <row r="48" spans="1:18" s="1673" customFormat="1" ht="18" customHeight="1" thickBot="1">
      <c r="A48" s="2085" t="s">
        <v>1818</v>
      </c>
      <c r="B48" s="2086" t="s">
        <v>1819</v>
      </c>
      <c r="C48" s="1936" t="e">
        <f ca="1">ROUND(F48*F50*F49*(1-F51)/10000,0)</f>
        <v>#N/A</v>
      </c>
      <c r="D48" s="1937" t="s">
        <v>582</v>
      </c>
      <c r="E48" s="1938" t="s">
        <v>1651</v>
      </c>
      <c r="F48" s="1939" t="e">
        <f ca="1">M6</f>
        <v>#N/A</v>
      </c>
      <c r="G48" s="1700"/>
      <c r="I48" s="2365" t="s">
        <v>1697</v>
      </c>
      <c r="J48" s="1944"/>
      <c r="K48" s="2374" t="s">
        <v>1703</v>
      </c>
      <c r="L48" s="1568" t="e">
        <f ca="1">INDIRECT("'数据-取费表'!f"&amp;$G$1)</f>
        <v>#N/A</v>
      </c>
      <c r="M48" s="2764"/>
      <c r="O48" s="1958" t="s">
        <v>1731</v>
      </c>
      <c r="P48" s="1959" t="s">
        <v>1757</v>
      </c>
      <c r="Q48" s="1960" t="e">
        <f ca="1">C40+J29</f>
        <v>#N/A</v>
      </c>
      <c r="R48" s="1959" t="s">
        <v>1732</v>
      </c>
    </row>
    <row r="49" spans="1:18" s="1673" customFormat="1" ht="18" customHeight="1" thickBot="1">
      <c r="A49" s="721"/>
      <c r="B49" s="722"/>
      <c r="C49" s="723"/>
      <c r="D49" s="724"/>
      <c r="E49" s="719" t="s">
        <v>1266</v>
      </c>
      <c r="F49" s="720" t="e">
        <f ca="1">F7</f>
        <v>#N/A</v>
      </c>
      <c r="G49" s="1700"/>
      <c r="H49" s="1703"/>
      <c r="I49" s="2365" t="s">
        <v>1698</v>
      </c>
      <c r="J49" s="1945"/>
      <c r="K49" s="2375" t="s">
        <v>1704</v>
      </c>
      <c r="L49" s="1567"/>
      <c r="M49" s="2764"/>
      <c r="O49" s="1958" t="s">
        <v>1733</v>
      </c>
      <c r="P49" s="1959" t="s">
        <v>1758</v>
      </c>
      <c r="Q49" s="1960" t="e">
        <f ca="1">J60</f>
        <v>#N/A</v>
      </c>
      <c r="R49" s="1959" t="s">
        <v>1734</v>
      </c>
    </row>
    <row r="50" spans="1:18" s="1673" customFormat="1" ht="18" customHeight="1" thickBot="1">
      <c r="A50" s="721"/>
      <c r="B50" s="722"/>
      <c r="C50" s="723"/>
      <c r="D50" s="724"/>
      <c r="E50" s="719" t="s">
        <v>1267</v>
      </c>
      <c r="F50" s="720" t="e">
        <f ca="1">F8</f>
        <v>#N/A</v>
      </c>
      <c r="H50" s="1703"/>
      <c r="I50" s="2365" t="s">
        <v>1699</v>
      </c>
      <c r="J50" s="2372">
        <f>SUMPRODUCT((I63:I65=J47)*(J62:L62=J48)*(J63:L65))</f>
        <v>0</v>
      </c>
      <c r="K50" s="2375" t="s">
        <v>1705</v>
      </c>
      <c r="L50" s="1567"/>
      <c r="M50" s="2764"/>
      <c r="O50" s="1961" t="s">
        <v>1735</v>
      </c>
      <c r="P50" s="1959" t="s">
        <v>1759</v>
      </c>
      <c r="Q50" s="1960" t="e">
        <f ca="1">C29</f>
        <v>#N/A</v>
      </c>
      <c r="R50" s="1959" t="s">
        <v>1732</v>
      </c>
    </row>
    <row r="51" spans="1:18" s="1673" customFormat="1" ht="18" customHeight="1" thickBot="1">
      <c r="A51" s="721"/>
      <c r="B51" s="722"/>
      <c r="C51" s="723"/>
      <c r="D51" s="724"/>
      <c r="E51" s="719" t="s">
        <v>586</v>
      </c>
      <c r="F51" s="1935"/>
      <c r="H51" s="1703"/>
      <c r="I51" s="2369" t="s">
        <v>1700</v>
      </c>
      <c r="J51" s="1568">
        <f>IF(J49="",J50,J49+J50-YEAR('数据-取费表'!B2))</f>
        <v>0</v>
      </c>
      <c r="K51" s="2365" t="s">
        <v>1706</v>
      </c>
      <c r="L51" s="2378" t="e">
        <f ca="1">ROUND(-PV(INDIRECT("'数据-取费表'!h"&amp;$G$1),J51,(C39-C13*J36),0),0)</f>
        <v>#N/A</v>
      </c>
      <c r="M51" s="2764"/>
      <c r="O51" s="1961" t="s">
        <v>1736</v>
      </c>
      <c r="P51" s="1959" t="s">
        <v>1737</v>
      </c>
      <c r="Q51" s="1962" t="e">
        <f ca="1">J58</f>
        <v>#N/A</v>
      </c>
      <c r="R51" s="1963"/>
    </row>
    <row r="52" spans="1:18" s="1673" customFormat="1" ht="18" customHeight="1" thickBot="1">
      <c r="A52" s="716" t="s">
        <v>1817</v>
      </c>
      <c r="B52" s="2000" t="s">
        <v>1801</v>
      </c>
      <c r="C52" s="734">
        <f ca="1">ROUND(IF(F52="押一",C48/12*F11,IF(F52="押二",C48/12*2*F11,IF(F52="押三",C48/12*3*F11,C53*F11))),0)</f>
        <v>0</v>
      </c>
      <c r="D52" s="2007" t="s">
        <v>2230</v>
      </c>
      <c r="E52" s="2004" t="s">
        <v>1806</v>
      </c>
      <c r="F52" s="2077"/>
      <c r="I52" s="2370" t="s">
        <v>1773</v>
      </c>
      <c r="J52" s="1946"/>
      <c r="K52" s="2370" t="s">
        <v>1772</v>
      </c>
      <c r="L52" s="1946"/>
      <c r="M52" s="2764"/>
      <c r="O52" s="1961" t="s">
        <v>1738</v>
      </c>
      <c r="P52" s="1959" t="s">
        <v>1739</v>
      </c>
      <c r="Q52" s="1962">
        <f>J52</f>
        <v>0</v>
      </c>
      <c r="R52" s="1963"/>
    </row>
    <row r="53" spans="1:18" s="1673" customFormat="1" ht="39.75" customHeight="1" thickBot="1">
      <c r="A53" s="721"/>
      <c r="B53" s="2001" t="s">
        <v>1854</v>
      </c>
      <c r="C53" s="2005"/>
      <c r="D53" s="2007"/>
      <c r="E53" s="2004"/>
      <c r="F53" s="735"/>
      <c r="I53" s="2371" t="s">
        <v>2233</v>
      </c>
      <c r="J53" s="2417" t="e">
        <f ca="1">IF(M47="住宅",IF(D1="——",MAX(J51,L48),MAX(J51,L48-'数据-取费表'!B20)),IF(D1="——",MIN(J51,L48),MIN(J51,L48-'数据-取费表'!B20)))</f>
        <v>#N/A</v>
      </c>
      <c r="K53" s="3826" t="s">
        <v>2223</v>
      </c>
      <c r="L53" s="3827"/>
      <c r="M53" s="2764"/>
      <c r="O53" s="1961" t="s">
        <v>1740</v>
      </c>
      <c r="P53" s="1959" t="s">
        <v>1741</v>
      </c>
      <c r="Q53" s="1960" t="e">
        <f ca="1">J53</f>
        <v>#N/A</v>
      </c>
      <c r="R53" s="1959" t="s">
        <v>1742</v>
      </c>
    </row>
    <row r="54" spans="1:18" s="1673" customFormat="1" ht="18" customHeight="1" thickBot="1">
      <c r="A54" s="2014" t="s">
        <v>1809</v>
      </c>
      <c r="B54" s="2015" t="s">
        <v>1802</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4"/>
      <c r="O54" s="1958" t="s">
        <v>1743</v>
      </c>
      <c r="P54" s="1959" t="s">
        <v>1760</v>
      </c>
      <c r="Q54" s="1960" t="e">
        <f ca="1">Q48+Q49</f>
        <v>#N/A</v>
      </c>
      <c r="R54" s="1963" t="s">
        <v>1744</v>
      </c>
    </row>
    <row r="55" spans="1:18" s="1673" customFormat="1" ht="18" customHeight="1" thickTop="1" thickBot="1">
      <c r="A55" s="732">
        <v>2</v>
      </c>
      <c r="B55" s="733" t="s">
        <v>590</v>
      </c>
      <c r="C55" s="734" t="e">
        <f ca="1">C13</f>
        <v>#N/A</v>
      </c>
      <c r="D55" s="730"/>
      <c r="E55" s="730"/>
      <c r="F55" s="735"/>
      <c r="I55" s="2381" t="s">
        <v>1707</v>
      </c>
      <c r="J55" s="2354" t="e">
        <f ca="1">ROUND(IF(J47="钢混",J57/J50,1-(1-2%)*(J50-J57)/J50),3)</f>
        <v>#N/A</v>
      </c>
      <c r="K55" s="2382" t="s">
        <v>1708</v>
      </c>
      <c r="L55" s="1947"/>
      <c r="M55" s="2764"/>
      <c r="O55" s="1964" t="s">
        <v>1763</v>
      </c>
      <c r="P55" s="1145"/>
      <c r="Q55" s="1331"/>
      <c r="R55" s="1145"/>
    </row>
    <row r="56" spans="1:18" s="1673" customFormat="1" ht="42.75" customHeight="1" thickBot="1">
      <c r="A56" s="1371"/>
      <c r="B56" s="1826" t="s">
        <v>1657</v>
      </c>
      <c r="C56" s="49" t="e">
        <f ca="1">C29</f>
        <v>#N/A</v>
      </c>
      <c r="D56" s="907"/>
      <c r="E56" s="719"/>
      <c r="F56" s="744"/>
      <c r="I56" s="2383" t="s">
        <v>1709</v>
      </c>
      <c r="J56" s="2393"/>
      <c r="K56" s="2365" t="s">
        <v>1714</v>
      </c>
      <c r="L56" s="1568" t="e">
        <f ca="1">IF(L48&lt;J51,"——",L48-J51)</f>
        <v>#N/A</v>
      </c>
      <c r="M56" s="2764"/>
      <c r="O56" s="1955" t="s">
        <v>1727</v>
      </c>
      <c r="P56" s="1956" t="s">
        <v>1728</v>
      </c>
      <c r="Q56" s="1957" t="s">
        <v>1729</v>
      </c>
      <c r="R56" s="1956" t="s">
        <v>1730</v>
      </c>
    </row>
    <row r="57" spans="1:18" s="1673" customFormat="1" ht="28.5" customHeight="1" thickBot="1">
      <c r="A57" s="732" t="s">
        <v>1275</v>
      </c>
      <c r="B57" s="733" t="s">
        <v>597</v>
      </c>
      <c r="C57" s="734" t="e">
        <f ca="1">ROUND(C58+C63+C64+C65,0)</f>
        <v>#N/A</v>
      </c>
      <c r="D57" s="22" t="s">
        <v>1277</v>
      </c>
      <c r="E57" s="915"/>
      <c r="F57" s="52"/>
      <c r="I57" s="2384" t="s">
        <v>1710</v>
      </c>
      <c r="J57" s="2385" t="e">
        <f ca="1">IF(OR(M47="住宅",J51&lt;L48,J56="是"),"——",J51-L48)</f>
        <v>#N/A</v>
      </c>
      <c r="K57" s="2365" t="s">
        <v>1715</v>
      </c>
      <c r="L57" s="1568" t="e">
        <f ca="1">IF(L48&lt;J51,"——",IF(L55="比较法",L49,IF(L55="基准地价",L50,L51)))</f>
        <v>#N/A</v>
      </c>
      <c r="M57" s="2764"/>
      <c r="O57" s="1958" t="s">
        <v>1731</v>
      </c>
      <c r="P57" s="1959" t="s">
        <v>1761</v>
      </c>
      <c r="Q57" s="1960" t="e">
        <f ca="1">C40+J29</f>
        <v>#N/A</v>
      </c>
      <c r="R57" s="1959" t="s">
        <v>1732</v>
      </c>
    </row>
    <row r="58" spans="1:18" s="1673" customFormat="1" ht="28.5" customHeight="1" thickBot="1">
      <c r="A58" s="1370" t="s">
        <v>1351</v>
      </c>
      <c r="B58" s="719" t="s">
        <v>602</v>
      </c>
      <c r="C58" s="2556" t="e">
        <f ca="1">ROUND(IF(AND(项目基本情况!B11="自然人",项目基本情况!B10="北京市"),C48*F58/(1+'数据-取费表'!C42),C59+C60+C61),2)</f>
        <v>#N/A</v>
      </c>
      <c r="D58" s="906" t="s">
        <v>603</v>
      </c>
      <c r="E58" s="907" t="s">
        <v>635</v>
      </c>
      <c r="F58" s="2555" t="e">
        <f ca="1">IF(项目基本情况!B11="企业","——",IF('数据-取费表'!B10="住宅",IF(F48*F49*F50/12/(1+'数据-取费表'!F30)&gt;100000,4%,2.5%),IF(F48*F49*F50/12/(1+'数据-取费表'!F30)&gt;100000,12%,7%)))</f>
        <v>#N/A</v>
      </c>
      <c r="I58" s="2384" t="s">
        <v>1711</v>
      </c>
      <c r="J58" s="2355" t="e">
        <f ca="1">IF(J55&lt;0.4,0.4,J55)</f>
        <v>#N/A</v>
      </c>
      <c r="K58" s="2365" t="s">
        <v>1716</v>
      </c>
      <c r="L58" s="1568" t="e">
        <f ca="1">ROUND(POWER(1+L52,L47-L48)*(POWER(1+L52,L48)-1)/(POWER(1+L52,L47)-1),4)</f>
        <v>#N/A</v>
      </c>
      <c r="M58" s="2764"/>
      <c r="O58" s="1958" t="s">
        <v>1733</v>
      </c>
      <c r="P58" s="1959" t="s">
        <v>1764</v>
      </c>
      <c r="Q58" s="1960" t="e">
        <f ca="1">L60</f>
        <v>#N/A</v>
      </c>
      <c r="R58" s="1963" t="s">
        <v>1766</v>
      </c>
    </row>
    <row r="59" spans="1:18" s="1673" customFormat="1" ht="28.5" customHeight="1" thickBot="1">
      <c r="A59" s="1369" t="s">
        <v>1358</v>
      </c>
      <c r="B59" s="719" t="s">
        <v>606</v>
      </c>
      <c r="C59" s="49" t="e">
        <f ca="1">ROUND(C47*F59/1.05,2)</f>
        <v>#N/A</v>
      </c>
      <c r="D59" s="907" t="s">
        <v>1283</v>
      </c>
      <c r="E59" s="719" t="s">
        <v>1274</v>
      </c>
      <c r="F59" s="744">
        <f t="shared" ref="F59:F65" si="0">F32</f>
        <v>0</v>
      </c>
      <c r="I59" s="2384" t="s">
        <v>1712</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4"/>
      <c r="O59" s="1961" t="s">
        <v>1735</v>
      </c>
      <c r="P59" s="1959" t="s">
        <v>1765</v>
      </c>
      <c r="Q59" s="1960">
        <f>IF(L55="比较法",L49,IF(L55="基准地价",L50,0))</f>
        <v>0</v>
      </c>
      <c r="R59" s="1959" t="s">
        <v>1732</v>
      </c>
    </row>
    <row r="60" spans="1:18" s="1673" customFormat="1" ht="18" customHeight="1" thickBot="1">
      <c r="A60" s="1369" t="s">
        <v>1359</v>
      </c>
      <c r="B60" s="719" t="s">
        <v>1285</v>
      </c>
      <c r="C60" s="49" t="e">
        <f ca="1">IF(D60="按租金收入计税",ROUND(C48*F60/(1+'数据-取费表'!C42),2),IF(D60="按房产原值计税",ROUND(C56*F60*0.7,2),INDIRECT("'数据-取费表'!Aj"&amp;$G$1)))</f>
        <v>#N/A</v>
      </c>
      <c r="D60" s="907" t="str">
        <f>D33</f>
        <v>按租金收入计税</v>
      </c>
      <c r="E60" s="719" t="s">
        <v>1274</v>
      </c>
      <c r="F60" s="744">
        <f t="shared" si="0"/>
        <v>0.12</v>
      </c>
      <c r="I60" s="2386" t="s">
        <v>1713</v>
      </c>
      <c r="J60" s="2387" t="e">
        <f ca="1">IF(OR(M47="住宅",J51&lt;L48,J56="是"),"0",ROUND(J59/(1+J52)^J53,0))</f>
        <v>#N/A</v>
      </c>
      <c r="K60" s="2388" t="s">
        <v>1718</v>
      </c>
      <c r="L60" s="2387" t="e">
        <f ca="1">IF(OR(M47="住宅",L48&lt;J51),0,ROUND(L57*(L58/L59-1),0))</f>
        <v>#N/A</v>
      </c>
      <c r="M60" s="2764"/>
      <c r="O60" s="1961" t="s">
        <v>1736</v>
      </c>
      <c r="P60" s="1959" t="s">
        <v>1745</v>
      </c>
      <c r="Q60" s="1962">
        <f>L52</f>
        <v>0</v>
      </c>
      <c r="R60" s="1963"/>
    </row>
    <row r="61" spans="1:18" s="1673" customFormat="1" ht="18" customHeight="1" thickBot="1">
      <c r="A61" s="1372" t="s">
        <v>1360</v>
      </c>
      <c r="B61" s="315" t="s">
        <v>613</v>
      </c>
      <c r="C61" s="50" t="e">
        <f ca="1">ROUND(F61*F62/10000,2)</f>
        <v>#N/A</v>
      </c>
      <c r="D61" s="748" t="s">
        <v>614</v>
      </c>
      <c r="E61" s="719" t="s">
        <v>615</v>
      </c>
      <c r="F61" s="587">
        <f t="shared" si="0"/>
        <v>0</v>
      </c>
      <c r="K61" s="1697"/>
      <c r="O61" s="1961" t="s">
        <v>1738</v>
      </c>
      <c r="P61" s="1959" t="s">
        <v>1746</v>
      </c>
      <c r="Q61" s="1960" t="e">
        <f ca="1">L58</f>
        <v>#N/A</v>
      </c>
      <c r="R61" s="1963" t="s">
        <v>1747</v>
      </c>
    </row>
    <row r="62" spans="1:18" s="1673" customFormat="1" ht="15.75" thickBot="1">
      <c r="A62" s="749"/>
      <c r="B62" s="728"/>
      <c r="C62" s="65"/>
      <c r="D62" s="750"/>
      <c r="E62" s="719" t="s">
        <v>619</v>
      </c>
      <c r="F62" s="720" t="e">
        <f t="shared" ca="1" si="0"/>
        <v>#N/A</v>
      </c>
      <c r="I62" s="2389" t="s">
        <v>1719</v>
      </c>
      <c r="J62" s="2390" t="s">
        <v>1720</v>
      </c>
      <c r="K62" s="2390" t="s">
        <v>1721</v>
      </c>
      <c r="L62" s="2390" t="s">
        <v>1702</v>
      </c>
      <c r="M62" s="2391" t="s">
        <v>2202</v>
      </c>
      <c r="O62" s="1961" t="s">
        <v>1740</v>
      </c>
      <c r="P62" s="1959" t="str">
        <f>K59</f>
        <v>建筑物剩余耐用年限下的土地年期修正系数Kn</v>
      </c>
      <c r="Q62" s="1960" t="e">
        <f ca="1">L59</f>
        <v>#N/A</v>
      </c>
      <c r="R62" s="1963" t="s">
        <v>1749</v>
      </c>
    </row>
    <row r="63" spans="1:18" s="1673" customFormat="1" ht="15.75" thickBot="1">
      <c r="A63" s="1370" t="s">
        <v>1412</v>
      </c>
      <c r="B63" s="719" t="s">
        <v>621</v>
      </c>
      <c r="C63" s="49" t="e">
        <f ca="1">ROUND(C56*F63,2)</f>
        <v>#N/A</v>
      </c>
      <c r="D63" s="907" t="s">
        <v>1330</v>
      </c>
      <c r="E63" s="719" t="s">
        <v>1274</v>
      </c>
      <c r="F63" s="751" t="e">
        <f t="shared" ca="1" si="0"/>
        <v>#N/A</v>
      </c>
      <c r="I63" s="2389" t="s">
        <v>1722</v>
      </c>
      <c r="J63" s="2390">
        <v>70</v>
      </c>
      <c r="K63" s="2390">
        <v>50</v>
      </c>
      <c r="L63" s="2390">
        <v>80</v>
      </c>
      <c r="M63" s="2392">
        <v>0.02</v>
      </c>
      <c r="O63" s="1958" t="s">
        <v>1743</v>
      </c>
      <c r="P63" s="1959" t="s">
        <v>1760</v>
      </c>
      <c r="Q63" s="1960" t="e">
        <f ca="1">Q57+Q58</f>
        <v>#N/A</v>
      </c>
      <c r="R63" s="1963" t="s">
        <v>1744</v>
      </c>
    </row>
    <row r="64" spans="1:18" s="1673" customFormat="1" ht="16.5" thickBot="1">
      <c r="A64" s="1370" t="s">
        <v>1413</v>
      </c>
      <c r="B64" s="719" t="s">
        <v>624</v>
      </c>
      <c r="C64" s="49" t="e">
        <f ca="1">ROUND(C55*F64,2)</f>
        <v>#N/A</v>
      </c>
      <c r="D64" s="907" t="s">
        <v>625</v>
      </c>
      <c r="E64" s="719" t="s">
        <v>1274</v>
      </c>
      <c r="F64" s="752" t="e">
        <f t="shared" ca="1" si="0"/>
        <v>#N/A</v>
      </c>
      <c r="I64" s="2389" t="s">
        <v>1723</v>
      </c>
      <c r="J64" s="2390">
        <v>50</v>
      </c>
      <c r="K64" s="2390">
        <v>35</v>
      </c>
      <c r="L64" s="2390">
        <v>60</v>
      </c>
      <c r="M64" s="780">
        <v>0</v>
      </c>
      <c r="O64" s="1964" t="s">
        <v>1767</v>
      </c>
      <c r="P64" s="1145"/>
      <c r="Q64" s="1331"/>
      <c r="R64" s="1145"/>
    </row>
    <row r="65" spans="1:18" s="1673" customFormat="1" ht="15.75" thickBot="1">
      <c r="A65" s="1370" t="s">
        <v>1414</v>
      </c>
      <c r="B65" s="719" t="s">
        <v>611</v>
      </c>
      <c r="C65" s="49" t="e">
        <f ca="1">ROUND(C47*F65,2)</f>
        <v>#N/A</v>
      </c>
      <c r="D65" s="907" t="s">
        <v>628</v>
      </c>
      <c r="E65" s="719" t="s">
        <v>1274</v>
      </c>
      <c r="F65" s="729" t="e">
        <f t="shared" ca="1" si="0"/>
        <v>#N/A</v>
      </c>
      <c r="I65" s="2389" t="s">
        <v>1724</v>
      </c>
      <c r="J65" s="2390">
        <v>40</v>
      </c>
      <c r="K65" s="2390">
        <v>30</v>
      </c>
      <c r="L65" s="2390">
        <v>50</v>
      </c>
      <c r="M65" s="2392">
        <v>0.02</v>
      </c>
      <c r="O65" s="1955" t="s">
        <v>1727</v>
      </c>
      <c r="P65" s="1956" t="s">
        <v>1728</v>
      </c>
      <c r="Q65" s="1957" t="s">
        <v>1729</v>
      </c>
      <c r="R65" s="1956" t="s">
        <v>1730</v>
      </c>
    </row>
    <row r="66" spans="1:18" s="1673" customFormat="1" ht="24.75" thickBot="1">
      <c r="A66" s="732" t="s">
        <v>1303</v>
      </c>
      <c r="B66" s="2299" t="s">
        <v>2097</v>
      </c>
      <c r="C66" s="734" t="e">
        <f ca="1">C47-C57</f>
        <v>#N/A</v>
      </c>
      <c r="D66" s="906" t="s">
        <v>645</v>
      </c>
      <c r="E66" s="904"/>
      <c r="F66" s="754"/>
      <c r="K66" s="1697"/>
      <c r="O66" s="1958" t="s">
        <v>1731</v>
      </c>
      <c r="P66" s="1959" t="s">
        <v>1761</v>
      </c>
      <c r="Q66" s="1960" t="e">
        <f ca="1">C40+J29</f>
        <v>#N/A</v>
      </c>
      <c r="R66" s="1959" t="s">
        <v>1732</v>
      </c>
    </row>
    <row r="67" spans="1:18" s="1673" customFormat="1" ht="20.25" thickBot="1">
      <c r="A67" s="716" t="s">
        <v>1307</v>
      </c>
      <c r="B67" s="1827" t="s">
        <v>1656</v>
      </c>
      <c r="C67" s="718" t="e">
        <f ca="1">ROUND(C66*(1-((1+F69)/(1+F67))^F68)/(F67-F69),0)</f>
        <v>#N/A</v>
      </c>
      <c r="D67" s="748" t="s">
        <v>649</v>
      </c>
      <c r="E67" s="719" t="s">
        <v>650</v>
      </c>
      <c r="F67" s="729" t="e">
        <f ca="1">F40</f>
        <v>#N/A</v>
      </c>
      <c r="K67" s="1697"/>
      <c r="O67" s="1958" t="s">
        <v>1733</v>
      </c>
      <c r="P67" s="1959" t="s">
        <v>1764</v>
      </c>
      <c r="Q67" s="1960" t="e">
        <f ca="1">L60</f>
        <v>#N/A</v>
      </c>
      <c r="R67" s="1963" t="s">
        <v>1766</v>
      </c>
    </row>
    <row r="68" spans="1:18" ht="21.75" thickBot="1">
      <c r="A68" s="721"/>
      <c r="B68" s="722"/>
      <c r="C68" s="723"/>
      <c r="D68" s="755" t="s">
        <v>1335</v>
      </c>
      <c r="E68" s="719" t="s">
        <v>1311</v>
      </c>
      <c r="F68" s="756" t="e">
        <f ca="1">F41</f>
        <v>#N/A</v>
      </c>
      <c r="O68" s="1961" t="s">
        <v>1735</v>
      </c>
      <c r="P68" s="1959" t="s">
        <v>1765</v>
      </c>
      <c r="Q68" s="1965" t="e">
        <f ca="1">L51</f>
        <v>#N/A</v>
      </c>
      <c r="R68" s="1966" t="s">
        <v>1768</v>
      </c>
    </row>
    <row r="69" spans="1:18" ht="20.25" thickBot="1">
      <c r="A69" s="725"/>
      <c r="B69" s="726"/>
      <c r="C69" s="727"/>
      <c r="D69" s="750"/>
      <c r="E69" s="719" t="s">
        <v>655</v>
      </c>
      <c r="F69" s="1935"/>
      <c r="O69" s="1961" t="s">
        <v>1736</v>
      </c>
      <c r="P69" s="1967" t="s">
        <v>1750</v>
      </c>
      <c r="Q69" s="1960" t="e">
        <f ca="1">ROUND(Q70-Q71*Q72,0)</f>
        <v>#N/A</v>
      </c>
      <c r="R69" s="1963"/>
    </row>
    <row r="70" spans="1:18" ht="15.75" thickBot="1">
      <c r="A70" s="757" t="s">
        <v>1314</v>
      </c>
      <c r="B70" s="758" t="s">
        <v>1337</v>
      </c>
      <c r="C70" s="759" t="e">
        <f ca="1">ROUND(C67*10000/F70,0)</f>
        <v>#N/A</v>
      </c>
      <c r="D70" s="760" t="s">
        <v>1338</v>
      </c>
      <c r="E70" s="761" t="s">
        <v>1339</v>
      </c>
      <c r="F70" s="762" t="e">
        <f ca="1">F43</f>
        <v>#N/A</v>
      </c>
      <c r="O70" s="1961" t="s">
        <v>1751</v>
      </c>
      <c r="P70" s="1967" t="s">
        <v>1752</v>
      </c>
      <c r="Q70" s="1960" t="e">
        <f ca="1">C39</f>
        <v>#N/A</v>
      </c>
      <c r="R70" s="1959" t="s">
        <v>1732</v>
      </c>
    </row>
    <row r="71" spans="1:18" ht="15.75" thickBot="1">
      <c r="O71" s="1961" t="s">
        <v>1753</v>
      </c>
      <c r="P71" s="1967" t="s">
        <v>1754</v>
      </c>
      <c r="Q71" s="1960" t="e">
        <f ca="1">C13</f>
        <v>#N/A</v>
      </c>
      <c r="R71" s="1959" t="s">
        <v>1732</v>
      </c>
    </row>
    <row r="72" spans="1:18" ht="15.75" thickBot="1">
      <c r="O72" s="1961" t="s">
        <v>1755</v>
      </c>
      <c r="P72" s="1967" t="s">
        <v>1756</v>
      </c>
      <c r="Q72" s="1962" t="e">
        <f ca="1">J36</f>
        <v>#N/A</v>
      </c>
      <c r="R72" s="1963"/>
    </row>
    <row r="73" spans="1:18" ht="15.75" thickBot="1">
      <c r="O73" s="1961" t="s">
        <v>1738</v>
      </c>
      <c r="P73" s="1959" t="s">
        <v>1745</v>
      </c>
      <c r="Q73" s="1962">
        <f>L52</f>
        <v>0</v>
      </c>
      <c r="R73" s="1963"/>
    </row>
    <row r="74" spans="1:18" ht="20.25" thickBot="1">
      <c r="O74" s="1961" t="s">
        <v>1740</v>
      </c>
      <c r="P74" s="1959" t="s">
        <v>1746</v>
      </c>
      <c r="Q74" s="1960" t="e">
        <f ca="1">L58</f>
        <v>#N/A</v>
      </c>
      <c r="R74" s="1963" t="s">
        <v>1747</v>
      </c>
    </row>
    <row r="75" spans="1:18" ht="15.75" thickBot="1">
      <c r="O75" s="1961" t="s">
        <v>1769</v>
      </c>
      <c r="P75" s="1959" t="str">
        <f>K59</f>
        <v>建筑物剩余耐用年限下的土地年期修正系数Kn</v>
      </c>
      <c r="Q75" s="1960" t="e">
        <f ca="1">L59</f>
        <v>#N/A</v>
      </c>
      <c r="R75" s="1963" t="s">
        <v>1749</v>
      </c>
    </row>
    <row r="76" spans="1:18" ht="15.75" thickBot="1">
      <c r="O76" s="1958" t="s">
        <v>1743</v>
      </c>
      <c r="P76" s="1959" t="s">
        <v>1760</v>
      </c>
      <c r="Q76" s="1960" t="e">
        <f ca="1">Q66+Q67</f>
        <v>#N/A</v>
      </c>
      <c r="R76" s="1963" t="s">
        <v>1744</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R78" sqref="R78"/>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2437</v>
      </c>
      <c r="B1" s="2817"/>
      <c r="C1" s="2830"/>
      <c r="D1" s="2830"/>
      <c r="E1" s="2818"/>
      <c r="F1" s="2819"/>
      <c r="G1" s="2820"/>
      <c r="J1" s="2823" t="s">
        <v>2294</v>
      </c>
      <c r="K1" s="2824"/>
      <c r="L1" s="2824"/>
      <c r="M1" s="2824"/>
      <c r="N1" s="2824"/>
      <c r="O1" s="2824"/>
      <c r="P1" s="2824"/>
      <c r="Q1" s="2824"/>
      <c r="R1" s="2825"/>
      <c r="S1" s="2826"/>
      <c r="T1" s="2826"/>
      <c r="U1" s="2826"/>
    </row>
    <row r="2" spans="1:22" s="2839" customFormat="1" ht="13.15" customHeight="1">
      <c r="A2" s="2828" t="s">
        <v>2295</v>
      </c>
      <c r="B2" s="2829" t="e">
        <f>C40</f>
        <v>#DIV/0!</v>
      </c>
      <c r="C2" s="2830" t="s">
        <v>2296</v>
      </c>
      <c r="D2" s="2830"/>
      <c r="E2" s="2831"/>
      <c r="F2" s="2832"/>
      <c r="G2" s="2833"/>
      <c r="H2" s="2834"/>
      <c r="I2" s="2835"/>
      <c r="J2" s="3834" t="s">
        <v>2297</v>
      </c>
      <c r="K2" s="3835"/>
      <c r="L2" s="2836" t="s">
        <v>2298</v>
      </c>
      <c r="M2" s="2836" t="s">
        <v>2299</v>
      </c>
      <c r="N2" s="2836" t="s">
        <v>2300</v>
      </c>
      <c r="O2" s="2836" t="s">
        <v>2301</v>
      </c>
      <c r="P2" s="2836" t="s">
        <v>2302</v>
      </c>
      <c r="Q2" s="2837" t="s">
        <v>2303</v>
      </c>
      <c r="R2" s="2838" t="s">
        <v>2304</v>
      </c>
      <c r="S2" s="2826"/>
      <c r="T2" s="2826"/>
      <c r="U2" s="2826"/>
      <c r="V2" s="2835"/>
    </row>
    <row r="3" spans="1:22" s="2839" customFormat="1" ht="13.15" customHeight="1">
      <c r="A3" s="2840" t="s">
        <v>2305</v>
      </c>
      <c r="B3" s="2841" t="e">
        <f>ROUND(B2*10000/B4,0)</f>
        <v>#DIV/0!</v>
      </c>
      <c r="C3" s="2830" t="s">
        <v>2306</v>
      </c>
      <c r="D3" s="2830"/>
      <c r="E3" s="2831"/>
      <c r="F3" s="2832"/>
      <c r="G3" s="2833"/>
      <c r="H3" s="2834"/>
      <c r="I3" s="2835"/>
      <c r="J3" s="3836" t="s">
        <v>2307</v>
      </c>
      <c r="K3" s="3837"/>
      <c r="L3" s="2842"/>
      <c r="M3" s="2842"/>
      <c r="N3" s="2842"/>
      <c r="O3" s="2842"/>
      <c r="P3" s="2842"/>
      <c r="Q3" s="2843"/>
      <c r="R3" s="2844">
        <f>SUM(L3:Q3)</f>
        <v>0</v>
      </c>
      <c r="S3" s="2826"/>
      <c r="T3" s="2826"/>
      <c r="U3" s="2826"/>
      <c r="V3" s="2835"/>
    </row>
    <row r="4" spans="1:22" s="2839" customFormat="1" ht="13.15" customHeight="1">
      <c r="A4" s="2845" t="s">
        <v>2308</v>
      </c>
      <c r="B4" s="2846"/>
      <c r="C4" s="2830"/>
      <c r="D4" s="2830"/>
      <c r="E4" s="2831"/>
      <c r="F4" s="2832"/>
      <c r="G4" s="2833"/>
      <c r="H4" s="2834"/>
      <c r="I4" s="2835"/>
      <c r="J4" s="3836" t="s">
        <v>2309</v>
      </c>
      <c r="K4" s="3837"/>
      <c r="L4" s="2847"/>
      <c r="M4" s="2847"/>
      <c r="N4" s="2847"/>
      <c r="O4" s="2847"/>
      <c r="P4" s="2847"/>
      <c r="Q4" s="2848"/>
      <c r="R4" s="2849">
        <f>SUM(L4:Q4)</f>
        <v>0</v>
      </c>
      <c r="S4" s="2826"/>
      <c r="T4" s="2826"/>
      <c r="U4" s="2826"/>
      <c r="V4" s="2835"/>
    </row>
    <row r="5" spans="1:22" s="2839" customFormat="1" ht="13.15" customHeight="1" thickBot="1">
      <c r="A5" s="2850" t="s">
        <v>2310</v>
      </c>
      <c r="B5" s="2851"/>
      <c r="C5" s="2830"/>
      <c r="D5" s="2852"/>
      <c r="E5" s="2832"/>
      <c r="F5" s="2832"/>
      <c r="G5" s="2833"/>
      <c r="H5" s="2834"/>
      <c r="I5" s="2835"/>
      <c r="J5" s="2853" t="s">
        <v>2311</v>
      </c>
      <c r="K5" s="2854"/>
      <c r="L5" s="2854"/>
      <c r="M5" s="2855"/>
      <c r="N5" s="2855"/>
      <c r="O5" s="2855"/>
      <c r="P5" s="2855"/>
      <c r="Q5" s="2855"/>
      <c r="R5" s="2838">
        <f>SUM(R14,R19,R24,R25,R27,R28)</f>
        <v>0</v>
      </c>
      <c r="S5" s="2826"/>
      <c r="T5" s="2826" t="s">
        <v>2312</v>
      </c>
      <c r="U5" s="2826" t="e">
        <f>ROUND(R5*10000/365/R3,1)</f>
        <v>#DIV/0!</v>
      </c>
      <c r="V5" s="2835"/>
    </row>
    <row r="6" spans="1:22" s="2839" customFormat="1" ht="13.15" customHeight="1" thickBot="1">
      <c r="A6" s="3842" t="s">
        <v>2313</v>
      </c>
      <c r="B6" s="3843"/>
      <c r="C6" s="3844"/>
      <c r="D6" s="2856"/>
      <c r="E6" s="2857"/>
      <c r="F6" s="2858"/>
      <c r="G6" s="2859"/>
      <c r="H6" s="2834"/>
      <c r="I6" s="2835"/>
      <c r="J6" s="3828">
        <v>1</v>
      </c>
      <c r="K6" s="3829" t="s">
        <v>2314</v>
      </c>
      <c r="L6" s="2860" t="s">
        <v>2315</v>
      </c>
      <c r="M6" s="2861" t="s">
        <v>2316</v>
      </c>
      <c r="N6" s="2861" t="s">
        <v>2317</v>
      </c>
      <c r="O6" s="2861" t="s">
        <v>2318</v>
      </c>
      <c r="P6" s="2861" t="s">
        <v>2319</v>
      </c>
      <c r="Q6" s="2861" t="s">
        <v>2320</v>
      </c>
      <c r="R6" s="2844" t="s">
        <v>2321</v>
      </c>
      <c r="S6" s="2826"/>
      <c r="T6" s="2826" t="s">
        <v>2322</v>
      </c>
      <c r="U6" s="2826"/>
      <c r="V6" s="2835"/>
    </row>
    <row r="7" spans="1:22" s="2839" customFormat="1" ht="13.15" customHeight="1">
      <c r="A7" s="2862" t="s">
        <v>2323</v>
      </c>
      <c r="B7" s="2863"/>
      <c r="C7" s="2864"/>
      <c r="D7" s="2865">
        <f>SUM(D9,D10,D11,D17,0)</f>
        <v>0</v>
      </c>
      <c r="E7" s="2866" t="e">
        <f>E9+E10+E11+E17</f>
        <v>#DIV/0!</v>
      </c>
      <c r="F7" s="2867"/>
      <c r="G7" s="2868"/>
      <c r="H7" s="2834"/>
      <c r="I7" s="2835"/>
      <c r="J7" s="3828"/>
      <c r="K7" s="3830"/>
      <c r="L7" s="2869" t="s">
        <v>2324</v>
      </c>
      <c r="M7" s="2870"/>
      <c r="N7" s="2846"/>
      <c r="O7" s="2871"/>
      <c r="P7" s="2871"/>
      <c r="Q7" s="2872">
        <v>365</v>
      </c>
      <c r="R7" s="2873">
        <f>ROUND(M7*N7*O7*P7*Q7/10000,0)</f>
        <v>0</v>
      </c>
      <c r="S7" s="2826"/>
      <c r="T7" s="2826" t="s">
        <v>2325</v>
      </c>
      <c r="U7" s="2826"/>
      <c r="V7" s="2835"/>
    </row>
    <row r="8" spans="1:22" s="2839" customFormat="1" ht="13.15" customHeight="1">
      <c r="A8" s="2874" t="s">
        <v>2326</v>
      </c>
      <c r="B8" s="3845" t="s">
        <v>2327</v>
      </c>
      <c r="C8" s="3846"/>
      <c r="D8" s="2875" t="s">
        <v>2328</v>
      </c>
      <c r="E8" s="2876" t="s">
        <v>2329</v>
      </c>
      <c r="F8" s="2877" t="s">
        <v>2330</v>
      </c>
      <c r="G8" s="2878"/>
      <c r="H8" s="2834"/>
      <c r="I8" s="2835"/>
      <c r="J8" s="3828"/>
      <c r="K8" s="3830"/>
      <c r="L8" s="2869" t="s">
        <v>2331</v>
      </c>
      <c r="M8" s="2870"/>
      <c r="N8" s="2846"/>
      <c r="O8" s="2871"/>
      <c r="P8" s="2871"/>
      <c r="Q8" s="2872">
        <v>365</v>
      </c>
      <c r="R8" s="2873">
        <f t="shared" ref="R8:R13" si="0">ROUND(M8*N8*O8*P8*Q8/10000,0)</f>
        <v>0</v>
      </c>
      <c r="S8" s="2826"/>
      <c r="T8" s="2826" t="s">
        <v>2332</v>
      </c>
      <c r="U8" s="2826"/>
      <c r="V8" s="2835"/>
    </row>
    <row r="9" spans="1:22" s="2839" customFormat="1" ht="13.15" customHeight="1">
      <c r="A9" s="2874">
        <v>1</v>
      </c>
      <c r="B9" s="3845" t="s">
        <v>2333</v>
      </c>
      <c r="C9" s="3846"/>
      <c r="D9" s="2875">
        <f>ROUND(D6*E9,0)</f>
        <v>0</v>
      </c>
      <c r="E9" s="2879"/>
      <c r="F9" s="2880" t="s">
        <v>2334</v>
      </c>
      <c r="G9" s="2859"/>
      <c r="H9" s="2834"/>
      <c r="I9" s="2835"/>
      <c r="J9" s="3828"/>
      <c r="K9" s="3830"/>
      <c r="L9" s="2869" t="s">
        <v>2335</v>
      </c>
      <c r="M9" s="2870"/>
      <c r="N9" s="2846"/>
      <c r="O9" s="2871"/>
      <c r="P9" s="2871"/>
      <c r="Q9" s="2872">
        <v>365</v>
      </c>
      <c r="R9" s="2873">
        <f t="shared" si="0"/>
        <v>0</v>
      </c>
      <c r="S9" s="2826"/>
      <c r="T9" s="2826"/>
      <c r="U9" s="2826"/>
      <c r="V9" s="2835"/>
    </row>
    <row r="10" spans="1:22" s="2839" customFormat="1" ht="13.15" customHeight="1">
      <c r="A10" s="2874">
        <v>2</v>
      </c>
      <c r="B10" s="3845" t="s">
        <v>2336</v>
      </c>
      <c r="C10" s="3846"/>
      <c r="D10" s="2875">
        <f>ROUND(D6*E10,0)</f>
        <v>0</v>
      </c>
      <c r="E10" s="2879"/>
      <c r="F10" s="2880" t="s">
        <v>2337</v>
      </c>
      <c r="G10" s="2859"/>
      <c r="H10" s="2834"/>
      <c r="I10" s="2835"/>
      <c r="J10" s="3828"/>
      <c r="K10" s="3830"/>
      <c r="L10" s="2869" t="s">
        <v>2338</v>
      </c>
      <c r="M10" s="2870"/>
      <c r="N10" s="2846"/>
      <c r="O10" s="2871"/>
      <c r="P10" s="2871"/>
      <c r="Q10" s="2872">
        <v>365</v>
      </c>
      <c r="R10" s="2873">
        <f t="shared" si="0"/>
        <v>0</v>
      </c>
      <c r="S10" s="2826"/>
      <c r="T10" s="2826"/>
      <c r="U10" s="2826"/>
      <c r="V10" s="2835"/>
    </row>
    <row r="11" spans="1:22" s="2839" customFormat="1" ht="13.15" customHeight="1">
      <c r="A11" s="2874">
        <v>3</v>
      </c>
      <c r="B11" s="3845" t="s">
        <v>2339</v>
      </c>
      <c r="C11" s="3846"/>
      <c r="D11" s="2875">
        <f>D12+D14+D15+D16</f>
        <v>0</v>
      </c>
      <c r="E11" s="2881" t="e">
        <f>D11/D6</f>
        <v>#DIV/0!</v>
      </c>
      <c r="F11" s="2877"/>
      <c r="G11" s="2878"/>
      <c r="H11" s="2834"/>
      <c r="I11" s="2835"/>
      <c r="J11" s="3828"/>
      <c r="K11" s="3830"/>
      <c r="L11" s="2869" t="s">
        <v>2340</v>
      </c>
      <c r="M11" s="2870"/>
      <c r="N11" s="2846"/>
      <c r="O11" s="2871"/>
      <c r="P11" s="2871"/>
      <c r="Q11" s="2872">
        <v>365</v>
      </c>
      <c r="R11" s="2873">
        <f t="shared" si="0"/>
        <v>0</v>
      </c>
      <c r="S11" s="2826"/>
      <c r="T11" s="2826"/>
      <c r="U11" s="2826"/>
      <c r="V11" s="2835"/>
    </row>
    <row r="12" spans="1:22" s="2839" customFormat="1" ht="13.15" customHeight="1">
      <c r="A12" s="2882" t="s">
        <v>2341</v>
      </c>
      <c r="B12" s="3838" t="s">
        <v>2342</v>
      </c>
      <c r="C12" s="3839"/>
      <c r="D12" s="2883">
        <f>ROUND(D13*1.2%*(1-30%),0)</f>
        <v>0</v>
      </c>
      <c r="E12" s="2884">
        <v>1.2E-2</v>
      </c>
      <c r="F12" s="2877" t="s">
        <v>2343</v>
      </c>
      <c r="G12" s="2878"/>
      <c r="H12" s="2834"/>
      <c r="I12" s="2835"/>
      <c r="J12" s="3828"/>
      <c r="K12" s="3830"/>
      <c r="L12" s="2869" t="s">
        <v>2344</v>
      </c>
      <c r="M12" s="2870"/>
      <c r="N12" s="2846"/>
      <c r="O12" s="2871"/>
      <c r="P12" s="2871"/>
      <c r="Q12" s="2872">
        <v>365</v>
      </c>
      <c r="R12" s="2873">
        <f t="shared" si="0"/>
        <v>0</v>
      </c>
      <c r="S12" s="2826"/>
      <c r="T12" s="2826"/>
      <c r="U12" s="2826"/>
      <c r="V12" s="2835"/>
    </row>
    <row r="13" spans="1:22" s="2839" customFormat="1" ht="13.15" customHeight="1">
      <c r="A13" s="2882"/>
      <c r="B13" s="2885"/>
      <c r="C13" s="2886" t="s">
        <v>2345</v>
      </c>
      <c r="D13" s="2887"/>
      <c r="E13" s="2888"/>
      <c r="F13" s="2877"/>
      <c r="G13" s="2878"/>
      <c r="H13" s="2834"/>
      <c r="I13" s="2835"/>
      <c r="J13" s="3828"/>
      <c r="K13" s="3830"/>
      <c r="L13" s="2869" t="s">
        <v>2346</v>
      </c>
      <c r="M13" s="2870"/>
      <c r="N13" s="2846"/>
      <c r="O13" s="2871"/>
      <c r="P13" s="2871"/>
      <c r="Q13" s="2872">
        <v>365</v>
      </c>
      <c r="R13" s="2873">
        <f t="shared" si="0"/>
        <v>0</v>
      </c>
      <c r="S13" s="2826"/>
      <c r="T13" s="2826"/>
      <c r="U13" s="2826"/>
      <c r="V13" s="2835"/>
    </row>
    <row r="14" spans="1:22" s="2839" customFormat="1" ht="13.15" customHeight="1">
      <c r="A14" s="2882" t="s">
        <v>2347</v>
      </c>
      <c r="B14" s="3838" t="s">
        <v>2348</v>
      </c>
      <c r="C14" s="3839"/>
      <c r="D14" s="2883">
        <f>ROUND(E14*B5/10000,0)</f>
        <v>0</v>
      </c>
      <c r="E14" s="2872"/>
      <c r="F14" s="2877" t="s">
        <v>2349</v>
      </c>
      <c r="G14" s="2878"/>
      <c r="H14" s="2834"/>
      <c r="I14" s="2835"/>
      <c r="J14" s="3828"/>
      <c r="K14" s="3831"/>
      <c r="L14" s="2889" t="s">
        <v>2350</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2351</v>
      </c>
      <c r="B15" s="3838" t="s">
        <v>2352</v>
      </c>
      <c r="C15" s="3839"/>
      <c r="D15" s="2883">
        <f>ROUND(D6*E15,0)</f>
        <v>0</v>
      </c>
      <c r="E15" s="2884">
        <v>5.5E-2</v>
      </c>
      <c r="F15" s="2877" t="s">
        <v>2353</v>
      </c>
      <c r="G15" s="2859"/>
      <c r="H15" s="2834"/>
      <c r="I15" s="2835"/>
      <c r="J15" s="3828">
        <v>2</v>
      </c>
      <c r="K15" s="3829" t="s">
        <v>2354</v>
      </c>
      <c r="L15" s="2869" t="s">
        <v>2355</v>
      </c>
      <c r="M15" s="2870" t="s">
        <v>2356</v>
      </c>
      <c r="N15" s="2870" t="s">
        <v>2357</v>
      </c>
      <c r="O15" s="2871" t="s">
        <v>2358</v>
      </c>
      <c r="P15" s="2871" t="s">
        <v>2359</v>
      </c>
      <c r="Q15" s="2846" t="s">
        <v>2360</v>
      </c>
      <c r="R15" s="2893" t="s">
        <v>2361</v>
      </c>
      <c r="S15" s="2826"/>
      <c r="T15" s="2826"/>
      <c r="U15" s="2826"/>
      <c r="V15" s="2835"/>
    </row>
    <row r="16" spans="1:22" s="2839" customFormat="1" ht="13.15" customHeight="1">
      <c r="A16" s="2882" t="s">
        <v>2362</v>
      </c>
      <c r="B16" s="3838" t="s">
        <v>2363</v>
      </c>
      <c r="C16" s="3839"/>
      <c r="D16" s="2894">
        <f>D6*E16</f>
        <v>0</v>
      </c>
      <c r="E16" s="2895"/>
      <c r="F16" s="2880" t="s">
        <v>2364</v>
      </c>
      <c r="G16" s="2859"/>
      <c r="H16" s="2834"/>
      <c r="I16" s="2835"/>
      <c r="J16" s="3828"/>
      <c r="K16" s="3830"/>
      <c r="L16" s="2869" t="s">
        <v>2365</v>
      </c>
      <c r="M16" s="2870"/>
      <c r="N16" s="2870"/>
      <c r="O16" s="2871"/>
      <c r="P16" s="2872">
        <v>365</v>
      </c>
      <c r="Q16" s="2846"/>
      <c r="R16" s="2893">
        <f>ROUND(M16*N16*O16*P16/10000,0)</f>
        <v>0</v>
      </c>
      <c r="S16" s="2826"/>
      <c r="T16" s="2826"/>
      <c r="U16" s="2826"/>
      <c r="V16" s="2835"/>
    </row>
    <row r="17" spans="1:22" s="2839" customFormat="1" ht="13.15" customHeight="1" thickBot="1">
      <c r="A17" s="2896">
        <v>4</v>
      </c>
      <c r="B17" s="3840" t="s">
        <v>2366</v>
      </c>
      <c r="C17" s="3841"/>
      <c r="D17" s="2897">
        <f>ROUND(D6*E17,0)</f>
        <v>0</v>
      </c>
      <c r="E17" s="2898"/>
      <c r="F17" s="2899" t="s">
        <v>2367</v>
      </c>
      <c r="G17" s="2859"/>
      <c r="H17" s="2834"/>
      <c r="I17" s="2835"/>
      <c r="J17" s="3828"/>
      <c r="K17" s="3830"/>
      <c r="L17" s="2869" t="s">
        <v>2368</v>
      </c>
      <c r="M17" s="2870"/>
      <c r="N17" s="2870"/>
      <c r="O17" s="2871"/>
      <c r="P17" s="2872">
        <v>365</v>
      </c>
      <c r="Q17" s="2846"/>
      <c r="R17" s="2893">
        <f>ROUND(M17*N17*O17*P17/10000,0)</f>
        <v>0</v>
      </c>
      <c r="S17" s="2826"/>
      <c r="T17" s="2826"/>
      <c r="U17" s="2826"/>
      <c r="V17" s="2835"/>
    </row>
    <row r="18" spans="1:22" s="2839" customFormat="1" ht="13.15" customHeight="1" thickBot="1">
      <c r="A18" s="2862" t="s">
        <v>2369</v>
      </c>
      <c r="B18" s="2863"/>
      <c r="C18" s="2863"/>
      <c r="D18" s="2900">
        <f>ROUND(D6*E18,0)</f>
        <v>0</v>
      </c>
      <c r="E18" s="2901"/>
      <c r="F18" s="2902" t="s">
        <v>2370</v>
      </c>
      <c r="G18" s="2859"/>
      <c r="H18" s="2834"/>
      <c r="I18" s="2835"/>
      <c r="J18" s="3828"/>
      <c r="K18" s="3830"/>
      <c r="L18" s="2869" t="s">
        <v>2371</v>
      </c>
      <c r="M18" s="2870"/>
      <c r="N18" s="2870"/>
      <c r="O18" s="2871"/>
      <c r="P18" s="2872">
        <v>365</v>
      </c>
      <c r="Q18" s="2846"/>
      <c r="R18" s="2893">
        <f>ROUND(M18*N18*O18*P18/10000,0)</f>
        <v>0</v>
      </c>
      <c r="S18" s="2826"/>
      <c r="T18" s="2826"/>
      <c r="U18" s="2826"/>
      <c r="V18" s="2835"/>
    </row>
    <row r="19" spans="1:22" s="2839" customFormat="1" ht="13.15" customHeight="1" thickBot="1">
      <c r="A19" s="2903" t="s">
        <v>2372</v>
      </c>
      <c r="B19" s="2857"/>
      <c r="C19" s="2857"/>
      <c r="D19" s="2857"/>
      <c r="E19" s="2857"/>
      <c r="F19" s="2858"/>
      <c r="G19" s="2878"/>
      <c r="H19" s="2834"/>
      <c r="I19" s="2835"/>
      <c r="J19" s="3828"/>
      <c r="K19" s="3831"/>
      <c r="L19" s="2889" t="s">
        <v>2350</v>
      </c>
      <c r="M19" s="2890"/>
      <c r="N19" s="2890">
        <f>SUM(N16:N18)</f>
        <v>0</v>
      </c>
      <c r="O19" s="2891"/>
      <c r="P19" s="2904" t="s">
        <v>2438</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828">
        <v>3</v>
      </c>
      <c r="K20" s="3829" t="s">
        <v>2373</v>
      </c>
      <c r="L20" s="2869" t="s">
        <v>2374</v>
      </c>
      <c r="M20" s="2870" t="s">
        <v>2375</v>
      </c>
      <c r="N20" s="2907" t="s">
        <v>2376</v>
      </c>
      <c r="O20" s="2871" t="s">
        <v>2377</v>
      </c>
      <c r="P20" s="2872" t="s">
        <v>2378</v>
      </c>
      <c r="Q20" s="2846" t="s">
        <v>2379</v>
      </c>
      <c r="R20" s="2893" t="s">
        <v>2321</v>
      </c>
      <c r="S20" s="2826"/>
      <c r="T20" s="2826"/>
      <c r="U20" s="2826"/>
      <c r="V20" s="2835"/>
    </row>
    <row r="21" spans="1:22" s="2839" customFormat="1" ht="13.15" customHeight="1">
      <c r="A21" s="2862"/>
      <c r="B21" s="2863"/>
      <c r="C21" s="2908" t="s">
        <v>2380</v>
      </c>
      <c r="D21" s="2909" t="s">
        <v>2381</v>
      </c>
      <c r="E21" s="2910" t="s">
        <v>2382</v>
      </c>
      <c r="F21" s="2906"/>
      <c r="G21" s="2878"/>
      <c r="H21" s="2834"/>
      <c r="I21" s="2835"/>
      <c r="J21" s="3828"/>
      <c r="K21" s="3830"/>
      <c r="L21" s="2869" t="s">
        <v>2383</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2384</v>
      </c>
      <c r="D22" s="2913" t="s">
        <v>2385</v>
      </c>
      <c r="E22" s="2914" t="s">
        <v>2386</v>
      </c>
      <c r="F22" s="2906"/>
      <c r="G22" s="2826"/>
      <c r="H22" s="2834"/>
      <c r="I22" s="2835"/>
      <c r="J22" s="3828"/>
      <c r="K22" s="3830"/>
      <c r="L22" s="2869" t="s">
        <v>2387</v>
      </c>
      <c r="M22" s="2870"/>
      <c r="N22" s="2870"/>
      <c r="O22" s="2871"/>
      <c r="P22" s="2872">
        <v>365</v>
      </c>
      <c r="Q22" s="2846"/>
      <c r="R22" s="2911">
        <f>ROUND(M22*N22*O22*P22/10000,0)</f>
        <v>0</v>
      </c>
      <c r="S22" s="2826"/>
      <c r="T22" s="2826"/>
      <c r="U22" s="2826"/>
      <c r="V22" s="2835"/>
    </row>
    <row r="23" spans="1:22" s="2839" customFormat="1" ht="13.15" customHeight="1">
      <c r="A23" s="2915">
        <v>1</v>
      </c>
      <c r="B23" s="2916" t="s">
        <v>2388</v>
      </c>
      <c r="C23" s="2917">
        <f>D6</f>
        <v>0</v>
      </c>
      <c r="D23" s="2918">
        <f>C23*(1+D24)</f>
        <v>0</v>
      </c>
      <c r="E23" s="2919">
        <f>D23*(1+E24)</f>
        <v>0</v>
      </c>
      <c r="F23" s="2920"/>
      <c r="G23" s="2921"/>
      <c r="H23" s="2834"/>
      <c r="I23" s="2835"/>
      <c r="J23" s="3828"/>
      <c r="K23" s="3830"/>
      <c r="L23" s="2869" t="s">
        <v>2389</v>
      </c>
      <c r="M23" s="2870"/>
      <c r="N23" s="2870"/>
      <c r="O23" s="2871"/>
      <c r="P23" s="2872">
        <v>365</v>
      </c>
      <c r="Q23" s="2846"/>
      <c r="R23" s="2911">
        <f>ROUND(M23*N23*O23*P23/10000,0)</f>
        <v>0</v>
      </c>
      <c r="S23" s="2826"/>
      <c r="T23" s="2826"/>
      <c r="U23" s="2826"/>
      <c r="V23" s="2835"/>
    </row>
    <row r="24" spans="1:22" s="2839" customFormat="1" ht="13.15" customHeight="1">
      <c r="A24" s="2922"/>
      <c r="B24" s="2923" t="s">
        <v>2390</v>
      </c>
      <c r="C24" s="2924"/>
      <c r="D24" s="2925"/>
      <c r="E24" s="2926"/>
      <c r="F24" s="2927"/>
      <c r="G24" s="2921"/>
      <c r="H24" s="2834"/>
      <c r="I24" s="2835"/>
      <c r="J24" s="3828"/>
      <c r="K24" s="3831"/>
      <c r="L24" s="2889" t="s">
        <v>2350</v>
      </c>
      <c r="M24" s="2890">
        <f>SUM(M21:M23)</f>
        <v>0</v>
      </c>
      <c r="N24" s="2890"/>
      <c r="O24" s="2891"/>
      <c r="P24" s="2904" t="s">
        <v>2438</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2391</v>
      </c>
      <c r="L25" s="2930"/>
      <c r="M25" s="2930"/>
      <c r="N25" s="2930"/>
      <c r="O25" s="2930"/>
      <c r="P25" s="2931"/>
      <c r="Q25" s="2932"/>
      <c r="R25" s="2905">
        <f>ROUND(R14*Q25,0)</f>
        <v>0</v>
      </c>
      <c r="S25" s="2826"/>
      <c r="T25" s="2826"/>
      <c r="U25" s="2826"/>
      <c r="V25" s="2933"/>
    </row>
    <row r="26" spans="1:22" s="2934" customFormat="1" ht="13.15" customHeight="1">
      <c r="A26" s="2915">
        <v>2</v>
      </c>
      <c r="B26" s="2916" t="s">
        <v>2392</v>
      </c>
      <c r="C26" s="2917">
        <f>D7</f>
        <v>0</v>
      </c>
      <c r="D26" s="2918">
        <f>D23*D27</f>
        <v>0</v>
      </c>
      <c r="E26" s="2919">
        <f>E23*E27</f>
        <v>0</v>
      </c>
      <c r="F26" s="2920"/>
      <c r="G26" s="2921"/>
      <c r="H26" s="2834"/>
      <c r="I26" s="2835"/>
      <c r="J26" s="3832">
        <v>5</v>
      </c>
      <c r="K26" s="2935" t="s">
        <v>2393</v>
      </c>
      <c r="L26" s="2936"/>
      <c r="M26" s="2937"/>
      <c r="N26" s="2938" t="s">
        <v>2394</v>
      </c>
      <c r="O26" s="2938" t="s">
        <v>2395</v>
      </c>
      <c r="P26" s="2939" t="s">
        <v>2396</v>
      </c>
      <c r="Q26" s="2939" t="s">
        <v>2397</v>
      </c>
      <c r="R26" s="2844" t="s">
        <v>2398</v>
      </c>
      <c r="S26" s="2878"/>
      <c r="T26" s="2878"/>
      <c r="U26" s="2878"/>
      <c r="V26" s="2933"/>
    </row>
    <row r="27" spans="1:22" s="2839" customFormat="1" ht="13.15" customHeight="1">
      <c r="A27" s="2922"/>
      <c r="B27" s="2923" t="s">
        <v>2399</v>
      </c>
      <c r="C27" s="2940" t="e">
        <f>E7</f>
        <v>#DIV/0!</v>
      </c>
      <c r="D27" s="2925"/>
      <c r="E27" s="2926"/>
      <c r="F27" s="2927"/>
      <c r="G27" s="2921"/>
      <c r="H27" s="2941"/>
      <c r="I27" s="2933"/>
      <c r="J27" s="3833"/>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2400</v>
      </c>
      <c r="F28" s="2927"/>
      <c r="G28" s="2826"/>
      <c r="H28" s="2941"/>
      <c r="I28" s="2933"/>
      <c r="J28" s="2947">
        <v>6</v>
      </c>
      <c r="K28" s="2948" t="s">
        <v>2401</v>
      </c>
      <c r="L28" s="2949" t="s">
        <v>2402</v>
      </c>
      <c r="M28" s="2950"/>
      <c r="N28" s="2949" t="s">
        <v>2403</v>
      </c>
      <c r="O28" s="2951"/>
      <c r="P28" s="2949" t="s">
        <v>2404</v>
      </c>
      <c r="Q28" s="2952">
        <v>1.4999999999999999E-2</v>
      </c>
      <c r="R28" s="2953"/>
      <c r="S28" s="2826"/>
      <c r="T28" s="2826"/>
      <c r="U28" s="2826"/>
      <c r="V28" s="2933"/>
    </row>
    <row r="29" spans="1:22" s="2934" customFormat="1" ht="13.15" customHeight="1">
      <c r="A29" s="2915">
        <v>3</v>
      </c>
      <c r="B29" s="2916" t="s">
        <v>2405</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2406</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2407</v>
      </c>
      <c r="K31" s="2824"/>
      <c r="L31" s="2824"/>
      <c r="M31" s="2824"/>
      <c r="N31" s="2824"/>
      <c r="O31" s="2824"/>
      <c r="P31" s="2824"/>
      <c r="Q31" s="2824"/>
      <c r="R31" s="2825"/>
      <c r="S31" s="2826"/>
      <c r="T31" s="2826"/>
      <c r="U31" s="2826"/>
      <c r="V31" s="2933"/>
    </row>
    <row r="32" spans="1:22" s="2934" customFormat="1" ht="13.15" customHeight="1">
      <c r="A32" s="2915">
        <v>4</v>
      </c>
      <c r="B32" s="2916" t="s">
        <v>2408</v>
      </c>
      <c r="C32" s="2917">
        <f>C23-C26-C29</f>
        <v>0</v>
      </c>
      <c r="D32" s="2918">
        <f>D23-D26-D29</f>
        <v>0</v>
      </c>
      <c r="E32" s="2919">
        <f>E23-E26-E29</f>
        <v>0</v>
      </c>
      <c r="F32" s="2920"/>
      <c r="G32" s="2826"/>
      <c r="H32" s="2834"/>
      <c r="I32" s="2835"/>
      <c r="J32" s="3834" t="s">
        <v>2409</v>
      </c>
      <c r="K32" s="3835"/>
      <c r="L32" s="2836" t="s">
        <v>2410</v>
      </c>
      <c r="M32" s="2836" t="s">
        <v>2299</v>
      </c>
      <c r="N32" s="2836" t="s">
        <v>2300</v>
      </c>
      <c r="O32" s="2836" t="s">
        <v>2301</v>
      </c>
      <c r="P32" s="2836" t="s">
        <v>2302</v>
      </c>
      <c r="Q32" s="2837" t="s">
        <v>2411</v>
      </c>
      <c r="R32" s="2956" t="s">
        <v>2412</v>
      </c>
      <c r="S32" s="2826"/>
      <c r="T32" s="2826"/>
      <c r="U32" s="2826"/>
      <c r="V32" s="2933"/>
    </row>
    <row r="33" spans="1:23" s="2839" customFormat="1" ht="13.15" customHeight="1">
      <c r="A33" s="2915"/>
      <c r="B33" s="2916"/>
      <c r="C33" s="2917"/>
      <c r="D33" s="2957"/>
      <c r="E33" s="2958"/>
      <c r="F33" s="2920"/>
      <c r="G33" s="2826"/>
      <c r="H33" s="2941"/>
      <c r="I33" s="2933"/>
      <c r="J33" s="3836" t="s">
        <v>2413</v>
      </c>
      <c r="K33" s="3837"/>
      <c r="L33" s="2842"/>
      <c r="M33" s="2842"/>
      <c r="N33" s="2842"/>
      <c r="O33" s="2842"/>
      <c r="P33" s="2842"/>
      <c r="Q33" s="2843"/>
      <c r="R33" s="2959">
        <f>SUM(L33:Q33)</f>
        <v>0</v>
      </c>
      <c r="S33" s="2826"/>
      <c r="T33" s="2826"/>
      <c r="U33" s="2826"/>
      <c r="V33" s="2835"/>
    </row>
    <row r="34" spans="1:23" s="2839" customFormat="1" ht="13.15" customHeight="1">
      <c r="A34" s="2915">
        <v>5</v>
      </c>
      <c r="B34" s="2916" t="s">
        <v>2414</v>
      </c>
      <c r="C34" s="2960"/>
      <c r="D34" s="2961"/>
      <c r="E34" s="2962"/>
      <c r="F34" s="2920"/>
      <c r="G34" s="2826"/>
      <c r="H34" s="2941"/>
      <c r="I34" s="2933"/>
      <c r="J34" s="3836" t="s">
        <v>2415</v>
      </c>
      <c r="K34" s="3837"/>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2416</v>
      </c>
      <c r="C35" s="2964"/>
      <c r="D35" s="2965"/>
      <c r="E35" s="2966"/>
      <c r="F35" s="2920"/>
      <c r="G35" s="2967"/>
      <c r="H35" s="2834"/>
      <c r="I35" s="2933"/>
      <c r="J35" s="2853" t="s">
        <v>2417</v>
      </c>
      <c r="K35" s="2854"/>
      <c r="L35" s="2854"/>
      <c r="M35" s="2855"/>
      <c r="N35" s="2855"/>
      <c r="O35" s="2855"/>
      <c r="P35" s="2855"/>
      <c r="Q35" s="2855"/>
      <c r="R35" s="2968">
        <f>R40+R41+R43</f>
        <v>0</v>
      </c>
      <c r="S35" s="2826"/>
      <c r="T35" s="2826" t="s">
        <v>2418</v>
      </c>
      <c r="U35" s="2826"/>
      <c r="V35" s="2835"/>
    </row>
    <row r="36" spans="1:23" s="2839" customFormat="1" ht="13.15" customHeight="1" thickBot="1">
      <c r="A36" s="2915">
        <v>7</v>
      </c>
      <c r="B36" s="2969" t="s">
        <v>2419</v>
      </c>
      <c r="C36" s="2970"/>
      <c r="D36" s="2971"/>
      <c r="E36" s="2972"/>
      <c r="F36" s="2973">
        <f>C36+D36+E36</f>
        <v>0</v>
      </c>
      <c r="G36" s="2826"/>
      <c r="H36" s="2834"/>
      <c r="I36" s="2835"/>
      <c r="J36" s="3828">
        <v>1</v>
      </c>
      <c r="K36" s="3829" t="s">
        <v>2420</v>
      </c>
      <c r="L36" s="2860"/>
      <c r="M36" s="2861"/>
      <c r="N36" s="2861"/>
      <c r="O36" s="2861"/>
      <c r="P36" s="2861"/>
      <c r="Q36" s="2861"/>
      <c r="R36" s="2844" t="s">
        <v>2321</v>
      </c>
      <c r="S36" s="2826"/>
      <c r="T36" s="2826" t="s">
        <v>2322</v>
      </c>
      <c r="U36" s="2826"/>
      <c r="V36" s="2835"/>
    </row>
    <row r="37" spans="1:23" s="2839" customFormat="1" ht="13.15" customHeight="1">
      <c r="A37" s="2915"/>
      <c r="B37" s="2916"/>
      <c r="C37" s="2916"/>
      <c r="D37" s="2916"/>
      <c r="E37" s="2916"/>
      <c r="F37" s="2920"/>
      <c r="G37" s="2826"/>
      <c r="H37" s="2834"/>
      <c r="I37" s="2835"/>
      <c r="J37" s="3828"/>
      <c r="K37" s="3830"/>
      <c r="L37" s="2869"/>
      <c r="M37" s="2870"/>
      <c r="N37" s="2846"/>
      <c r="O37" s="2871"/>
      <c r="P37" s="2871"/>
      <c r="Q37" s="2872"/>
      <c r="R37" s="2873"/>
      <c r="S37" s="2826"/>
      <c r="T37" s="2826" t="s">
        <v>2325</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828"/>
      <c r="K38" s="3830"/>
      <c r="L38" s="2869"/>
      <c r="M38" s="2870"/>
      <c r="N38" s="2846"/>
      <c r="O38" s="2871"/>
      <c r="P38" s="2871"/>
      <c r="Q38" s="2872"/>
      <c r="R38" s="2873"/>
      <c r="S38" s="2826"/>
      <c r="T38" s="2826" t="s">
        <v>2332</v>
      </c>
      <c r="U38" s="2826"/>
      <c r="V38" s="2835"/>
    </row>
    <row r="39" spans="1:23" s="2839" customFormat="1" ht="13.15" customHeight="1">
      <c r="A39" s="2915">
        <v>9</v>
      </c>
      <c r="B39" s="2916" t="s">
        <v>2421</v>
      </c>
      <c r="C39" s="2883" t="e">
        <f>C38</f>
        <v>#DIV/0!</v>
      </c>
      <c r="D39" s="2916">
        <f>D38/(1+D34)^C36</f>
        <v>0</v>
      </c>
      <c r="E39" s="2916">
        <f>E38/(1+E34)^(C36+D36)</f>
        <v>0</v>
      </c>
      <c r="F39" s="2920"/>
      <c r="G39" s="2835"/>
      <c r="H39" s="2834"/>
      <c r="I39" s="2835"/>
      <c r="J39" s="3828"/>
      <c r="K39" s="3830"/>
      <c r="L39" s="2869"/>
      <c r="M39" s="2870"/>
      <c r="N39" s="2846"/>
      <c r="O39" s="2871"/>
      <c r="P39" s="2871"/>
      <c r="Q39" s="2872"/>
      <c r="R39" s="2873"/>
      <c r="S39" s="2826"/>
      <c r="T39" s="2826"/>
      <c r="U39" s="2826"/>
      <c r="V39" s="2835"/>
    </row>
    <row r="40" spans="1:23" s="2839" customFormat="1" ht="13.15" customHeight="1">
      <c r="A40" s="2974">
        <v>10</v>
      </c>
      <c r="B40" s="2916" t="s">
        <v>2422</v>
      </c>
      <c r="C40" s="2975" t="e">
        <f>C39+D39+E39</f>
        <v>#DIV/0!</v>
      </c>
      <c r="D40" s="2976"/>
      <c r="E40" s="2976"/>
      <c r="F40" s="2977"/>
      <c r="G40" s="2826"/>
      <c r="H40" s="2834"/>
      <c r="I40" s="2835"/>
      <c r="J40" s="3828"/>
      <c r="K40" s="3831"/>
      <c r="L40" s="2889" t="s">
        <v>2423</v>
      </c>
      <c r="M40" s="2890"/>
      <c r="N40" s="2890"/>
      <c r="O40" s="2891"/>
      <c r="P40" s="2891"/>
      <c r="Q40" s="2892"/>
      <c r="R40" s="2838">
        <f>SUM(R37:R39)</f>
        <v>0</v>
      </c>
      <c r="S40" s="2826"/>
      <c r="T40" s="2826"/>
      <c r="U40" s="2826"/>
      <c r="V40" s="2835"/>
    </row>
    <row r="41" spans="1:23" s="2839" customFormat="1" ht="13.15" customHeight="1" thickBot="1">
      <c r="A41" s="2978">
        <v>11</v>
      </c>
      <c r="B41" s="2979" t="s">
        <v>2424</v>
      </c>
      <c r="C41" s="2979" t="e">
        <f>ROUND(C40*10000/B4,0)</f>
        <v>#DIV/0!</v>
      </c>
      <c r="D41" s="2980"/>
      <c r="E41" s="2980"/>
      <c r="F41" s="2981"/>
      <c r="G41" s="2834"/>
      <c r="H41" s="2834"/>
      <c r="I41" s="2835"/>
      <c r="J41" s="2928">
        <v>2</v>
      </c>
      <c r="K41" s="2929" t="s">
        <v>2425</v>
      </c>
      <c r="L41" s="2930"/>
      <c r="M41" s="2930"/>
      <c r="N41" s="2930"/>
      <c r="O41" s="2930"/>
      <c r="P41" s="2931"/>
      <c r="Q41" s="2932"/>
      <c r="R41" s="2905">
        <f>ROUND(R40*Q41,0)</f>
        <v>0</v>
      </c>
      <c r="S41" s="2826"/>
      <c r="T41" s="2826"/>
      <c r="U41" s="2878"/>
      <c r="V41" s="2835"/>
    </row>
    <row r="42" spans="1:23" s="2839" customFormat="1" ht="13.15" customHeight="1">
      <c r="G42" s="2834"/>
      <c r="H42" s="2834"/>
      <c r="I42" s="2835"/>
      <c r="J42" s="3832">
        <v>3</v>
      </c>
      <c r="K42" s="2935" t="s">
        <v>2426</v>
      </c>
      <c r="L42" s="2936"/>
      <c r="M42" s="2937"/>
      <c r="N42" s="2938" t="s">
        <v>2427</v>
      </c>
      <c r="O42" s="2938" t="s">
        <v>2428</v>
      </c>
      <c r="P42" s="2939" t="s">
        <v>2429</v>
      </c>
      <c r="Q42" s="2939" t="s">
        <v>2430</v>
      </c>
      <c r="R42" s="2844" t="s">
        <v>2431</v>
      </c>
      <c r="S42" s="2878"/>
      <c r="T42" s="2878"/>
      <c r="U42" s="2826"/>
      <c r="V42" s="2835"/>
    </row>
    <row r="43" spans="1:23" ht="13.15" customHeight="1">
      <c r="A43" s="2839"/>
      <c r="B43" s="2839"/>
      <c r="C43" s="2839"/>
      <c r="D43" s="2839"/>
      <c r="E43" s="2839"/>
      <c r="F43" s="2839"/>
      <c r="I43" s="2821"/>
      <c r="J43" s="3833"/>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2432</v>
      </c>
      <c r="L44" s="2984" t="s">
        <v>2433</v>
      </c>
      <c r="M44" s="2950"/>
      <c r="N44" s="2984" t="s">
        <v>2434</v>
      </c>
      <c r="O44" s="2950"/>
      <c r="P44" s="2984" t="s">
        <v>2435</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R78" sqref="R78"/>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549</v>
      </c>
      <c r="B1" s="679"/>
      <c r="C1" s="1783"/>
      <c r="D1" s="1783"/>
      <c r="E1" s="1783"/>
      <c r="F1" s="1783"/>
      <c r="G1" s="1717"/>
    </row>
    <row r="2" spans="1:25" s="1673" customFormat="1" ht="18" customHeight="1">
      <c r="A2" s="393" t="s">
        <v>425</v>
      </c>
      <c r="B2" s="395" t="e">
        <f ca="1">C23</f>
        <v>#DIV/0!</v>
      </c>
      <c r="C2" s="2768"/>
      <c r="D2" s="2768"/>
      <c r="E2" s="2768"/>
      <c r="F2" s="2768"/>
      <c r="G2" s="2768"/>
    </row>
    <row r="3" spans="1:25" s="1673" customFormat="1" ht="18" customHeight="1">
      <c r="A3" s="1171" t="s">
        <v>1216</v>
      </c>
      <c r="B3" s="395" t="e">
        <f ca="1">ROUND(B2*10000/'数据-汇总表'!E3,0)</f>
        <v>#DIV/0!</v>
      </c>
      <c r="C3" s="2768"/>
      <c r="D3" s="2768"/>
      <c r="E3" s="2768"/>
      <c r="F3" s="2768"/>
      <c r="G3" s="2768"/>
    </row>
    <row r="4" spans="1:25" s="1673" customFormat="1" ht="18" customHeight="1">
      <c r="A4" s="396" t="s">
        <v>426</v>
      </c>
      <c r="B4" s="397" t="e">
        <f ca="1">ROUND(B2*10000/'数据-汇总表'!D3,0)</f>
        <v>#DIV/0!</v>
      </c>
      <c r="C4" s="2728"/>
      <c r="D4" s="2768"/>
      <c r="E4" s="2768"/>
      <c r="F4" s="2768"/>
      <c r="G4" s="2768"/>
    </row>
    <row r="5" spans="1:25" s="1673" customFormat="1" ht="18" customHeight="1" thickBot="1">
      <c r="A5" s="399"/>
      <c r="B5" s="400" t="e">
        <f ca="1">ROUND(B2/('数据-汇总表'!D3/666.67),0)</f>
        <v>#DIV/0!</v>
      </c>
      <c r="C5" s="401" t="s">
        <v>427</v>
      </c>
      <c r="D5" s="2768"/>
      <c r="E5" s="2768"/>
      <c r="F5" s="2768"/>
      <c r="G5" s="2768"/>
    </row>
    <row r="6" spans="1:25" s="1784" customFormat="1" ht="13.5" customHeight="1">
      <c r="A6" s="680"/>
      <c r="B6" s="681" t="s">
        <v>550</v>
      </c>
      <c r="C6" s="682" t="s">
        <v>551</v>
      </c>
      <c r="D6" s="682" t="s">
        <v>552</v>
      </c>
      <c r="E6" s="683" t="s">
        <v>553</v>
      </c>
      <c r="F6" s="683" t="s">
        <v>554</v>
      </c>
      <c r="G6" s="2767" t="s">
        <v>2278</v>
      </c>
    </row>
    <row r="7" spans="1:25" s="1784" customFormat="1" ht="13.5" customHeight="1">
      <c r="A7" s="1982">
        <v>1</v>
      </c>
      <c r="B7" s="684" t="s">
        <v>555</v>
      </c>
      <c r="C7" s="685">
        <f>C8+C9</f>
        <v>0</v>
      </c>
      <c r="D7" s="685"/>
      <c r="E7" s="686"/>
      <c r="F7" s="686"/>
      <c r="G7" s="1991"/>
    </row>
    <row r="8" spans="1:25" s="1784" customFormat="1" ht="13.5" customHeight="1">
      <c r="A8" s="1982" t="s">
        <v>1784</v>
      </c>
      <c r="B8" s="1985" t="s">
        <v>1786</v>
      </c>
      <c r="C8" s="2771">
        <f>ROUND(D8*E8/10000,0)</f>
        <v>0</v>
      </c>
      <c r="D8" s="2771">
        <v>0</v>
      </c>
      <c r="E8" s="2772">
        <v>0</v>
      </c>
      <c r="F8" s="686"/>
      <c r="G8" s="687"/>
    </row>
    <row r="9" spans="1:25" s="1784" customFormat="1" ht="13.5" customHeight="1">
      <c r="A9" s="1982" t="s">
        <v>1785</v>
      </c>
      <c r="B9" s="1985" t="s">
        <v>1787</v>
      </c>
      <c r="C9" s="2771">
        <f>ROUND(D9*E9/10000,0)</f>
        <v>0</v>
      </c>
      <c r="D9" s="2771">
        <v>0</v>
      </c>
      <c r="E9" s="2772">
        <v>0</v>
      </c>
      <c r="F9" s="686"/>
      <c r="G9" s="687"/>
    </row>
    <row r="10" spans="1:25" s="1784" customFormat="1" ht="36">
      <c r="A10" s="1982">
        <v>2</v>
      </c>
      <c r="B10" s="684" t="s">
        <v>559</v>
      </c>
      <c r="C10" s="685">
        <f>C11+C14+C15</f>
        <v>0</v>
      </c>
      <c r="D10" s="695"/>
      <c r="E10" s="685"/>
      <c r="F10" s="696"/>
      <c r="G10" s="694" t="s">
        <v>560</v>
      </c>
    </row>
    <row r="11" spans="1:25" s="1784" customFormat="1" ht="13.5" customHeight="1">
      <c r="A11" s="1982" t="s">
        <v>1784</v>
      </c>
      <c r="B11" s="688" t="s">
        <v>556</v>
      </c>
      <c r="C11" s="689">
        <f>'数据-取费表'!B29</f>
        <v>0</v>
      </c>
      <c r="D11" s="690"/>
      <c r="E11" s="689"/>
      <c r="F11" s="691"/>
      <c r="G11" s="1990" t="s">
        <v>1795</v>
      </c>
    </row>
    <row r="12" spans="1:25" s="1784" customFormat="1" ht="13.5" customHeight="1">
      <c r="A12" s="1988" t="s">
        <v>1792</v>
      </c>
      <c r="B12" s="692" t="s">
        <v>557</v>
      </c>
      <c r="C12" s="693">
        <f>ROUND(D12*E12/10000,0)</f>
        <v>0</v>
      </c>
      <c r="D12" s="2771">
        <f>'数据-汇总表'!E5</f>
        <v>0</v>
      </c>
      <c r="E12" s="2771">
        <f>'数据-取费表'!B27</f>
        <v>0</v>
      </c>
      <c r="F12" s="691"/>
      <c r="G12" s="694"/>
    </row>
    <row r="13" spans="1:25" s="1784" customFormat="1" ht="13.5" customHeight="1">
      <c r="A13" s="1988" t="s">
        <v>1791</v>
      </c>
      <c r="B13" s="692" t="s">
        <v>558</v>
      </c>
      <c r="C13" s="693">
        <f>ROUND(D13*E13/10000,0)</f>
        <v>0</v>
      </c>
      <c r="D13" s="2771">
        <f>'数据-汇总表'!E6</f>
        <v>153333.32999999999</v>
      </c>
      <c r="E13" s="2771">
        <f>'数据-取费表'!B28</f>
        <v>0</v>
      </c>
      <c r="F13" s="691"/>
      <c r="G13" s="694"/>
    </row>
    <row r="14" spans="1:25" s="1784" customFormat="1" ht="13.5" customHeight="1">
      <c r="A14" s="1982" t="s">
        <v>1785</v>
      </c>
      <c r="B14" s="1987" t="s">
        <v>1788</v>
      </c>
      <c r="C14" s="2773">
        <f>ROUND(D14*E14/10000,0)</f>
        <v>0</v>
      </c>
      <c r="D14" s="2771">
        <v>0</v>
      </c>
      <c r="E14" s="2772">
        <v>0</v>
      </c>
      <c r="F14" s="1986"/>
      <c r="G14" s="1989" t="s">
        <v>1793</v>
      </c>
    </row>
    <row r="15" spans="1:25" s="1784" customFormat="1" ht="13.5" customHeight="1">
      <c r="A15" s="1982" t="s">
        <v>1790</v>
      </c>
      <c r="B15" s="1987" t="s">
        <v>1789</v>
      </c>
      <c r="C15" s="2773">
        <f>ROUND(D15*E15/10000,0)</f>
        <v>0</v>
      </c>
      <c r="D15" s="2771">
        <v>0</v>
      </c>
      <c r="E15" s="2772">
        <v>0</v>
      </c>
      <c r="F15" s="1986"/>
      <c r="G15" s="1989" t="s">
        <v>1794</v>
      </c>
    </row>
    <row r="16" spans="1:25" s="1785" customFormat="1" ht="48">
      <c r="A16" s="1982">
        <v>3</v>
      </c>
      <c r="B16" s="684" t="s">
        <v>561</v>
      </c>
      <c r="C16" s="2773">
        <f>ROUND(D16*E16/10000,0)</f>
        <v>0</v>
      </c>
      <c r="D16" s="2771">
        <v>0</v>
      </c>
      <c r="E16" s="2772">
        <v>0</v>
      </c>
      <c r="F16" s="696"/>
      <c r="G16" s="694" t="s">
        <v>1796</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562</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563</v>
      </c>
      <c r="C18" s="685">
        <f>ROUND((C7+C10+C16)*F18,0)</f>
        <v>0</v>
      </c>
      <c r="D18" s="697"/>
      <c r="E18" s="698"/>
      <c r="F18" s="1143"/>
      <c r="G18" s="700" t="s">
        <v>564</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565</v>
      </c>
      <c r="C19" s="685">
        <f ca="1">C7+C10+C16+C17+C18</f>
        <v>0</v>
      </c>
      <c r="D19" s="695"/>
      <c r="E19" s="685"/>
      <c r="F19" s="696"/>
      <c r="G19" s="700" t="s">
        <v>566</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567</v>
      </c>
      <c r="C20" s="685">
        <f ca="1">ROUND(C19*F20,0)</f>
        <v>0</v>
      </c>
      <c r="D20" s="695"/>
      <c r="E20" s="685"/>
      <c r="F20" s="1143"/>
      <c r="G20" s="700" t="s">
        <v>568</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569</v>
      </c>
      <c r="C21" s="685">
        <f ca="1">C19+C20</f>
        <v>0</v>
      </c>
      <c r="D21" s="695"/>
      <c r="E21" s="685"/>
      <c r="F21" s="696"/>
      <c r="G21" s="700" t="s">
        <v>570</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571</v>
      </c>
      <c r="C22" s="685" t="e">
        <f ca="1">ROUND(C21*F22,0)</f>
        <v>#DIV/0!</v>
      </c>
      <c r="D22" s="695"/>
      <c r="E22" s="685"/>
      <c r="F22" s="701" t="e">
        <f>'数据-取费表'!AP16</f>
        <v>#DIV/0!</v>
      </c>
      <c r="G22" s="700" t="s">
        <v>572</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573</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0" customFormat="1">
      <c r="A24" s="2769"/>
      <c r="D24" s="1629"/>
      <c r="E24" s="1629"/>
    </row>
    <row r="25" spans="1:25" s="2770" customFormat="1">
      <c r="A25" s="2769"/>
      <c r="D25" s="1629"/>
      <c r="E25" s="1629"/>
    </row>
    <row r="26" spans="1:25" s="2770" customFormat="1">
      <c r="A26" s="2769"/>
      <c r="D26" s="1629"/>
      <c r="E26" s="1629"/>
    </row>
    <row r="27" spans="1:25" s="2770" customFormat="1">
      <c r="A27" s="2769"/>
      <c r="D27" s="1629"/>
      <c r="E27" s="1629"/>
    </row>
    <row r="28" spans="1:25" s="2770" customFormat="1">
      <c r="A28" s="2769"/>
      <c r="D28" s="1629"/>
      <c r="E28" s="1629"/>
    </row>
    <row r="29" spans="1:25" s="2770" customFormat="1">
      <c r="A29" s="2769"/>
      <c r="D29" s="1629"/>
      <c r="E29" s="1629"/>
    </row>
    <row r="30" spans="1:25" s="2770" customFormat="1">
      <c r="A30" s="2769"/>
      <c r="D30" s="1629"/>
      <c r="E30" s="1629"/>
    </row>
    <row r="31" spans="1:25" s="2770" customFormat="1">
      <c r="A31" s="2769"/>
      <c r="D31" s="1629"/>
      <c r="E31" s="1629"/>
    </row>
    <row r="32" spans="1:25" s="2770" customFormat="1">
      <c r="A32" s="2769"/>
      <c r="D32" s="1629"/>
      <c r="E32" s="1629"/>
    </row>
    <row r="33" spans="1:5" s="2770" customFormat="1">
      <c r="A33" s="2769"/>
      <c r="D33" s="1629"/>
      <c r="E33" s="1629"/>
    </row>
    <row r="34" spans="1:5" s="2770" customFormat="1">
      <c r="A34" s="2769"/>
      <c r="D34" s="1629"/>
      <c r="E34" s="1629"/>
    </row>
    <row r="35" spans="1:5" s="2770" customFormat="1">
      <c r="A35" s="2769"/>
      <c r="D35" s="1629"/>
      <c r="E35" s="1629"/>
    </row>
    <row r="36" spans="1:5" s="2770" customFormat="1">
      <c r="A36" s="2769"/>
      <c r="D36" s="1629"/>
      <c r="E36" s="1629"/>
    </row>
    <row r="37" spans="1:5" s="2770" customFormat="1">
      <c r="A37" s="2769"/>
      <c r="D37" s="1629"/>
      <c r="E37" s="1629"/>
    </row>
    <row r="38" spans="1:5" s="2770" customFormat="1">
      <c r="A38" s="2769"/>
      <c r="D38" s="1629"/>
      <c r="E38" s="1629"/>
    </row>
    <row r="39" spans="1:5" s="2770" customFormat="1">
      <c r="A39" s="2769"/>
      <c r="D39" s="1629"/>
      <c r="E39" s="1629"/>
    </row>
    <row r="40" spans="1:5" s="2770" customFormat="1">
      <c r="A40" s="2769"/>
      <c r="D40" s="1629"/>
      <c r="E40" s="1629"/>
    </row>
    <row r="41" spans="1:5" s="2770" customFormat="1">
      <c r="A41" s="2769"/>
      <c r="D41" s="1629"/>
      <c r="E41" s="1629"/>
    </row>
    <row r="42" spans="1:5" s="2770" customFormat="1">
      <c r="A42" s="2769"/>
      <c r="D42" s="1629"/>
      <c r="E42" s="1629"/>
    </row>
    <row r="43" spans="1:5" s="2770" customFormat="1">
      <c r="A43" s="2769"/>
      <c r="D43" s="1629"/>
      <c r="E43" s="1629"/>
    </row>
    <row r="44" spans="1:5" s="2770" customFormat="1">
      <c r="A44" s="2769"/>
      <c r="D44" s="1629"/>
      <c r="E44" s="1629"/>
    </row>
    <row r="45" spans="1:5" s="2770" customFormat="1">
      <c r="A45" s="2769"/>
      <c r="D45" s="1629"/>
      <c r="E45" s="1629"/>
    </row>
    <row r="46" spans="1:5" s="2770" customFormat="1">
      <c r="A46" s="2769"/>
      <c r="D46" s="1629"/>
      <c r="E46" s="1629"/>
    </row>
    <row r="47" spans="1:5" s="2770" customFormat="1">
      <c r="A47" s="2769"/>
      <c r="D47" s="1629"/>
      <c r="E47" s="1629"/>
    </row>
    <row r="48" spans="1:5" s="2770" customFormat="1">
      <c r="A48" s="2769"/>
      <c r="D48" s="1629"/>
      <c r="E48" s="1629"/>
    </row>
    <row r="49" spans="1:5" s="2770" customFormat="1">
      <c r="A49" s="2769"/>
      <c r="D49" s="1629"/>
      <c r="E49" s="1629"/>
    </row>
    <row r="50" spans="1:5" s="2770" customFormat="1">
      <c r="A50" s="2769"/>
      <c r="D50" s="1629"/>
      <c r="E50" s="1629"/>
    </row>
    <row r="51" spans="1:5" s="2770" customFormat="1">
      <c r="A51" s="2769"/>
      <c r="D51" s="1629"/>
      <c r="E51" s="1629"/>
    </row>
    <row r="52" spans="1:5" s="2770" customFormat="1">
      <c r="A52" s="2769"/>
      <c r="D52" s="1629"/>
      <c r="E52" s="1629"/>
    </row>
    <row r="53" spans="1:5" s="2770" customFormat="1">
      <c r="A53" s="2769"/>
      <c r="D53" s="1629"/>
      <c r="E53" s="1629"/>
    </row>
    <row r="54" spans="1:5" s="2770" customFormat="1">
      <c r="A54" s="2769"/>
      <c r="D54" s="1629"/>
      <c r="E54" s="1629"/>
    </row>
    <row r="55" spans="1:5" s="2770" customFormat="1">
      <c r="A55" s="2769"/>
      <c r="D55" s="1629"/>
      <c r="E55" s="1629"/>
    </row>
    <row r="56" spans="1:5" s="2770" customFormat="1">
      <c r="A56" s="2769"/>
      <c r="D56" s="1629"/>
      <c r="E56" s="1629"/>
    </row>
    <row r="57" spans="1:5" s="2770" customFormat="1">
      <c r="A57" s="2769"/>
      <c r="D57" s="1629"/>
      <c r="E57" s="1629"/>
    </row>
    <row r="58" spans="1:5" s="2770" customFormat="1">
      <c r="A58" s="2769"/>
      <c r="D58" s="1629"/>
      <c r="E58" s="1629"/>
    </row>
    <row r="59" spans="1:5" s="2770" customFormat="1">
      <c r="A59" s="2769"/>
      <c r="D59" s="1629"/>
      <c r="E59" s="1629"/>
    </row>
    <row r="60" spans="1:5" s="2770" customFormat="1">
      <c r="A60" s="2769"/>
      <c r="D60" s="1629"/>
      <c r="E60" s="1629"/>
    </row>
    <row r="61" spans="1:5" s="2770" customFormat="1">
      <c r="A61" s="2769"/>
      <c r="D61" s="1629"/>
      <c r="E61" s="1629"/>
    </row>
    <row r="62" spans="1:5" s="2770" customFormat="1">
      <c r="A62" s="2769"/>
      <c r="D62" s="1629"/>
      <c r="E62" s="1629"/>
    </row>
    <row r="63" spans="1:5" s="2770" customFormat="1">
      <c r="A63" s="2769"/>
      <c r="D63" s="1629"/>
      <c r="E63" s="1629"/>
    </row>
  </sheetData>
  <sheetProtection password="CEE9" sheet="1" objects="1" scenarios="1" formatCells="0" formatColumns="0" formatRows="0"/>
  <phoneticPr fontId="16"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R78" sqref="R78"/>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2079" t="s">
        <v>664</v>
      </c>
      <c r="C1" s="2080" t="s">
        <v>665</v>
      </c>
      <c r="D1" s="2081"/>
      <c r="E1" s="1736"/>
      <c r="F1" s="2119"/>
      <c r="G1" s="1329" t="s">
        <v>666</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425</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466</v>
      </c>
      <c r="B3" s="785" t="e">
        <f>C49</f>
        <v>#DIV/0!</v>
      </c>
      <c r="C3" s="786" t="s">
        <v>667</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468</v>
      </c>
      <c r="B4" s="464"/>
      <c r="C4" s="3733" t="s">
        <v>469</v>
      </c>
      <c r="D4" s="3734"/>
      <c r="E4" s="3755" t="s">
        <v>470</v>
      </c>
      <c r="F4" s="3756"/>
      <c r="G4" s="3733" t="s">
        <v>471</v>
      </c>
      <c r="H4" s="3734"/>
      <c r="I4" s="3733" t="s">
        <v>472</v>
      </c>
      <c r="J4" s="3734"/>
      <c r="K4" s="787"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14" t="s">
        <v>471</v>
      </c>
      <c r="AC4" s="3714" t="s">
        <v>472</v>
      </c>
    </row>
    <row r="5" spans="1:29" ht="15">
      <c r="A5" s="466"/>
      <c r="B5" s="467"/>
      <c r="C5" s="3744" t="s">
        <v>2189</v>
      </c>
      <c r="D5" s="3745"/>
      <c r="E5" s="3847" t="s">
        <v>2190</v>
      </c>
      <c r="F5" s="3758"/>
      <c r="G5" s="3744" t="s">
        <v>2191</v>
      </c>
      <c r="H5" s="3745"/>
      <c r="I5" s="3744" t="s">
        <v>2192</v>
      </c>
      <c r="J5" s="3745"/>
      <c r="K5" s="788"/>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788"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SUMIF(58:58,YEAR(E7)&amp;"-"&amp;MONTH(E7),59:59)</f>
        <v>0</v>
      </c>
      <c r="G7" s="474"/>
      <c r="H7" s="471">
        <f>SUMIF(58:58,YEAR(G7)&amp;"-"&amp;MONTH(G7),59:59)</f>
        <v>0</v>
      </c>
      <c r="I7" s="474"/>
      <c r="J7" s="471">
        <f>SUMIF(58:58,YEAR(I7)&amp;"-"&amp;MONTH(I7),59:59)</f>
        <v>0</v>
      </c>
      <c r="K7" s="789"/>
      <c r="L7" s="1744"/>
      <c r="M7" s="1641"/>
      <c r="N7" s="1641"/>
      <c r="O7" s="1641"/>
      <c r="P7" s="3717" t="s">
        <v>477</v>
      </c>
      <c r="Q7" s="3726"/>
      <c r="R7" s="1304" t="s">
        <v>10</v>
      </c>
      <c r="S7" s="1305">
        <f t="shared" ref="S7:S15" si="0">F7</f>
        <v>0</v>
      </c>
      <c r="T7" s="1304" t="s">
        <v>10</v>
      </c>
      <c r="U7" s="1305">
        <f t="shared" ref="U7:U15" si="1">H7</f>
        <v>0</v>
      </c>
      <c r="V7" s="1304" t="s">
        <v>10</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717" t="s">
        <v>480</v>
      </c>
      <c r="Q8" s="3718"/>
      <c r="R8" s="1304" t="s">
        <v>10</v>
      </c>
      <c r="S8" s="1305">
        <f t="shared" si="0"/>
        <v>0</v>
      </c>
      <c r="T8" s="1304" t="s">
        <v>10</v>
      </c>
      <c r="U8" s="1305">
        <f t="shared" si="1"/>
        <v>0</v>
      </c>
      <c r="V8" s="1304" t="s">
        <v>10</v>
      </c>
      <c r="W8" s="1305">
        <f t="shared" si="2"/>
        <v>0</v>
      </c>
      <c r="X8" s="1306"/>
      <c r="Y8" s="3717" t="s">
        <v>480</v>
      </c>
      <c r="Z8" s="3718"/>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725"/>
      <c r="Q11" s="818" t="str">
        <f t="shared" si="6"/>
        <v>容积率</v>
      </c>
      <c r="R11" s="1304" t="s">
        <v>8</v>
      </c>
      <c r="S11" s="1305" t="e">
        <f t="shared" si="0"/>
        <v>#N/A</v>
      </c>
      <c r="T11" s="1304" t="s">
        <v>8</v>
      </c>
      <c r="U11" s="1305" t="e">
        <f t="shared" si="1"/>
        <v>#N/A</v>
      </c>
      <c r="V11" s="1304" t="s">
        <v>8</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725"/>
      <c r="Q12" s="818">
        <f t="shared" si="6"/>
        <v>111</v>
      </c>
      <c r="R12" s="1304" t="s">
        <v>8</v>
      </c>
      <c r="S12" s="1305">
        <f t="shared" si="0"/>
        <v>100</v>
      </c>
      <c r="T12" s="1304" t="s">
        <v>8</v>
      </c>
      <c r="U12" s="1305">
        <f t="shared" si="1"/>
        <v>100</v>
      </c>
      <c r="V12" s="1304" t="s">
        <v>8</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725"/>
      <c r="Q13" s="818">
        <f t="shared" si="6"/>
        <v>111</v>
      </c>
      <c r="R13" s="1304" t="s">
        <v>8</v>
      </c>
      <c r="S13" s="1305">
        <f t="shared" si="0"/>
        <v>100</v>
      </c>
      <c r="T13" s="1304" t="s">
        <v>8</v>
      </c>
      <c r="U13" s="1305">
        <f t="shared" si="1"/>
        <v>100</v>
      </c>
      <c r="V13" s="1304" t="s">
        <v>8</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725"/>
      <c r="Q14" s="818">
        <f t="shared" si="6"/>
        <v>111</v>
      </c>
      <c r="R14" s="1304" t="s">
        <v>8</v>
      </c>
      <c r="S14" s="1305">
        <f t="shared" si="0"/>
        <v>100</v>
      </c>
      <c r="T14" s="1304" t="s">
        <v>8</v>
      </c>
      <c r="U14" s="1305">
        <f t="shared" si="1"/>
        <v>100</v>
      </c>
      <c r="V14" s="1304" t="s">
        <v>8</v>
      </c>
      <c r="W14" s="1305">
        <f t="shared" si="2"/>
        <v>100</v>
      </c>
      <c r="X14" s="1306"/>
      <c r="Y14" s="3673"/>
      <c r="Z14" s="997">
        <f t="shared" si="7"/>
        <v>111</v>
      </c>
      <c r="AA14" s="997">
        <f t="shared" si="3"/>
        <v>1</v>
      </c>
      <c r="AB14" s="997">
        <f t="shared" si="4"/>
        <v>1</v>
      </c>
      <c r="AC14" s="997">
        <f t="shared" si="5"/>
        <v>1</v>
      </c>
    </row>
    <row r="15" spans="1:29" ht="99.75">
      <c r="A15" s="2208" t="s">
        <v>2034</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727" t="s">
        <v>487</v>
      </c>
      <c r="Q15" s="1307" t="str">
        <f t="shared" si="6"/>
        <v>居住社区成熟度</v>
      </c>
      <c r="R15" s="1308" t="s">
        <v>8</v>
      </c>
      <c r="S15" s="1309">
        <f t="shared" si="0"/>
        <v>100</v>
      </c>
      <c r="T15" s="1308" t="s">
        <v>8</v>
      </c>
      <c r="U15" s="1309">
        <f t="shared" si="1"/>
        <v>100</v>
      </c>
      <c r="V15" s="1308" t="s">
        <v>8</v>
      </c>
      <c r="W15" s="1309">
        <f t="shared" si="2"/>
        <v>100</v>
      </c>
      <c r="X15" s="1303"/>
      <c r="Y15" s="3727" t="s">
        <v>487</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728"/>
      <c r="Q16" s="1307"/>
      <c r="R16" s="1308"/>
      <c r="S16" s="1309"/>
      <c r="T16" s="1308"/>
      <c r="U16" s="1309"/>
      <c r="V16" s="1308"/>
      <c r="W16" s="1309"/>
      <c r="X16" s="1303"/>
      <c r="Y16" s="3728"/>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728"/>
      <c r="Q17" s="1307" t="str">
        <f>B17</f>
        <v>交通便捷度</v>
      </c>
      <c r="R17" s="1308" t="s">
        <v>8</v>
      </c>
      <c r="S17" s="1309">
        <f>F17</f>
        <v>100</v>
      </c>
      <c r="T17" s="1308" t="s">
        <v>8</v>
      </c>
      <c r="U17" s="1309">
        <f>H17</f>
        <v>100</v>
      </c>
      <c r="V17" s="1308" t="s">
        <v>8</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728"/>
      <c r="Q19" s="1307" t="str">
        <f>B19</f>
        <v>公共配套设施</v>
      </c>
      <c r="R19" s="1308" t="s">
        <v>8</v>
      </c>
      <c r="S19" s="1309">
        <f>F19</f>
        <v>100</v>
      </c>
      <c r="T19" s="1308" t="s">
        <v>8</v>
      </c>
      <c r="U19" s="1309">
        <f>H19</f>
        <v>100</v>
      </c>
      <c r="V19" s="1308" t="s">
        <v>8</v>
      </c>
      <c r="W19" s="1309">
        <f>J19</f>
        <v>100</v>
      </c>
      <c r="X19" s="1303"/>
      <c r="Y19" s="3728"/>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728"/>
      <c r="Q21" s="1307" t="str">
        <f>B21</f>
        <v>基础设施水平</v>
      </c>
      <c r="R21" s="1308" t="s">
        <v>8</v>
      </c>
      <c r="S21" s="1309">
        <f>F21</f>
        <v>100</v>
      </c>
      <c r="T21" s="1308" t="s">
        <v>8</v>
      </c>
      <c r="U21" s="1309">
        <f>H21</f>
        <v>100</v>
      </c>
      <c r="V21" s="1308" t="s">
        <v>8</v>
      </c>
      <c r="W21" s="1309">
        <f>J21</f>
        <v>100</v>
      </c>
      <c r="X21" s="1303"/>
      <c r="Y21" s="3728"/>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728"/>
      <c r="Q22" s="1307"/>
      <c r="R22" s="1308"/>
      <c r="S22" s="1309"/>
      <c r="T22" s="1308"/>
      <c r="U22" s="1309"/>
      <c r="V22" s="1308"/>
      <c r="W22" s="1309"/>
      <c r="X22" s="1303"/>
      <c r="Y22" s="3728"/>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728"/>
      <c r="Q23" s="1307" t="str">
        <f>B23</f>
        <v>自然及人文环境</v>
      </c>
      <c r="R23" s="1308" t="s">
        <v>8</v>
      </c>
      <c r="S23" s="1309">
        <f>F23</f>
        <v>100</v>
      </c>
      <c r="T23" s="1308" t="s">
        <v>8</v>
      </c>
      <c r="U23" s="1309">
        <f>H23</f>
        <v>100</v>
      </c>
      <c r="V23" s="1308" t="s">
        <v>8</v>
      </c>
      <c r="W23" s="1309">
        <f>J23</f>
        <v>100</v>
      </c>
      <c r="X23" s="1303"/>
      <c r="Y23" s="3728"/>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82"/>
      <c r="B25" s="1555" t="s">
        <v>1613</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728"/>
      <c r="Q25" s="1307" t="str">
        <f t="shared" ref="Q25:Q46" si="8">B25</f>
        <v>楼层-1</v>
      </c>
      <c r="R25" s="1308" t="s">
        <v>8</v>
      </c>
      <c r="S25" s="1309">
        <f>F25</f>
        <v>100</v>
      </c>
      <c r="T25" s="1308" t="s">
        <v>8</v>
      </c>
      <c r="U25" s="1309">
        <f>H25</f>
        <v>100</v>
      </c>
      <c r="V25" s="1308" t="s">
        <v>8</v>
      </c>
      <c r="W25" s="1309">
        <f>J25</f>
        <v>100</v>
      </c>
      <c r="X25" s="1303"/>
      <c r="Y25" s="3728"/>
      <c r="Z25" s="1310" t="str">
        <f>Q25</f>
        <v>楼层-1</v>
      </c>
      <c r="AA25" s="1310">
        <f t="shared" si="3"/>
        <v>1</v>
      </c>
      <c r="AB25" s="1310">
        <f t="shared" si="4"/>
        <v>1</v>
      </c>
      <c r="AC25" s="1310">
        <f t="shared" si="5"/>
        <v>1</v>
      </c>
    </row>
    <row r="26" spans="1:29" ht="15">
      <c r="A26" s="482"/>
      <c r="B26" s="477" t="s">
        <v>668</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728"/>
      <c r="Q26" s="1307" t="str">
        <f t="shared" si="8"/>
        <v>朝向</v>
      </c>
      <c r="R26" s="1308" t="s">
        <v>8</v>
      </c>
      <c r="S26" s="1309">
        <f>F26</f>
        <v>100</v>
      </c>
      <c r="T26" s="1308" t="s">
        <v>8</v>
      </c>
      <c r="U26" s="1309">
        <f>H26</f>
        <v>100</v>
      </c>
      <c r="V26" s="1308" t="s">
        <v>8</v>
      </c>
      <c r="W26" s="1309">
        <f>J26</f>
        <v>100</v>
      </c>
      <c r="X26" s="1303"/>
      <c r="Y26" s="3728"/>
      <c r="Z26" s="1310" t="str">
        <f>Q26</f>
        <v>朝向</v>
      </c>
      <c r="AA26" s="1310">
        <f t="shared" si="3"/>
        <v>1</v>
      </c>
      <c r="AB26" s="1310">
        <f t="shared" si="4"/>
        <v>1</v>
      </c>
      <c r="AC26" s="1310">
        <f t="shared" si="5"/>
        <v>1</v>
      </c>
    </row>
    <row r="27" spans="1:29" s="1060" customFormat="1" ht="15">
      <c r="A27" s="486"/>
      <c r="B27" s="487" t="s">
        <v>669</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728"/>
      <c r="Q27" s="818" t="str">
        <f t="shared" si="8"/>
        <v>道路级别</v>
      </c>
      <c r="R27" s="1304" t="s">
        <v>8</v>
      </c>
      <c r="S27" s="1305">
        <f>F27</f>
        <v>100</v>
      </c>
      <c r="T27" s="1304" t="s">
        <v>8</v>
      </c>
      <c r="U27" s="1305">
        <f>H27</f>
        <v>100</v>
      </c>
      <c r="V27" s="1304" t="s">
        <v>8</v>
      </c>
      <c r="W27" s="1305">
        <f>J27</f>
        <v>100</v>
      </c>
      <c r="X27" s="1306"/>
      <c r="Y27" s="3728"/>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728"/>
      <c r="Q28" s="1307">
        <f t="shared" si="8"/>
        <v>111</v>
      </c>
      <c r="R28" s="1308" t="s">
        <v>8</v>
      </c>
      <c r="S28" s="1309">
        <f t="shared" ref="S28:S46" si="9">F28</f>
        <v>100</v>
      </c>
      <c r="T28" s="1308" t="s">
        <v>8</v>
      </c>
      <c r="U28" s="1309">
        <f t="shared" ref="U28:U46" si="10">H28</f>
        <v>100</v>
      </c>
      <c r="V28" s="1308" t="s">
        <v>8</v>
      </c>
      <c r="W28" s="1309">
        <f t="shared" ref="W28:W46" si="11">J28</f>
        <v>100</v>
      </c>
      <c r="X28" s="1303"/>
      <c r="Y28" s="3728"/>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728"/>
      <c r="Q29" s="1307">
        <f t="shared" si="8"/>
        <v>111</v>
      </c>
      <c r="R29" s="1308" t="s">
        <v>8</v>
      </c>
      <c r="S29" s="1309">
        <f t="shared" si="9"/>
        <v>100</v>
      </c>
      <c r="T29" s="1308" t="s">
        <v>8</v>
      </c>
      <c r="U29" s="1309">
        <f t="shared" si="10"/>
        <v>100</v>
      </c>
      <c r="V29" s="1308" t="s">
        <v>8</v>
      </c>
      <c r="W29" s="1309">
        <f t="shared" si="11"/>
        <v>100</v>
      </c>
      <c r="X29" s="1303"/>
      <c r="Y29" s="3728"/>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728"/>
      <c r="Q30" s="1307">
        <f t="shared" si="8"/>
        <v>111</v>
      </c>
      <c r="R30" s="1308" t="s">
        <v>8</v>
      </c>
      <c r="S30" s="1309">
        <f t="shared" si="9"/>
        <v>100</v>
      </c>
      <c r="T30" s="1308" t="s">
        <v>8</v>
      </c>
      <c r="U30" s="1309">
        <f t="shared" si="10"/>
        <v>100</v>
      </c>
      <c r="V30" s="1308" t="s">
        <v>8</v>
      </c>
      <c r="W30" s="1309">
        <f t="shared" si="11"/>
        <v>100</v>
      </c>
      <c r="X30" s="1303"/>
      <c r="Y30" s="3728"/>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728"/>
      <c r="Q31" s="1307">
        <f t="shared" si="8"/>
        <v>111</v>
      </c>
      <c r="R31" s="1308" t="s">
        <v>8</v>
      </c>
      <c r="S31" s="1309">
        <f t="shared" si="9"/>
        <v>100</v>
      </c>
      <c r="T31" s="1308" t="s">
        <v>8</v>
      </c>
      <c r="U31" s="1309">
        <f t="shared" si="10"/>
        <v>100</v>
      </c>
      <c r="V31" s="1308" t="s">
        <v>8</v>
      </c>
      <c r="W31" s="1309">
        <f t="shared" si="11"/>
        <v>100</v>
      </c>
      <c r="X31" s="1303"/>
      <c r="Y31" s="3728"/>
      <c r="Z31" s="1310">
        <f t="shared" si="12"/>
        <v>111</v>
      </c>
      <c r="AA31" s="1310">
        <f t="shared" si="3"/>
        <v>1</v>
      </c>
      <c r="AB31" s="1310">
        <f t="shared" si="4"/>
        <v>1</v>
      </c>
      <c r="AC31" s="1310">
        <f t="shared" si="5"/>
        <v>1</v>
      </c>
    </row>
    <row r="32" spans="1:29" ht="15">
      <c r="A32" s="2205" t="s">
        <v>2035</v>
      </c>
      <c r="B32" s="156" t="s">
        <v>670</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729" t="s">
        <v>497</v>
      </c>
      <c r="Q32" s="1307" t="str">
        <f t="shared" si="8"/>
        <v>建筑类型</v>
      </c>
      <c r="R32" s="1308" t="s">
        <v>8</v>
      </c>
      <c r="S32" s="1309">
        <f t="shared" si="9"/>
        <v>100</v>
      </c>
      <c r="T32" s="1308" t="s">
        <v>8</v>
      </c>
      <c r="U32" s="1309">
        <f t="shared" si="10"/>
        <v>100</v>
      </c>
      <c r="V32" s="1308" t="s">
        <v>8</v>
      </c>
      <c r="W32" s="1309">
        <f t="shared" si="11"/>
        <v>100</v>
      </c>
      <c r="X32" s="1303"/>
      <c r="Y32" s="3730" t="s">
        <v>497</v>
      </c>
      <c r="Z32" s="1310" t="str">
        <f t="shared" si="12"/>
        <v>建筑类型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730"/>
      <c r="Q33" s="819" t="str">
        <f t="shared" si="8"/>
        <v>项目建筑规模</v>
      </c>
      <c r="R33" s="1311" t="s">
        <v>8</v>
      </c>
      <c r="S33" s="1312" t="e">
        <f t="shared" si="9"/>
        <v>#N/A</v>
      </c>
      <c r="T33" s="1311" t="s">
        <v>8</v>
      </c>
      <c r="U33" s="1312" t="e">
        <f t="shared" si="10"/>
        <v>#N/A</v>
      </c>
      <c r="V33" s="1311" t="s">
        <v>8</v>
      </c>
      <c r="W33" s="1312" t="e">
        <f t="shared" si="11"/>
        <v>#N/A</v>
      </c>
      <c r="X33" s="1313"/>
      <c r="Y33" s="3730"/>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730"/>
      <c r="Q34" s="1307" t="str">
        <f t="shared" si="8"/>
        <v>建筑结构</v>
      </c>
      <c r="R34" s="1308" t="s">
        <v>8</v>
      </c>
      <c r="S34" s="1309">
        <f t="shared" si="9"/>
        <v>100</v>
      </c>
      <c r="T34" s="1308" t="s">
        <v>8</v>
      </c>
      <c r="U34" s="1309">
        <f t="shared" si="10"/>
        <v>100</v>
      </c>
      <c r="V34" s="1308" t="s">
        <v>8</v>
      </c>
      <c r="W34" s="1309">
        <f t="shared" si="11"/>
        <v>100</v>
      </c>
      <c r="X34" s="1303"/>
      <c r="Y34" s="3730"/>
      <c r="Z34" s="1310" t="str">
        <f t="shared" si="12"/>
        <v>建筑结构</v>
      </c>
      <c r="AA34" s="1310">
        <f t="shared" si="3"/>
        <v>1</v>
      </c>
      <c r="AB34" s="1310">
        <f t="shared" si="4"/>
        <v>1</v>
      </c>
      <c r="AC34" s="1310">
        <f t="shared" si="5"/>
        <v>1</v>
      </c>
    </row>
    <row r="35" spans="1:29" ht="15">
      <c r="A35" s="543"/>
      <c r="B35" s="477" t="s">
        <v>673</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730"/>
      <c r="Q35" s="1307" t="str">
        <f t="shared" si="8"/>
        <v>建筑品质</v>
      </c>
      <c r="R35" s="1308" t="s">
        <v>8</v>
      </c>
      <c r="S35" s="1309">
        <f t="shared" si="9"/>
        <v>100</v>
      </c>
      <c r="T35" s="1308" t="s">
        <v>8</v>
      </c>
      <c r="U35" s="1309">
        <f t="shared" si="10"/>
        <v>100</v>
      </c>
      <c r="V35" s="1308" t="s">
        <v>8</v>
      </c>
      <c r="W35" s="1309">
        <f t="shared" si="11"/>
        <v>100</v>
      </c>
      <c r="X35" s="1303"/>
      <c r="Y35" s="3730"/>
      <c r="Z35" s="1310" t="str">
        <f t="shared" si="12"/>
        <v>建筑品质</v>
      </c>
      <c r="AA35" s="1310">
        <f t="shared" si="3"/>
        <v>1</v>
      </c>
      <c r="AB35" s="1310">
        <f t="shared" si="4"/>
        <v>1</v>
      </c>
      <c r="AC35" s="1310">
        <f t="shared" si="5"/>
        <v>1</v>
      </c>
    </row>
    <row r="36" spans="1:29" ht="15">
      <c r="A36" s="543"/>
      <c r="B36" s="477" t="s">
        <v>674</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730"/>
      <c r="Q36" s="1307" t="str">
        <f t="shared" si="8"/>
        <v>公共部分装修</v>
      </c>
      <c r="R36" s="1308" t="s">
        <v>8</v>
      </c>
      <c r="S36" s="1309">
        <f t="shared" si="9"/>
        <v>100</v>
      </c>
      <c r="T36" s="1308" t="s">
        <v>8</v>
      </c>
      <c r="U36" s="1309">
        <f t="shared" si="10"/>
        <v>100</v>
      </c>
      <c r="V36" s="1308" t="s">
        <v>8</v>
      </c>
      <c r="W36" s="1309">
        <f t="shared" si="11"/>
        <v>100</v>
      </c>
      <c r="X36" s="1303"/>
      <c r="Y36" s="3730"/>
      <c r="Z36" s="1310" t="str">
        <f t="shared" si="12"/>
        <v>公共部分装修</v>
      </c>
      <c r="AA36" s="1310">
        <f t="shared" si="3"/>
        <v>1</v>
      </c>
      <c r="AB36" s="1310">
        <f t="shared" si="4"/>
        <v>1</v>
      </c>
      <c r="AC36" s="1310">
        <f t="shared" si="5"/>
        <v>1</v>
      </c>
    </row>
    <row r="37" spans="1:29" s="1060" customFormat="1" ht="15">
      <c r="A37" s="549"/>
      <c r="B37" s="477" t="s">
        <v>675</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730"/>
      <c r="Q37" s="818" t="str">
        <f t="shared" si="8"/>
        <v>成新度</v>
      </c>
      <c r="R37" s="1304" t="s">
        <v>8</v>
      </c>
      <c r="S37" s="1305" t="e">
        <f t="shared" si="9"/>
        <v>#N/A</v>
      </c>
      <c r="T37" s="1304" t="s">
        <v>8</v>
      </c>
      <c r="U37" s="1305" t="e">
        <f t="shared" si="10"/>
        <v>#N/A</v>
      </c>
      <c r="V37" s="1304" t="s">
        <v>8</v>
      </c>
      <c r="W37" s="1305" t="e">
        <f t="shared" si="11"/>
        <v>#N/A</v>
      </c>
      <c r="X37" s="1306"/>
      <c r="Y37" s="3730"/>
      <c r="Z37" s="997" t="str">
        <f t="shared" si="12"/>
        <v>成新度</v>
      </c>
      <c r="AA37" s="997" t="e">
        <f t="shared" si="3"/>
        <v>#N/A</v>
      </c>
      <c r="AB37" s="997" t="e">
        <f t="shared" si="4"/>
        <v>#N/A</v>
      </c>
      <c r="AC37" s="997" t="e">
        <f t="shared" si="5"/>
        <v>#N/A</v>
      </c>
    </row>
    <row r="38" spans="1:29" ht="15">
      <c r="A38" s="543"/>
      <c r="B38" s="477" t="s">
        <v>676</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730" t="s">
        <v>497</v>
      </c>
      <c r="Q38" s="1307" t="str">
        <f t="shared" si="8"/>
        <v>物业管理</v>
      </c>
      <c r="R38" s="1308" t="s">
        <v>8</v>
      </c>
      <c r="S38" s="1309">
        <f t="shared" si="9"/>
        <v>100</v>
      </c>
      <c r="T38" s="1308" t="s">
        <v>8</v>
      </c>
      <c r="U38" s="1309">
        <f t="shared" si="10"/>
        <v>100</v>
      </c>
      <c r="V38" s="1308" t="s">
        <v>8</v>
      </c>
      <c r="W38" s="1309">
        <f t="shared" si="11"/>
        <v>100</v>
      </c>
      <c r="X38" s="1303"/>
      <c r="Y38" s="3730" t="s">
        <v>497</v>
      </c>
      <c r="Z38" s="1310" t="str">
        <f t="shared" si="12"/>
        <v>物业管理</v>
      </c>
      <c r="AA38" s="1310">
        <f t="shared" si="3"/>
        <v>1</v>
      </c>
      <c r="AB38" s="1310">
        <f t="shared" si="4"/>
        <v>1</v>
      </c>
      <c r="AC38" s="1310">
        <f t="shared" si="5"/>
        <v>1</v>
      </c>
    </row>
    <row r="39" spans="1:29" ht="15">
      <c r="A39" s="543"/>
      <c r="B39" s="1555" t="s">
        <v>1845</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730"/>
      <c r="Q39" s="1307" t="str">
        <f t="shared" si="8"/>
        <v>市政基础设施</v>
      </c>
      <c r="R39" s="1308" t="s">
        <v>8</v>
      </c>
      <c r="S39" s="1309">
        <f t="shared" si="9"/>
        <v>100</v>
      </c>
      <c r="T39" s="1308" t="s">
        <v>8</v>
      </c>
      <c r="U39" s="1309">
        <f t="shared" si="10"/>
        <v>100</v>
      </c>
      <c r="V39" s="1308" t="s">
        <v>8</v>
      </c>
      <c r="W39" s="1309">
        <f t="shared" si="11"/>
        <v>100</v>
      </c>
      <c r="X39" s="1303"/>
      <c r="Y39" s="3730"/>
      <c r="Z39" s="1310" t="str">
        <f t="shared" si="12"/>
        <v>市政基础设施</v>
      </c>
      <c r="AA39" s="1310">
        <f t="shared" si="3"/>
        <v>1</v>
      </c>
      <c r="AB39" s="1310">
        <f t="shared" si="4"/>
        <v>1</v>
      </c>
      <c r="AC39" s="1310">
        <f t="shared" si="5"/>
        <v>1</v>
      </c>
    </row>
    <row r="40" spans="1:29" ht="15">
      <c r="A40" s="543"/>
      <c r="B40" s="477" t="s">
        <v>677</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730"/>
      <c r="Q40" s="1307" t="str">
        <f t="shared" si="8"/>
        <v>房型</v>
      </c>
      <c r="R40" s="1308" t="s">
        <v>8</v>
      </c>
      <c r="S40" s="1309">
        <f t="shared" si="9"/>
        <v>100</v>
      </c>
      <c r="T40" s="1308" t="s">
        <v>8</v>
      </c>
      <c r="U40" s="1309">
        <f t="shared" si="10"/>
        <v>100</v>
      </c>
      <c r="V40" s="1308" t="s">
        <v>8</v>
      </c>
      <c r="W40" s="1309">
        <f t="shared" si="11"/>
        <v>100</v>
      </c>
      <c r="X40" s="1303"/>
      <c r="Y40" s="3730"/>
      <c r="Z40" s="1310" t="str">
        <f t="shared" si="12"/>
        <v>房型</v>
      </c>
      <c r="AA40" s="1310">
        <f t="shared" si="3"/>
        <v>1</v>
      </c>
      <c r="AB40" s="1310">
        <f t="shared" si="4"/>
        <v>1</v>
      </c>
      <c r="AC40" s="1310">
        <f t="shared" si="5"/>
        <v>1</v>
      </c>
    </row>
    <row r="41" spans="1:29" s="1134" customFormat="1" ht="28.5">
      <c r="A41" s="552"/>
      <c r="B41" s="477" t="s">
        <v>678</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730"/>
      <c r="Q41" s="819" t="str">
        <f t="shared" si="8"/>
        <v>单套/主力户型建筑面积</v>
      </c>
      <c r="R41" s="1311" t="s">
        <v>8</v>
      </c>
      <c r="S41" s="1312">
        <f t="shared" si="9"/>
        <v>100</v>
      </c>
      <c r="T41" s="1311" t="s">
        <v>8</v>
      </c>
      <c r="U41" s="1312">
        <f t="shared" si="10"/>
        <v>100</v>
      </c>
      <c r="V41" s="1311" t="s">
        <v>8</v>
      </c>
      <c r="W41" s="1312">
        <f t="shared" si="11"/>
        <v>100</v>
      </c>
      <c r="X41" s="1313"/>
      <c r="Y41" s="3730"/>
      <c r="Z41" s="1314" t="str">
        <f t="shared" si="12"/>
        <v>单套/主力户型建筑面积</v>
      </c>
      <c r="AA41" s="1310">
        <f t="shared" si="3"/>
        <v>1</v>
      </c>
      <c r="AB41" s="1310">
        <f t="shared" si="4"/>
        <v>1</v>
      </c>
      <c r="AC41" s="1310">
        <f t="shared" si="5"/>
        <v>1</v>
      </c>
    </row>
    <row r="42" spans="1:29" ht="15">
      <c r="A42" s="543"/>
      <c r="B42" s="477" t="s">
        <v>679</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730"/>
      <c r="Q42" s="1307" t="str">
        <f t="shared" si="8"/>
        <v>内部装修</v>
      </c>
      <c r="R42" s="1308" t="s">
        <v>8</v>
      </c>
      <c r="S42" s="1309">
        <f t="shared" si="9"/>
        <v>100</v>
      </c>
      <c r="T42" s="1308" t="s">
        <v>8</v>
      </c>
      <c r="U42" s="1309">
        <f t="shared" si="10"/>
        <v>100</v>
      </c>
      <c r="V42" s="1308" t="s">
        <v>8</v>
      </c>
      <c r="W42" s="1309">
        <f t="shared" si="11"/>
        <v>100</v>
      </c>
      <c r="X42" s="1303"/>
      <c r="Y42" s="3730"/>
      <c r="Z42" s="1310" t="str">
        <f t="shared" si="12"/>
        <v>内部装修</v>
      </c>
      <c r="AA42" s="1310">
        <f t="shared" si="3"/>
        <v>1</v>
      </c>
      <c r="AB42" s="1310">
        <f t="shared" si="4"/>
        <v>1</v>
      </c>
      <c r="AC42" s="1310">
        <f t="shared" si="5"/>
        <v>1</v>
      </c>
    </row>
    <row r="43" spans="1:29" ht="27">
      <c r="A43" s="543"/>
      <c r="B43" s="477" t="s">
        <v>680</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730"/>
      <c r="Q43" s="1307" t="str">
        <f t="shared" si="8"/>
        <v>内部装修维护情况</v>
      </c>
      <c r="R43" s="1308" t="s">
        <v>8</v>
      </c>
      <c r="S43" s="1309">
        <f t="shared" si="9"/>
        <v>100</v>
      </c>
      <c r="T43" s="1308" t="s">
        <v>8</v>
      </c>
      <c r="U43" s="1309">
        <f t="shared" si="10"/>
        <v>100</v>
      </c>
      <c r="V43" s="1308" t="s">
        <v>8</v>
      </c>
      <c r="W43" s="1309">
        <f t="shared" si="11"/>
        <v>100</v>
      </c>
      <c r="X43" s="1303"/>
      <c r="Y43" s="3730"/>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730"/>
      <c r="Q44" s="818">
        <f t="shared" si="8"/>
        <v>111</v>
      </c>
      <c r="R44" s="1304" t="s">
        <v>8</v>
      </c>
      <c r="S44" s="1305">
        <f t="shared" si="9"/>
        <v>100</v>
      </c>
      <c r="T44" s="1304" t="s">
        <v>8</v>
      </c>
      <c r="U44" s="1305">
        <f t="shared" si="10"/>
        <v>100</v>
      </c>
      <c r="V44" s="1304" t="s">
        <v>8</v>
      </c>
      <c r="W44" s="1305">
        <f t="shared" si="11"/>
        <v>100</v>
      </c>
      <c r="X44" s="1306"/>
      <c r="Y44" s="373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730"/>
      <c r="Q45" s="1307">
        <f t="shared" si="8"/>
        <v>111</v>
      </c>
      <c r="R45" s="1308" t="s">
        <v>8</v>
      </c>
      <c r="S45" s="1309">
        <f t="shared" si="9"/>
        <v>100</v>
      </c>
      <c r="T45" s="1308" t="s">
        <v>8</v>
      </c>
      <c r="U45" s="1309">
        <f t="shared" si="10"/>
        <v>100</v>
      </c>
      <c r="V45" s="1308" t="s">
        <v>8</v>
      </c>
      <c r="W45" s="1309">
        <f t="shared" si="11"/>
        <v>100</v>
      </c>
      <c r="X45" s="1303"/>
      <c r="Y45" s="3730"/>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849"/>
      <c r="Q46" s="1307">
        <f t="shared" si="8"/>
        <v>111</v>
      </c>
      <c r="R46" s="1308" t="s">
        <v>7</v>
      </c>
      <c r="S46" s="1309">
        <f t="shared" si="9"/>
        <v>100</v>
      </c>
      <c r="T46" s="1308" t="s">
        <v>7</v>
      </c>
      <c r="U46" s="1309">
        <f t="shared" si="10"/>
        <v>100</v>
      </c>
      <c r="V46" s="1308" t="s">
        <v>7</v>
      </c>
      <c r="W46" s="1309">
        <f t="shared" si="11"/>
        <v>100</v>
      </c>
      <c r="X46" s="1303"/>
      <c r="Y46" s="3849"/>
      <c r="Z46" s="1310">
        <f t="shared" si="12"/>
        <v>111</v>
      </c>
      <c r="AA46" s="1310">
        <f t="shared" si="3"/>
        <v>1</v>
      </c>
      <c r="AB46" s="1310">
        <f t="shared" si="4"/>
        <v>1</v>
      </c>
      <c r="AC46" s="1310">
        <f t="shared" si="5"/>
        <v>1</v>
      </c>
    </row>
    <row r="47" spans="1:29" ht="15">
      <c r="A47" s="556" t="s">
        <v>681</v>
      </c>
      <c r="B47" s="812"/>
      <c r="C47" s="2082" t="s">
        <v>6</v>
      </c>
      <c r="D47" s="559"/>
      <c r="E47" s="560"/>
      <c r="F47" s="561"/>
      <c r="G47" s="562"/>
      <c r="H47" s="563"/>
      <c r="I47" s="560"/>
      <c r="J47" s="563"/>
      <c r="K47" s="1332"/>
      <c r="L47" s="1752"/>
      <c r="M47" s="1743"/>
      <c r="N47" s="1743"/>
      <c r="O47" s="1743"/>
      <c r="P47" s="3725" t="str">
        <f>A47</f>
        <v>成交单价（元/平方米）</v>
      </c>
      <c r="Q47" s="3725"/>
      <c r="R47" s="3741">
        <f>E47</f>
        <v>0</v>
      </c>
      <c r="S47" s="3741"/>
      <c r="T47" s="3741">
        <f>G47</f>
        <v>0</v>
      </c>
      <c r="U47" s="3741"/>
      <c r="V47" s="3741">
        <f>I47</f>
        <v>0</v>
      </c>
      <c r="W47" s="3741"/>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25" t="str">
        <f>A48</f>
        <v>比较价格（元/平方米）</v>
      </c>
      <c r="Q48" s="3725"/>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799"/>
      <c r="Y48" s="799"/>
      <c r="Z48" s="799"/>
      <c r="AA48" s="799"/>
      <c r="AB48" s="799"/>
      <c r="AC48" s="799"/>
    </row>
    <row r="49" spans="1:29" ht="15.75" thickBot="1">
      <c r="A49" s="568" t="s">
        <v>2195</v>
      </c>
      <c r="B49" s="569"/>
      <c r="C49" s="469" t="e">
        <f>R49</f>
        <v>#DIV/0!</v>
      </c>
      <c r="D49" s="469"/>
      <c r="E49" s="469"/>
      <c r="F49" s="469"/>
      <c r="G49" s="469"/>
      <c r="H49" s="469"/>
      <c r="I49" s="469"/>
      <c r="J49" s="469"/>
      <c r="K49" s="1333"/>
      <c r="L49" s="1752"/>
      <c r="M49" s="1743"/>
      <c r="N49" s="1743"/>
      <c r="O49" s="1743"/>
      <c r="P49" s="3731" t="str">
        <f>A49</f>
        <v>估价对象XX用房的比较价格（楼面单价，元/平方米）</v>
      </c>
      <c r="Q49" s="3732"/>
      <c r="R49" s="3848" t="e">
        <f>IF(F1="售价",ROUND(IF(D48="简单平均",AVERAGE(R48:V48),R48*F48+T48*H48+V48*J48),0),ROUND(IF(D48="简单平均",AVERAGE(R48:V48),R48*F48+T48*H48+V48*J48),1))</f>
        <v>#DIV/0!</v>
      </c>
      <c r="S49" s="3848"/>
      <c r="T49" s="3848"/>
      <c r="U49" s="3848"/>
      <c r="V49" s="3848"/>
      <c r="W49" s="3848"/>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6"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1614</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684</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685</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688</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689</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690</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1837</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692</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678</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1615</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1616</v>
      </c>
      <c r="C137" s="1579"/>
      <c r="D137" s="1579"/>
      <c r="E137" s="1579"/>
      <c r="F137" s="1579"/>
      <c r="G137" s="1580"/>
      <c r="H137" s="1581"/>
      <c r="I137" s="1582" t="s">
        <v>1617</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1618</v>
      </c>
      <c r="D138" s="1585" t="s">
        <v>1619</v>
      </c>
      <c r="E138" s="1586" t="s">
        <v>1620</v>
      </c>
      <c r="F138" s="1587" t="s">
        <v>1621</v>
      </c>
      <c r="G138" s="1585" t="s">
        <v>1622</v>
      </c>
      <c r="H138" s="1588" t="s">
        <v>1623</v>
      </c>
      <c r="I138" s="1589"/>
      <c r="J138" s="1585" t="s">
        <v>1624</v>
      </c>
      <c r="K138" s="1588" t="s">
        <v>1625</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1626</v>
      </c>
      <c r="E139" s="1559">
        <v>100</v>
      </c>
      <c r="F139" s="1560">
        <v>102.5</v>
      </c>
      <c r="G139" s="1590" t="s">
        <v>1627</v>
      </c>
      <c r="H139" s="1561">
        <v>105</v>
      </c>
      <c r="I139" s="1591" t="s">
        <v>1628</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1629</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1630</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1631</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1632</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1633</v>
      </c>
      <c r="E144" s="1565">
        <v>102</v>
      </c>
      <c r="F144" s="1571">
        <v>100</v>
      </c>
      <c r="G144" s="1594" t="s">
        <v>1633</v>
      </c>
      <c r="H144" s="1567">
        <v>105</v>
      </c>
      <c r="I144" s="1593" t="s">
        <v>1632</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1634</v>
      </c>
      <c r="C145" s="1572">
        <f>ROUND(MAX(C139:C144)/MIN(C139:C144)-1,3)</f>
        <v>7.2999999999999995E-2</v>
      </c>
      <c r="D145" s="1596"/>
      <c r="E145" s="1596"/>
      <c r="F145" s="1597" t="s">
        <v>1635</v>
      </c>
      <c r="G145" s="1598"/>
      <c r="H145" s="1599"/>
      <c r="I145" s="1600" t="s">
        <v>1632</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1643</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1644</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695</v>
      </c>
      <c r="C1" s="455" t="s">
        <v>665</v>
      </c>
      <c r="D1" s="1934"/>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C49</f>
        <v>#DIV/0!</v>
      </c>
      <c r="C3" s="786" t="s">
        <v>667</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41"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41"/>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41"/>
      <c r="AC6" s="3716"/>
    </row>
    <row r="7" spans="1:29" s="1060" customFormat="1" ht="15.75" thickBot="1">
      <c r="A7" s="2210"/>
      <c r="B7" s="2217" t="s">
        <v>476</v>
      </c>
      <c r="C7" s="470">
        <f>'数据-取费表'!B2</f>
        <v>41863</v>
      </c>
      <c r="D7" s="471">
        <v>100</v>
      </c>
      <c r="E7" s="472"/>
      <c r="F7" s="473">
        <f>SUMIF(58:58,YEAR(E7)&amp;"-"&amp;MONTH(E7),59:59)</f>
        <v>0</v>
      </c>
      <c r="G7" s="472"/>
      <c r="H7" s="471">
        <f>SUMIF(58:58,YEAR(G7)&amp;"-"&amp;MONTH(G7),59:59)</f>
        <v>0</v>
      </c>
      <c r="I7" s="472"/>
      <c r="J7" s="471">
        <f>SUMIF(58:58,YEAR(I7)&amp;"-"&amp;MONTH(I7),59:59)</f>
        <v>0</v>
      </c>
      <c r="K7" s="88"/>
      <c r="L7" s="1744"/>
      <c r="M7" s="1641"/>
      <c r="N7" s="1641"/>
      <c r="O7" s="1641"/>
      <c r="P7" s="3717"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71.25">
      <c r="A15" s="2208" t="s">
        <v>2034</v>
      </c>
      <c r="B15" s="150" t="s">
        <v>488</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727" t="s">
        <v>487</v>
      </c>
      <c r="Q15" s="1307" t="str">
        <f t="shared" si="6"/>
        <v>商业繁华度</v>
      </c>
      <c r="R15" s="1308" t="s">
        <v>5</v>
      </c>
      <c r="S15" s="1309">
        <f t="shared" si="0"/>
        <v>100</v>
      </c>
      <c r="T15" s="1308" t="s">
        <v>5</v>
      </c>
      <c r="U15" s="1309">
        <f t="shared" si="1"/>
        <v>100</v>
      </c>
      <c r="V15" s="1308" t="s">
        <v>5</v>
      </c>
      <c r="W15" s="1309">
        <f t="shared" si="2"/>
        <v>100</v>
      </c>
      <c r="X15" s="1303"/>
      <c r="Y15" s="3727" t="s">
        <v>487</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28"/>
      <c r="Q16" s="1307"/>
      <c r="R16" s="1308"/>
      <c r="S16" s="1309"/>
      <c r="T16" s="1308"/>
      <c r="U16" s="1309"/>
      <c r="V16" s="1308"/>
      <c r="W16" s="1309"/>
      <c r="X16" s="1303"/>
      <c r="Y16" s="3728"/>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728"/>
      <c r="Q22" s="1307"/>
      <c r="R22" s="1308"/>
      <c r="S22" s="1309"/>
      <c r="T22" s="1308"/>
      <c r="U22" s="1309"/>
      <c r="V22" s="1308"/>
      <c r="W22" s="1309"/>
      <c r="X22" s="1303"/>
      <c r="Y22" s="3728"/>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728"/>
      <c r="Q23" s="1307" t="str">
        <f>B23</f>
        <v>自然及人文环境</v>
      </c>
      <c r="R23" s="1308" t="s">
        <v>5</v>
      </c>
      <c r="S23" s="1309">
        <f>F23</f>
        <v>100</v>
      </c>
      <c r="T23" s="1308" t="s">
        <v>5</v>
      </c>
      <c r="U23" s="1309">
        <f>H23</f>
        <v>100</v>
      </c>
      <c r="V23" s="1308" t="s">
        <v>5</v>
      </c>
      <c r="W23" s="1309">
        <f>J23</f>
        <v>100</v>
      </c>
      <c r="X23" s="1303"/>
      <c r="Y23" s="3728"/>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82"/>
      <c r="B25" s="477" t="s">
        <v>494</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728"/>
      <c r="Q25" s="1307" t="str">
        <f t="shared" ref="Q25:Q46" si="8">B25</f>
        <v>临街状况</v>
      </c>
      <c r="R25" s="1308" t="s">
        <v>5</v>
      </c>
      <c r="S25" s="1309">
        <f>F25</f>
        <v>100</v>
      </c>
      <c r="T25" s="1308" t="s">
        <v>5</v>
      </c>
      <c r="U25" s="1309">
        <f>H25</f>
        <v>100</v>
      </c>
      <c r="V25" s="1308" t="s">
        <v>5</v>
      </c>
      <c r="W25" s="1309">
        <f>J25</f>
        <v>100</v>
      </c>
      <c r="X25" s="1303"/>
      <c r="Y25" s="3728"/>
      <c r="Z25" s="1310" t="str">
        <f>Q25</f>
        <v>临街状况</v>
      </c>
      <c r="AA25" s="1310">
        <f t="shared" si="3"/>
        <v>1</v>
      </c>
      <c r="AB25" s="1310">
        <f t="shared" si="4"/>
        <v>1</v>
      </c>
      <c r="AC25" s="1310">
        <f t="shared" si="5"/>
        <v>1</v>
      </c>
    </row>
    <row r="26" spans="1:29" ht="15">
      <c r="A26" s="482"/>
      <c r="B26" s="91" t="s">
        <v>696</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728"/>
      <c r="Q26" s="1307" t="str">
        <f t="shared" si="8"/>
        <v>平面位置/可视性</v>
      </c>
      <c r="R26" s="1308" t="s">
        <v>5</v>
      </c>
      <c r="S26" s="1309">
        <f>F26</f>
        <v>100</v>
      </c>
      <c r="T26" s="1308" t="s">
        <v>5</v>
      </c>
      <c r="U26" s="1309">
        <f>H26</f>
        <v>100</v>
      </c>
      <c r="V26" s="1308" t="s">
        <v>5</v>
      </c>
      <c r="W26" s="1309">
        <f>J26</f>
        <v>100</v>
      </c>
      <c r="X26" s="1303"/>
      <c r="Y26" s="3728"/>
      <c r="Z26" s="1310" t="str">
        <f>Q26</f>
        <v>平面位置/可视性</v>
      </c>
      <c r="AA26" s="1310">
        <f t="shared" si="3"/>
        <v>1</v>
      </c>
      <c r="AB26" s="1310">
        <f t="shared" si="4"/>
        <v>1</v>
      </c>
      <c r="AC26" s="1310">
        <f t="shared" si="5"/>
        <v>1</v>
      </c>
    </row>
    <row r="27" spans="1:29" s="1060" customFormat="1" ht="15">
      <c r="A27" s="486"/>
      <c r="B27" s="677" t="s">
        <v>697</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728"/>
      <c r="Q27" s="818" t="str">
        <f t="shared" si="8"/>
        <v>人流量</v>
      </c>
      <c r="R27" s="1304" t="s">
        <v>5</v>
      </c>
      <c r="S27" s="1305">
        <f>F27</f>
        <v>100</v>
      </c>
      <c r="T27" s="1304" t="s">
        <v>5</v>
      </c>
      <c r="U27" s="1305">
        <f>H27</f>
        <v>100</v>
      </c>
      <c r="V27" s="1304" t="s">
        <v>5</v>
      </c>
      <c r="W27" s="1305">
        <f>J27</f>
        <v>100</v>
      </c>
      <c r="X27" s="1306"/>
      <c r="Y27" s="3728"/>
      <c r="Z27" s="997" t="str">
        <f>Q27</f>
        <v>人流量</v>
      </c>
      <c r="AA27" s="1310">
        <f>D27/F27</f>
        <v>1</v>
      </c>
      <c r="AB27" s="1310">
        <f>D27/H27</f>
        <v>1</v>
      </c>
      <c r="AC27" s="1310">
        <f>D27/J27</f>
        <v>1</v>
      </c>
    </row>
    <row r="28" spans="1:29" ht="15">
      <c r="A28" s="482"/>
      <c r="B28" s="477" t="s">
        <v>699</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728"/>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728"/>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728"/>
      <c r="Q29" s="1307">
        <f t="shared" si="8"/>
        <v>111</v>
      </c>
      <c r="R29" s="1308" t="s">
        <v>5</v>
      </c>
      <c r="S29" s="1309">
        <f t="shared" si="9"/>
        <v>100</v>
      </c>
      <c r="T29" s="1308" t="s">
        <v>5</v>
      </c>
      <c r="U29" s="1309">
        <f t="shared" si="10"/>
        <v>100</v>
      </c>
      <c r="V29" s="1308" t="s">
        <v>5</v>
      </c>
      <c r="W29" s="1309">
        <f t="shared" si="11"/>
        <v>100</v>
      </c>
      <c r="X29" s="1303"/>
      <c r="Y29" s="3728"/>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728"/>
      <c r="Q30" s="1307">
        <f t="shared" si="8"/>
        <v>111</v>
      </c>
      <c r="R30" s="1308" t="s">
        <v>5</v>
      </c>
      <c r="S30" s="1309">
        <f t="shared" si="9"/>
        <v>100</v>
      </c>
      <c r="T30" s="1308" t="s">
        <v>5</v>
      </c>
      <c r="U30" s="1309">
        <f t="shared" si="10"/>
        <v>100</v>
      </c>
      <c r="V30" s="1308" t="s">
        <v>5</v>
      </c>
      <c r="W30" s="1309">
        <f t="shared" si="11"/>
        <v>100</v>
      </c>
      <c r="X30" s="1303"/>
      <c r="Y30" s="3728"/>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728"/>
      <c r="Q31" s="1307">
        <f t="shared" si="8"/>
        <v>111</v>
      </c>
      <c r="R31" s="1308" t="s">
        <v>5</v>
      </c>
      <c r="S31" s="1309">
        <f t="shared" si="9"/>
        <v>100</v>
      </c>
      <c r="T31" s="1308" t="s">
        <v>5</v>
      </c>
      <c r="U31" s="1309">
        <f t="shared" si="10"/>
        <v>100</v>
      </c>
      <c r="V31" s="1308" t="s">
        <v>5</v>
      </c>
      <c r="W31" s="1309">
        <f t="shared" si="11"/>
        <v>100</v>
      </c>
      <c r="X31" s="1303"/>
      <c r="Y31" s="3728"/>
      <c r="Z31" s="1310">
        <f t="shared" si="12"/>
        <v>111</v>
      </c>
      <c r="AA31" s="1310">
        <f t="shared" si="3"/>
        <v>1</v>
      </c>
      <c r="AB31" s="1310">
        <f t="shared" si="4"/>
        <v>1</v>
      </c>
      <c r="AC31" s="1310">
        <f t="shared" si="5"/>
        <v>1</v>
      </c>
    </row>
    <row r="32" spans="1:29" ht="15">
      <c r="A32" s="2205" t="s">
        <v>2035</v>
      </c>
      <c r="B32" s="156" t="s">
        <v>700</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729" t="s">
        <v>497</v>
      </c>
      <c r="Q32" s="1307" t="str">
        <f t="shared" si="8"/>
        <v>商业类型</v>
      </c>
      <c r="R32" s="1308" t="s">
        <v>5</v>
      </c>
      <c r="S32" s="1309">
        <f t="shared" si="9"/>
        <v>100</v>
      </c>
      <c r="T32" s="1308" t="s">
        <v>5</v>
      </c>
      <c r="U32" s="1309">
        <f t="shared" si="10"/>
        <v>100</v>
      </c>
      <c r="V32" s="1308" t="s">
        <v>5</v>
      </c>
      <c r="W32" s="1309">
        <f t="shared" si="11"/>
        <v>100</v>
      </c>
      <c r="X32" s="1303"/>
      <c r="Y32" s="3730" t="s">
        <v>497</v>
      </c>
      <c r="Z32" s="1310" t="str">
        <f t="shared" si="12"/>
        <v>商业类型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730"/>
      <c r="Q33" s="819" t="str">
        <f t="shared" si="8"/>
        <v>项目建筑规模</v>
      </c>
      <c r="R33" s="1311" t="s">
        <v>5</v>
      </c>
      <c r="S33" s="1312" t="e">
        <f t="shared" si="9"/>
        <v>#N/A</v>
      </c>
      <c r="T33" s="1311" t="s">
        <v>5</v>
      </c>
      <c r="U33" s="1312" t="e">
        <f t="shared" si="10"/>
        <v>#N/A</v>
      </c>
      <c r="V33" s="1311" t="s">
        <v>5</v>
      </c>
      <c r="W33" s="1312" t="e">
        <f t="shared" si="11"/>
        <v>#N/A</v>
      </c>
      <c r="X33" s="1313"/>
      <c r="Y33" s="3730"/>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730"/>
      <c r="Q34" s="1307" t="str">
        <f t="shared" si="8"/>
        <v>建筑结构</v>
      </c>
      <c r="R34" s="1308" t="s">
        <v>5</v>
      </c>
      <c r="S34" s="1309">
        <f t="shared" si="9"/>
        <v>100</v>
      </c>
      <c r="T34" s="1308" t="s">
        <v>5</v>
      </c>
      <c r="U34" s="1309">
        <f t="shared" si="10"/>
        <v>100</v>
      </c>
      <c r="V34" s="1308" t="s">
        <v>5</v>
      </c>
      <c r="W34" s="1309">
        <f t="shared" si="11"/>
        <v>100</v>
      </c>
      <c r="X34" s="1303"/>
      <c r="Y34" s="3730"/>
      <c r="Z34" s="1310" t="str">
        <f t="shared" si="12"/>
        <v>建筑结构</v>
      </c>
      <c r="AA34" s="1310">
        <f t="shared" si="3"/>
        <v>1</v>
      </c>
      <c r="AB34" s="1310">
        <f t="shared" si="4"/>
        <v>1</v>
      </c>
      <c r="AC34" s="1310">
        <f t="shared" si="5"/>
        <v>1</v>
      </c>
    </row>
    <row r="35" spans="1:29" ht="15">
      <c r="A35" s="543"/>
      <c r="B35" s="477" t="s">
        <v>701</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730"/>
      <c r="Q35" s="1307" t="str">
        <f t="shared" si="8"/>
        <v>公共部分装修</v>
      </c>
      <c r="R35" s="1308" t="s">
        <v>5</v>
      </c>
      <c r="S35" s="1309">
        <f t="shared" si="9"/>
        <v>100</v>
      </c>
      <c r="T35" s="1308" t="s">
        <v>5</v>
      </c>
      <c r="U35" s="1309">
        <f t="shared" si="10"/>
        <v>100</v>
      </c>
      <c r="V35" s="1308" t="s">
        <v>5</v>
      </c>
      <c r="W35" s="1309">
        <f t="shared" si="11"/>
        <v>100</v>
      </c>
      <c r="X35" s="1303"/>
      <c r="Y35" s="3730"/>
      <c r="Z35" s="1310" t="str">
        <f t="shared" si="12"/>
        <v>公共部分装修</v>
      </c>
      <c r="AA35" s="1310">
        <f t="shared" si="3"/>
        <v>1</v>
      </c>
      <c r="AB35" s="1310">
        <f t="shared" si="4"/>
        <v>1</v>
      </c>
      <c r="AC35" s="1310">
        <f t="shared" si="5"/>
        <v>1</v>
      </c>
    </row>
    <row r="36" spans="1:29" ht="15">
      <c r="A36" s="543"/>
      <c r="B36" s="477" t="s">
        <v>702</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730"/>
      <c r="Q36" s="1307" t="str">
        <f t="shared" si="8"/>
        <v>成新度</v>
      </c>
      <c r="R36" s="1308" t="s">
        <v>5</v>
      </c>
      <c r="S36" s="1309" t="e">
        <f t="shared" si="9"/>
        <v>#N/A</v>
      </c>
      <c r="T36" s="1308" t="s">
        <v>5</v>
      </c>
      <c r="U36" s="1309" t="e">
        <f t="shared" si="10"/>
        <v>#N/A</v>
      </c>
      <c r="V36" s="1308" t="s">
        <v>5</v>
      </c>
      <c r="W36" s="1309" t="e">
        <f t="shared" si="11"/>
        <v>#N/A</v>
      </c>
      <c r="X36" s="1303"/>
      <c r="Y36" s="3730"/>
      <c r="Z36" s="1310" t="str">
        <f t="shared" si="12"/>
        <v>成新度</v>
      </c>
      <c r="AA36" s="1310" t="e">
        <f t="shared" si="3"/>
        <v>#N/A</v>
      </c>
      <c r="AB36" s="1310" t="e">
        <f t="shared" si="4"/>
        <v>#N/A</v>
      </c>
      <c r="AC36" s="1310" t="e">
        <f t="shared" si="5"/>
        <v>#N/A</v>
      </c>
    </row>
    <row r="37" spans="1:29" s="1060" customFormat="1" ht="15">
      <c r="A37" s="549"/>
      <c r="B37" s="1555"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730"/>
      <c r="Q37" s="818" t="str">
        <f t="shared" si="8"/>
        <v>市政基础设施</v>
      </c>
      <c r="R37" s="1304" t="s">
        <v>5</v>
      </c>
      <c r="S37" s="1305">
        <f t="shared" si="9"/>
        <v>100</v>
      </c>
      <c r="T37" s="1304" t="s">
        <v>5</v>
      </c>
      <c r="U37" s="1305">
        <f t="shared" si="10"/>
        <v>100</v>
      </c>
      <c r="V37" s="1304" t="s">
        <v>5</v>
      </c>
      <c r="W37" s="1305">
        <f t="shared" si="11"/>
        <v>100</v>
      </c>
      <c r="X37" s="1306"/>
      <c r="Y37" s="3730"/>
      <c r="Z37" s="997" t="str">
        <f t="shared" si="12"/>
        <v>市政基础设施</v>
      </c>
      <c r="AA37" s="997">
        <f t="shared" si="3"/>
        <v>1</v>
      </c>
      <c r="AB37" s="997">
        <f t="shared" si="4"/>
        <v>1</v>
      </c>
      <c r="AC37" s="997">
        <f t="shared" si="5"/>
        <v>1</v>
      </c>
    </row>
    <row r="38" spans="1:29" ht="15">
      <c r="A38" s="543"/>
      <c r="B38" s="477" t="s">
        <v>703</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730" t="s">
        <v>704</v>
      </c>
      <c r="Q38" s="1307" t="str">
        <f t="shared" si="8"/>
        <v>业态</v>
      </c>
      <c r="R38" s="1308" t="s">
        <v>5</v>
      </c>
      <c r="S38" s="1309">
        <f t="shared" si="9"/>
        <v>100</v>
      </c>
      <c r="T38" s="1308" t="s">
        <v>5</v>
      </c>
      <c r="U38" s="1309">
        <f t="shared" si="10"/>
        <v>100</v>
      </c>
      <c r="V38" s="1308" t="s">
        <v>5</v>
      </c>
      <c r="W38" s="1309">
        <f t="shared" si="11"/>
        <v>100</v>
      </c>
      <c r="X38" s="1303"/>
      <c r="Y38" s="3730" t="s">
        <v>704</v>
      </c>
      <c r="Z38" s="1310" t="str">
        <f t="shared" si="12"/>
        <v>业态</v>
      </c>
      <c r="AA38" s="1310">
        <f t="shared" si="3"/>
        <v>1</v>
      </c>
      <c r="AB38" s="1310">
        <f t="shared" si="4"/>
        <v>1</v>
      </c>
      <c r="AC38" s="1310">
        <f t="shared" si="5"/>
        <v>1</v>
      </c>
    </row>
    <row r="39" spans="1:29" ht="15">
      <c r="A39" s="543"/>
      <c r="B39" s="477" t="s">
        <v>705</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730"/>
      <c r="Q39" s="1307" t="str">
        <f t="shared" si="8"/>
        <v>层高</v>
      </c>
      <c r="R39" s="1308" t="s">
        <v>5</v>
      </c>
      <c r="S39" s="1309">
        <f t="shared" si="9"/>
        <v>100</v>
      </c>
      <c r="T39" s="1308" t="s">
        <v>5</v>
      </c>
      <c r="U39" s="1309">
        <f t="shared" si="10"/>
        <v>100</v>
      </c>
      <c r="V39" s="1308" t="s">
        <v>5</v>
      </c>
      <c r="W39" s="1309">
        <f t="shared" si="11"/>
        <v>100</v>
      </c>
      <c r="X39" s="1303"/>
      <c r="Y39" s="3730"/>
      <c r="Z39" s="1310" t="str">
        <f t="shared" si="12"/>
        <v>层高</v>
      </c>
      <c r="AA39" s="1310">
        <f t="shared" si="3"/>
        <v>1</v>
      </c>
      <c r="AB39" s="1310">
        <f t="shared" si="4"/>
        <v>1</v>
      </c>
      <c r="AC39" s="1310">
        <f t="shared" si="5"/>
        <v>1</v>
      </c>
    </row>
    <row r="40" spans="1:29" ht="15">
      <c r="A40" s="543"/>
      <c r="B40" s="477" t="s">
        <v>706</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730"/>
      <c r="Q40" s="1307" t="str">
        <f t="shared" si="8"/>
        <v>单套建筑面积</v>
      </c>
      <c r="R40" s="1308" t="s">
        <v>5</v>
      </c>
      <c r="S40" s="1309">
        <f t="shared" si="9"/>
        <v>100</v>
      </c>
      <c r="T40" s="1308" t="s">
        <v>5</v>
      </c>
      <c r="U40" s="1309">
        <f t="shared" si="10"/>
        <v>100</v>
      </c>
      <c r="V40" s="1308" t="s">
        <v>5</v>
      </c>
      <c r="W40" s="1309">
        <f t="shared" si="11"/>
        <v>100</v>
      </c>
      <c r="X40" s="1303"/>
      <c r="Y40" s="3730"/>
      <c r="Z40" s="1310" t="str">
        <f t="shared" si="12"/>
        <v>单套建筑面积</v>
      </c>
      <c r="AA40" s="1310">
        <f t="shared" si="3"/>
        <v>1</v>
      </c>
      <c r="AB40" s="1310">
        <f t="shared" si="4"/>
        <v>1</v>
      </c>
      <c r="AC40" s="1310">
        <f t="shared" si="5"/>
        <v>1</v>
      </c>
    </row>
    <row r="41" spans="1:29" s="1134" customFormat="1" ht="15">
      <c r="A41" s="552"/>
      <c r="B41" s="525" t="s">
        <v>707</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730"/>
      <c r="Q41" s="819" t="str">
        <f t="shared" si="8"/>
        <v>进深比</v>
      </c>
      <c r="R41" s="1311" t="s">
        <v>5</v>
      </c>
      <c r="S41" s="1312">
        <f t="shared" si="9"/>
        <v>100</v>
      </c>
      <c r="T41" s="1311" t="s">
        <v>5</v>
      </c>
      <c r="U41" s="1312">
        <f t="shared" si="10"/>
        <v>100</v>
      </c>
      <c r="V41" s="1311" t="s">
        <v>5</v>
      </c>
      <c r="W41" s="1312">
        <f t="shared" si="11"/>
        <v>100</v>
      </c>
      <c r="X41" s="1313"/>
      <c r="Y41" s="3730"/>
      <c r="Z41" s="1314" t="str">
        <f t="shared" si="12"/>
        <v>进深比</v>
      </c>
      <c r="AA41" s="1310">
        <f t="shared" si="3"/>
        <v>1</v>
      </c>
      <c r="AB41" s="1310">
        <f t="shared" si="4"/>
        <v>1</v>
      </c>
      <c r="AC41" s="1310">
        <f t="shared" si="5"/>
        <v>1</v>
      </c>
    </row>
    <row r="42" spans="1:29" ht="15">
      <c r="A42" s="543"/>
      <c r="B42" s="477" t="s">
        <v>708</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730"/>
      <c r="Q42" s="1307" t="str">
        <f t="shared" si="8"/>
        <v>内部装修</v>
      </c>
      <c r="R42" s="1308" t="s">
        <v>5</v>
      </c>
      <c r="S42" s="1309">
        <f t="shared" si="9"/>
        <v>100</v>
      </c>
      <c r="T42" s="1308" t="s">
        <v>5</v>
      </c>
      <c r="U42" s="1309">
        <f t="shared" si="10"/>
        <v>100</v>
      </c>
      <c r="V42" s="1308" t="s">
        <v>5</v>
      </c>
      <c r="W42" s="1309">
        <f t="shared" si="11"/>
        <v>100</v>
      </c>
      <c r="X42" s="1303"/>
      <c r="Y42" s="3730"/>
      <c r="Z42" s="1310" t="str">
        <f t="shared" si="12"/>
        <v>内部装修</v>
      </c>
      <c r="AA42" s="1310">
        <f t="shared" si="3"/>
        <v>1</v>
      </c>
      <c r="AB42" s="1310">
        <f t="shared" si="4"/>
        <v>1</v>
      </c>
      <c r="AC42" s="1310">
        <f t="shared" si="5"/>
        <v>1</v>
      </c>
    </row>
    <row r="43" spans="1:29" ht="27">
      <c r="A43" s="543"/>
      <c r="B43" s="477" t="s">
        <v>680</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730"/>
      <c r="Q43" s="1307" t="str">
        <f t="shared" si="8"/>
        <v>内部装修维护情况</v>
      </c>
      <c r="R43" s="1308" t="s">
        <v>5</v>
      </c>
      <c r="S43" s="1309">
        <f t="shared" si="9"/>
        <v>100</v>
      </c>
      <c r="T43" s="1308" t="s">
        <v>5</v>
      </c>
      <c r="U43" s="1309">
        <f t="shared" si="10"/>
        <v>100</v>
      </c>
      <c r="V43" s="1308" t="s">
        <v>5</v>
      </c>
      <c r="W43" s="1309">
        <f t="shared" si="11"/>
        <v>100</v>
      </c>
      <c r="X43" s="1303"/>
      <c r="Y43" s="3730"/>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730"/>
      <c r="Q44" s="818">
        <f t="shared" si="8"/>
        <v>111</v>
      </c>
      <c r="R44" s="1304" t="s">
        <v>5</v>
      </c>
      <c r="S44" s="1305">
        <f t="shared" si="9"/>
        <v>100</v>
      </c>
      <c r="T44" s="1304" t="s">
        <v>5</v>
      </c>
      <c r="U44" s="1305">
        <f t="shared" si="10"/>
        <v>100</v>
      </c>
      <c r="V44" s="1304" t="s">
        <v>5</v>
      </c>
      <c r="W44" s="1305">
        <f t="shared" si="11"/>
        <v>100</v>
      </c>
      <c r="X44" s="1306"/>
      <c r="Y44" s="373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730"/>
      <c r="Q45" s="1307">
        <f t="shared" si="8"/>
        <v>111</v>
      </c>
      <c r="R45" s="1308" t="s">
        <v>5</v>
      </c>
      <c r="S45" s="1309">
        <f t="shared" si="9"/>
        <v>100</v>
      </c>
      <c r="T45" s="1308" t="s">
        <v>5</v>
      </c>
      <c r="U45" s="1309">
        <f t="shared" si="10"/>
        <v>100</v>
      </c>
      <c r="V45" s="1308" t="s">
        <v>5</v>
      </c>
      <c r="W45" s="1309">
        <f t="shared" si="11"/>
        <v>100</v>
      </c>
      <c r="X45" s="1303"/>
      <c r="Y45" s="3730"/>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849"/>
      <c r="Q46" s="1307">
        <f t="shared" si="8"/>
        <v>111</v>
      </c>
      <c r="R46" s="1308" t="s">
        <v>5</v>
      </c>
      <c r="S46" s="1309">
        <f t="shared" si="9"/>
        <v>100</v>
      </c>
      <c r="T46" s="1308" t="s">
        <v>5</v>
      </c>
      <c r="U46" s="1309">
        <f t="shared" si="10"/>
        <v>100</v>
      </c>
      <c r="V46" s="1308" t="s">
        <v>5</v>
      </c>
      <c r="W46" s="1309">
        <f t="shared" si="11"/>
        <v>100</v>
      </c>
      <c r="X46" s="1303"/>
      <c r="Y46" s="3849"/>
      <c r="Z46" s="1310">
        <f t="shared" si="12"/>
        <v>111</v>
      </c>
      <c r="AA46" s="1310">
        <f t="shared" si="3"/>
        <v>1</v>
      </c>
      <c r="AB46" s="1310">
        <f t="shared" si="4"/>
        <v>1</v>
      </c>
      <c r="AC46" s="1310">
        <f t="shared" si="5"/>
        <v>1</v>
      </c>
    </row>
    <row r="47" spans="1:29" ht="15">
      <c r="A47" s="556" t="s">
        <v>681</v>
      </c>
      <c r="B47" s="812"/>
      <c r="C47" s="2082" t="s">
        <v>0</v>
      </c>
      <c r="D47" s="559"/>
      <c r="E47" s="560"/>
      <c r="F47" s="561"/>
      <c r="G47" s="562"/>
      <c r="H47" s="563"/>
      <c r="I47" s="560"/>
      <c r="J47" s="563"/>
      <c r="K47" s="1336"/>
      <c r="L47" s="1752"/>
      <c r="M47" s="1743"/>
      <c r="N47" s="1743"/>
      <c r="O47" s="1743"/>
      <c r="P47" s="3725" t="str">
        <f>A47</f>
        <v>成交单价（元/平方米）</v>
      </c>
      <c r="Q47" s="3725"/>
      <c r="R47" s="3741">
        <f>E47</f>
        <v>0</v>
      </c>
      <c r="S47" s="3741"/>
      <c r="T47" s="3741">
        <f>G47</f>
        <v>0</v>
      </c>
      <c r="U47" s="3741"/>
      <c r="V47" s="3741">
        <f>I47</f>
        <v>0</v>
      </c>
      <c r="W47" s="3741"/>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25" t="str">
        <f>A48</f>
        <v>比较价格（元/平方米）</v>
      </c>
      <c r="Q48" s="3725"/>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799"/>
      <c r="Y48" s="799"/>
      <c r="Z48" s="799"/>
      <c r="AA48" s="799"/>
      <c r="AB48" s="799"/>
      <c r="AC48" s="799"/>
    </row>
    <row r="49" spans="1:29" ht="15.75" thickBot="1">
      <c r="A49" s="568" t="s">
        <v>2195</v>
      </c>
      <c r="B49" s="569"/>
      <c r="C49" s="469" t="e">
        <f>R49</f>
        <v>#DIV/0!</v>
      </c>
      <c r="D49" s="469"/>
      <c r="E49" s="469"/>
      <c r="F49" s="469"/>
      <c r="G49" s="469"/>
      <c r="H49" s="469"/>
      <c r="I49" s="469"/>
      <c r="J49" s="469"/>
      <c r="K49" s="1337"/>
      <c r="L49" s="1752"/>
      <c r="M49" s="1743"/>
      <c r="N49" s="1743"/>
      <c r="O49" s="1743"/>
      <c r="P49" s="3731" t="str">
        <f>A49</f>
        <v>估价对象XX用房的比较价格（楼面单价，元/平方米）</v>
      </c>
      <c r="Q49" s="3732"/>
      <c r="R49" s="3848" t="e">
        <f>IF(F1="售价",ROUND(IF(D48="简单平均",AVERAGE(R48:V48),R48*F48+T48*H48+V48*J48),0),ROUND(IF(D48="简单平均",AVERAGE(R48:V48),R48*F48+T48*H48+V48*J48),1))</f>
        <v>#DIV/0!</v>
      </c>
      <c r="S49" s="3848"/>
      <c r="T49" s="3848"/>
      <c r="U49" s="3848"/>
      <c r="V49" s="3848"/>
      <c r="W49" s="3848"/>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4"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709</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710</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689</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690</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1837</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712</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713</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714</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715</v>
      </c>
      <c r="C1" s="455" t="s">
        <v>665</v>
      </c>
      <c r="D1" s="783"/>
      <c r="E1" s="457"/>
      <c r="F1" s="2119"/>
      <c r="G1" s="1329" t="s">
        <v>666</v>
      </c>
      <c r="H1" s="457"/>
      <c r="I1" s="457"/>
      <c r="J1" s="457"/>
      <c r="K1" s="458"/>
      <c r="L1" s="2718"/>
      <c r="M1" s="2719"/>
      <c r="N1" s="2719"/>
      <c r="O1" s="2719"/>
      <c r="P1" s="2774"/>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2774"/>
      <c r="Q2" s="1741"/>
      <c r="R2" s="1741"/>
      <c r="S2" s="1741"/>
      <c r="T2" s="1741"/>
      <c r="U2" s="1741"/>
      <c r="V2" s="1741"/>
      <c r="W2" s="1741"/>
      <c r="X2" s="1741"/>
      <c r="Y2" s="1741"/>
      <c r="Z2" s="1741"/>
      <c r="AA2" s="1741"/>
      <c r="AB2" s="1741"/>
      <c r="AC2" s="1675"/>
    </row>
    <row r="3" spans="1:29" s="1131" customFormat="1" ht="28.5" customHeight="1" thickBot="1">
      <c r="A3" s="460" t="s">
        <v>466</v>
      </c>
      <c r="B3" s="461" t="e">
        <f>C50</f>
        <v>#DIV/0!</v>
      </c>
      <c r="C3" s="786" t="s">
        <v>667</v>
      </c>
      <c r="D3" s="785">
        <f>SUMIF('数据-汇总表'!$C19:$C33,D1,'数据-汇总表'!$E19:$E33)</f>
        <v>0</v>
      </c>
      <c r="E3" s="1675"/>
      <c r="F3" s="1738"/>
      <c r="G3" s="1737"/>
      <c r="H3" s="1737"/>
      <c r="I3" s="1737"/>
      <c r="J3" s="1737"/>
      <c r="K3" s="1739"/>
      <c r="L3" s="1740"/>
      <c r="M3" s="1741"/>
      <c r="N3" s="1741"/>
      <c r="O3" s="1741"/>
      <c r="P3" s="2774"/>
      <c r="Q3" s="1741"/>
      <c r="R3" s="1741"/>
      <c r="S3" s="1741"/>
      <c r="T3" s="1741"/>
      <c r="U3" s="1741"/>
      <c r="V3" s="1741"/>
      <c r="W3" s="1741"/>
      <c r="X3" s="1741"/>
      <c r="Y3" s="1741"/>
      <c r="Z3" s="1741"/>
      <c r="AA3" s="1741"/>
      <c r="AB3" s="1741"/>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850" t="s">
        <v>474</v>
      </c>
      <c r="Q4" s="3736"/>
      <c r="R4" s="3719" t="s">
        <v>470</v>
      </c>
      <c r="S4" s="3720"/>
      <c r="T4" s="3719" t="s">
        <v>471</v>
      </c>
      <c r="U4" s="3720"/>
      <c r="V4" s="3741" t="s">
        <v>472</v>
      </c>
      <c r="W4" s="3741"/>
      <c r="X4" s="1303"/>
      <c r="Y4" s="3719" t="s">
        <v>474</v>
      </c>
      <c r="Z4" s="3720"/>
      <c r="AA4" s="3714" t="s">
        <v>470</v>
      </c>
      <c r="AB4" s="3714"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851"/>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852"/>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SUMIF(59:59,YEAR(E7)&amp;"-"&amp;MONTH(E7),60:60)</f>
        <v>0</v>
      </c>
      <c r="G7" s="472"/>
      <c r="H7" s="471">
        <f>SUMIF(59:59,YEAR(G7)&amp;"-"&amp;MONTH(G7),60:60)</f>
        <v>0</v>
      </c>
      <c r="I7" s="472"/>
      <c r="J7" s="471">
        <f>SUMIF(59:59,YEAR(I7)&amp;"-"&amp;MONTH(I7),60:60)</f>
        <v>0</v>
      </c>
      <c r="K7" s="88"/>
      <c r="L7" s="1744"/>
      <c r="M7" s="1641"/>
      <c r="N7" s="1641"/>
      <c r="O7" s="1641"/>
      <c r="P7" s="3726"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726" t="s">
        <v>480</v>
      </c>
      <c r="Q8" s="3718"/>
      <c r="R8" s="1304" t="s">
        <v>5</v>
      </c>
      <c r="S8" s="1305">
        <f t="shared" si="0"/>
        <v>0</v>
      </c>
      <c r="T8" s="1304" t="s">
        <v>5</v>
      </c>
      <c r="U8" s="1305">
        <f t="shared" si="1"/>
        <v>0</v>
      </c>
      <c r="V8" s="1304" t="s">
        <v>5</v>
      </c>
      <c r="W8" s="1305">
        <f t="shared" si="2"/>
        <v>0</v>
      </c>
      <c r="X8" s="1306"/>
      <c r="Y8" s="3717" t="s">
        <v>480</v>
      </c>
      <c r="Z8" s="3718"/>
      <c r="AA8" s="997" t="e">
        <f t="shared" ref="AA8:AA47" si="3">D8/F8</f>
        <v>#DIV/0!</v>
      </c>
      <c r="AB8" s="997" t="e">
        <f t="shared" ref="AB8:AB47" si="4">D8/H8</f>
        <v>#DIV/0!</v>
      </c>
      <c r="AC8" s="997" t="e">
        <f t="shared" ref="AC8:AC47" si="5">D8/J8</f>
        <v>#DIV/0!</v>
      </c>
    </row>
    <row r="9" spans="1:29" s="1060" customFormat="1" ht="15">
      <c r="A9" s="2212"/>
      <c r="B9" s="2219" t="s">
        <v>2036</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71.25">
      <c r="A15" s="2208" t="s">
        <v>2034</v>
      </c>
      <c r="B15" s="497" t="s">
        <v>489</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727" t="s">
        <v>487</v>
      </c>
      <c r="Q15" s="1307" t="str">
        <f t="shared" si="6"/>
        <v>办公集聚程度</v>
      </c>
      <c r="R15" s="1308" t="s">
        <v>5</v>
      </c>
      <c r="S15" s="1309">
        <f t="shared" si="0"/>
        <v>100</v>
      </c>
      <c r="T15" s="1308" t="s">
        <v>5</v>
      </c>
      <c r="U15" s="1309">
        <f t="shared" si="1"/>
        <v>100</v>
      </c>
      <c r="V15" s="1308" t="s">
        <v>5</v>
      </c>
      <c r="W15" s="1309">
        <f t="shared" si="2"/>
        <v>100</v>
      </c>
      <c r="X15" s="1303"/>
      <c r="Y15" s="3727" t="s">
        <v>487</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728"/>
      <c r="Q16" s="1307"/>
      <c r="R16" s="1308"/>
      <c r="S16" s="1309"/>
      <c r="T16" s="1308"/>
      <c r="U16" s="1309"/>
      <c r="V16" s="1308"/>
      <c r="W16" s="1309"/>
      <c r="X16" s="1303"/>
      <c r="Y16" s="3728"/>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728"/>
      <c r="Q18" s="1307"/>
      <c r="R18" s="1308"/>
      <c r="S18" s="1309"/>
      <c r="T18" s="1308"/>
      <c r="U18" s="1309"/>
      <c r="V18" s="1308"/>
      <c r="W18" s="1309"/>
      <c r="X18" s="1303"/>
      <c r="Y18" s="3728"/>
      <c r="Z18" s="1310"/>
      <c r="AA18" s="1310">
        <v>1</v>
      </c>
      <c r="AB18" s="1310">
        <v>1</v>
      </c>
      <c r="AC18" s="1310">
        <v>1</v>
      </c>
    </row>
    <row r="19" spans="1:29" ht="42.75">
      <c r="A19" s="482"/>
      <c r="B19" s="2063" t="s">
        <v>1827</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728"/>
      <c r="Q20" s="1307"/>
      <c r="R20" s="1308"/>
      <c r="S20" s="1309"/>
      <c r="T20" s="1308"/>
      <c r="U20" s="1309"/>
      <c r="V20" s="1308"/>
      <c r="W20" s="1309"/>
      <c r="X20" s="1303"/>
      <c r="Y20" s="3728"/>
      <c r="Z20" s="1310"/>
      <c r="AA20" s="1310">
        <v>1</v>
      </c>
      <c r="AB20" s="1310">
        <v>1</v>
      </c>
      <c r="AC20" s="1310">
        <v>1</v>
      </c>
    </row>
    <row r="21" spans="1:29" ht="28.5">
      <c r="A21" s="482"/>
      <c r="B21" s="2051" t="s">
        <v>1839</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728"/>
      <c r="Q22" s="1307"/>
      <c r="R22" s="1308"/>
      <c r="S22" s="1309"/>
      <c r="T22" s="1308"/>
      <c r="U22" s="1309"/>
      <c r="V22" s="1308"/>
      <c r="W22" s="1309"/>
      <c r="X22" s="1303"/>
      <c r="Y22" s="3728"/>
      <c r="Z22" s="1310"/>
      <c r="AA22" s="1310">
        <v>1</v>
      </c>
      <c r="AB22" s="1310">
        <v>1</v>
      </c>
      <c r="AC22" s="1310">
        <v>1</v>
      </c>
    </row>
    <row r="23" spans="1:29" ht="57">
      <c r="A23" s="482"/>
      <c r="B23" s="510" t="s">
        <v>716</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728"/>
      <c r="Q23" s="1307" t="str">
        <f>B23</f>
        <v>环境质量</v>
      </c>
      <c r="R23" s="1308" t="s">
        <v>5</v>
      </c>
      <c r="S23" s="1309">
        <f>F23</f>
        <v>100</v>
      </c>
      <c r="T23" s="1308" t="s">
        <v>5</v>
      </c>
      <c r="U23" s="1309">
        <f>H23</f>
        <v>100</v>
      </c>
      <c r="V23" s="1308" t="s">
        <v>5</v>
      </c>
      <c r="W23" s="1309">
        <f>J23</f>
        <v>100</v>
      </c>
      <c r="X23" s="1303"/>
      <c r="Y23" s="3728"/>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728"/>
      <c r="Q24" s="1307"/>
      <c r="R24" s="1308"/>
      <c r="S24" s="1309"/>
      <c r="T24" s="1308"/>
      <c r="U24" s="1309"/>
      <c r="V24" s="1308"/>
      <c r="W24" s="1309"/>
      <c r="X24" s="1303"/>
      <c r="Y24" s="3728"/>
      <c r="Z24" s="1310"/>
      <c r="AA24" s="1310">
        <v>1</v>
      </c>
      <c r="AB24" s="1310">
        <v>1</v>
      </c>
      <c r="AC24" s="1310">
        <v>1</v>
      </c>
    </row>
    <row r="25" spans="1:29" ht="27">
      <c r="A25" s="466"/>
      <c r="B25" s="510" t="s">
        <v>495</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728"/>
      <c r="Q25" s="1307" t="str">
        <f>B25</f>
        <v>毗邻道路的类型与等级</v>
      </c>
      <c r="R25" s="1308" t="s">
        <v>5</v>
      </c>
      <c r="S25" s="1309">
        <f>F25</f>
        <v>100</v>
      </c>
      <c r="T25" s="1308" t="s">
        <v>5</v>
      </c>
      <c r="U25" s="1309">
        <f>H25</f>
        <v>100</v>
      </c>
      <c r="V25" s="1308" t="s">
        <v>5</v>
      </c>
      <c r="W25" s="1309">
        <f>J25</f>
        <v>100</v>
      </c>
      <c r="X25" s="1303"/>
      <c r="Y25" s="3728"/>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728"/>
      <c r="Q26" s="1307"/>
      <c r="R26" s="1308"/>
      <c r="S26" s="1309"/>
      <c r="T26" s="1308"/>
      <c r="U26" s="1309"/>
      <c r="V26" s="1308"/>
      <c r="W26" s="1309"/>
      <c r="X26" s="1303"/>
      <c r="Y26" s="3728"/>
      <c r="Z26" s="1310"/>
      <c r="AA26" s="1310">
        <v>1</v>
      </c>
      <c r="AB26" s="1310">
        <v>1</v>
      </c>
      <c r="AC26" s="1310">
        <v>1</v>
      </c>
    </row>
    <row r="27" spans="1:29" ht="15">
      <c r="A27" s="482"/>
      <c r="B27" s="516" t="s">
        <v>699</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728"/>
      <c r="Q27" s="1307" t="str">
        <f t="shared" ref="Q27:Q47" si="8">B27</f>
        <v>楼层</v>
      </c>
      <c r="R27" s="1308" t="s">
        <v>5</v>
      </c>
      <c r="S27" s="1309">
        <f>F27</f>
        <v>100</v>
      </c>
      <c r="T27" s="1308" t="s">
        <v>5</v>
      </c>
      <c r="U27" s="1309">
        <f>H27</f>
        <v>100</v>
      </c>
      <c r="V27" s="1308" t="s">
        <v>5</v>
      </c>
      <c r="W27" s="1309">
        <f>J27</f>
        <v>100</v>
      </c>
      <c r="X27" s="1303"/>
      <c r="Y27" s="3728"/>
      <c r="Z27" s="1310" t="str">
        <f>Q27</f>
        <v>楼层</v>
      </c>
      <c r="AA27" s="1310">
        <f t="shared" si="3"/>
        <v>1</v>
      </c>
      <c r="AB27" s="1310">
        <f t="shared" si="4"/>
        <v>1</v>
      </c>
      <c r="AC27" s="1310">
        <f t="shared" si="5"/>
        <v>1</v>
      </c>
    </row>
    <row r="28" spans="1:29" s="1060" customFormat="1" ht="15">
      <c r="A28" s="486"/>
      <c r="B28" s="510" t="s">
        <v>717</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728"/>
      <c r="Q28" s="818" t="str">
        <f t="shared" si="8"/>
        <v>朝向</v>
      </c>
      <c r="R28" s="1304" t="s">
        <v>5</v>
      </c>
      <c r="S28" s="1305">
        <f>F28</f>
        <v>100</v>
      </c>
      <c r="T28" s="1304" t="s">
        <v>5</v>
      </c>
      <c r="U28" s="1305">
        <f>H28</f>
        <v>100</v>
      </c>
      <c r="V28" s="1304" t="s">
        <v>5</v>
      </c>
      <c r="W28" s="1305">
        <f>J28</f>
        <v>100</v>
      </c>
      <c r="X28" s="1306"/>
      <c r="Y28" s="3728"/>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728"/>
      <c r="Q29" s="1307">
        <f t="shared" si="8"/>
        <v>111</v>
      </c>
      <c r="R29" s="1308" t="s">
        <v>5</v>
      </c>
      <c r="S29" s="1309">
        <f t="shared" ref="S29:S47" si="9">F29</f>
        <v>100</v>
      </c>
      <c r="T29" s="1308" t="s">
        <v>5</v>
      </c>
      <c r="U29" s="1309">
        <f t="shared" ref="U29:U47" si="10">H29</f>
        <v>100</v>
      </c>
      <c r="V29" s="1308" t="s">
        <v>5</v>
      </c>
      <c r="W29" s="1309">
        <f t="shared" ref="W29:W47" si="11">J29</f>
        <v>100</v>
      </c>
      <c r="X29" s="1303"/>
      <c r="Y29" s="3728"/>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728"/>
      <c r="Q30" s="1307">
        <f t="shared" si="8"/>
        <v>111</v>
      </c>
      <c r="R30" s="1308" t="s">
        <v>5</v>
      </c>
      <c r="S30" s="1309">
        <f t="shared" si="9"/>
        <v>100</v>
      </c>
      <c r="T30" s="1308" t="s">
        <v>5</v>
      </c>
      <c r="U30" s="1309">
        <f t="shared" si="10"/>
        <v>100</v>
      </c>
      <c r="V30" s="1308" t="s">
        <v>5</v>
      </c>
      <c r="W30" s="1309">
        <f t="shared" si="11"/>
        <v>100</v>
      </c>
      <c r="X30" s="1303"/>
      <c r="Y30" s="3728"/>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728"/>
      <c r="Q31" s="1307">
        <f t="shared" si="8"/>
        <v>111</v>
      </c>
      <c r="R31" s="1308" t="s">
        <v>5</v>
      </c>
      <c r="S31" s="1309">
        <f t="shared" si="9"/>
        <v>100</v>
      </c>
      <c r="T31" s="1308" t="s">
        <v>5</v>
      </c>
      <c r="U31" s="1309">
        <f t="shared" si="10"/>
        <v>100</v>
      </c>
      <c r="V31" s="1308" t="s">
        <v>5</v>
      </c>
      <c r="W31" s="1309">
        <f t="shared" si="11"/>
        <v>100</v>
      </c>
      <c r="X31" s="1303"/>
      <c r="Y31" s="3728"/>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728"/>
      <c r="Q32" s="1307">
        <f t="shared" si="8"/>
        <v>111</v>
      </c>
      <c r="R32" s="1308" t="s">
        <v>5</v>
      </c>
      <c r="S32" s="1309">
        <f t="shared" si="9"/>
        <v>100</v>
      </c>
      <c r="T32" s="1308" t="s">
        <v>5</v>
      </c>
      <c r="U32" s="1309">
        <f t="shared" si="10"/>
        <v>100</v>
      </c>
      <c r="V32" s="1308" t="s">
        <v>5</v>
      </c>
      <c r="W32" s="1309">
        <f t="shared" si="11"/>
        <v>100</v>
      </c>
      <c r="X32" s="1303"/>
      <c r="Y32" s="3728"/>
      <c r="Z32" s="1310">
        <f t="shared" si="12"/>
        <v>111</v>
      </c>
      <c r="AA32" s="1310">
        <f t="shared" si="3"/>
        <v>1</v>
      </c>
      <c r="AB32" s="1310">
        <f t="shared" si="4"/>
        <v>1</v>
      </c>
      <c r="AC32" s="1310">
        <f t="shared" si="5"/>
        <v>1</v>
      </c>
    </row>
    <row r="33" spans="1:29" ht="15">
      <c r="A33" s="2205" t="s">
        <v>2035</v>
      </c>
      <c r="B33" s="156" t="s">
        <v>718</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729" t="s">
        <v>497</v>
      </c>
      <c r="Q33" s="1307" t="str">
        <f t="shared" si="8"/>
        <v>建筑类型</v>
      </c>
      <c r="R33" s="1308" t="s">
        <v>5</v>
      </c>
      <c r="S33" s="1309">
        <f t="shared" si="9"/>
        <v>100</v>
      </c>
      <c r="T33" s="1308" t="s">
        <v>5</v>
      </c>
      <c r="U33" s="1309">
        <f t="shared" si="10"/>
        <v>100</v>
      </c>
      <c r="V33" s="1308" t="s">
        <v>5</v>
      </c>
      <c r="W33" s="1309">
        <f t="shared" si="11"/>
        <v>100</v>
      </c>
      <c r="X33" s="1303"/>
      <c r="Y33" s="3730" t="s">
        <v>497</v>
      </c>
      <c r="Z33" s="1310" t="str">
        <f t="shared" si="12"/>
        <v>建筑类型</v>
      </c>
      <c r="AA33" s="1310">
        <f t="shared" si="3"/>
        <v>1</v>
      </c>
      <c r="AB33" s="1310">
        <f t="shared" si="4"/>
        <v>1</v>
      </c>
      <c r="AC33" s="1310">
        <f t="shared" si="5"/>
        <v>1</v>
      </c>
    </row>
    <row r="34" spans="1:29" s="1134" customFormat="1" ht="15">
      <c r="A34" s="552"/>
      <c r="B34" s="477" t="s">
        <v>671</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730"/>
      <c r="Q34" s="819" t="str">
        <f t="shared" si="8"/>
        <v>项目建筑规模</v>
      </c>
      <c r="R34" s="1311" t="s">
        <v>5</v>
      </c>
      <c r="S34" s="1312" t="e">
        <f t="shared" si="9"/>
        <v>#N/A</v>
      </c>
      <c r="T34" s="1311" t="s">
        <v>5</v>
      </c>
      <c r="U34" s="1312" t="e">
        <f t="shared" si="10"/>
        <v>#N/A</v>
      </c>
      <c r="V34" s="1311" t="s">
        <v>5</v>
      </c>
      <c r="W34" s="1312" t="e">
        <f t="shared" si="11"/>
        <v>#N/A</v>
      </c>
      <c r="X34" s="1313"/>
      <c r="Y34" s="3730"/>
      <c r="Z34" s="1314" t="str">
        <f t="shared" si="12"/>
        <v>项目建筑规模</v>
      </c>
      <c r="AA34" s="1310" t="e">
        <f t="shared" si="3"/>
        <v>#N/A</v>
      </c>
      <c r="AB34" s="1310" t="e">
        <f t="shared" si="4"/>
        <v>#N/A</v>
      </c>
      <c r="AC34" s="1310" t="e">
        <f t="shared" si="5"/>
        <v>#N/A</v>
      </c>
    </row>
    <row r="35" spans="1:29" ht="15">
      <c r="A35" s="543"/>
      <c r="B35" s="477" t="s">
        <v>672</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730"/>
      <c r="Q35" s="1307" t="str">
        <f t="shared" si="8"/>
        <v>建筑结构</v>
      </c>
      <c r="R35" s="1308" t="s">
        <v>5</v>
      </c>
      <c r="S35" s="1309">
        <f t="shared" si="9"/>
        <v>100</v>
      </c>
      <c r="T35" s="1308" t="s">
        <v>5</v>
      </c>
      <c r="U35" s="1309">
        <f t="shared" si="10"/>
        <v>100</v>
      </c>
      <c r="V35" s="1308" t="s">
        <v>5</v>
      </c>
      <c r="W35" s="1309">
        <f t="shared" si="11"/>
        <v>100</v>
      </c>
      <c r="X35" s="1303"/>
      <c r="Y35" s="3730"/>
      <c r="Z35" s="1310" t="str">
        <f t="shared" si="12"/>
        <v>建筑结构</v>
      </c>
      <c r="AA35" s="1310">
        <f t="shared" si="3"/>
        <v>1</v>
      </c>
      <c r="AB35" s="1310">
        <f t="shared" si="4"/>
        <v>1</v>
      </c>
      <c r="AC35" s="1310">
        <f t="shared" si="5"/>
        <v>1</v>
      </c>
    </row>
    <row r="36" spans="1:29" ht="15">
      <c r="A36" s="543"/>
      <c r="B36" s="477" t="s">
        <v>701</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730"/>
      <c r="Q36" s="1307" t="str">
        <f t="shared" si="8"/>
        <v>公共部分装修</v>
      </c>
      <c r="R36" s="1308" t="s">
        <v>5</v>
      </c>
      <c r="S36" s="1309">
        <f t="shared" si="9"/>
        <v>100</v>
      </c>
      <c r="T36" s="1308" t="s">
        <v>5</v>
      </c>
      <c r="U36" s="1309">
        <f t="shared" si="10"/>
        <v>100</v>
      </c>
      <c r="V36" s="1308" t="s">
        <v>5</v>
      </c>
      <c r="W36" s="1309">
        <f t="shared" si="11"/>
        <v>100</v>
      </c>
      <c r="X36" s="1303"/>
      <c r="Y36" s="3730"/>
      <c r="Z36" s="1310" t="str">
        <f t="shared" si="12"/>
        <v>公共部分装修</v>
      </c>
      <c r="AA36" s="1310">
        <f t="shared" si="3"/>
        <v>1</v>
      </c>
      <c r="AB36" s="1310">
        <f t="shared" si="4"/>
        <v>1</v>
      </c>
      <c r="AC36" s="1310">
        <f t="shared" si="5"/>
        <v>1</v>
      </c>
    </row>
    <row r="37" spans="1:29" ht="15">
      <c r="A37" s="543"/>
      <c r="B37" s="477" t="s">
        <v>702</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730"/>
      <c r="Q37" s="1307" t="str">
        <f t="shared" si="8"/>
        <v>成新度</v>
      </c>
      <c r="R37" s="1308" t="s">
        <v>5</v>
      </c>
      <c r="S37" s="1309" t="e">
        <f t="shared" si="9"/>
        <v>#N/A</v>
      </c>
      <c r="T37" s="1308" t="s">
        <v>5</v>
      </c>
      <c r="U37" s="1309" t="e">
        <f t="shared" si="10"/>
        <v>#N/A</v>
      </c>
      <c r="V37" s="1308" t="s">
        <v>5</v>
      </c>
      <c r="W37" s="1309" t="e">
        <f t="shared" si="11"/>
        <v>#N/A</v>
      </c>
      <c r="X37" s="1303"/>
      <c r="Y37" s="3730"/>
      <c r="Z37" s="1310" t="str">
        <f t="shared" si="12"/>
        <v>成新度</v>
      </c>
      <c r="AA37" s="1310" t="e">
        <f t="shared" si="3"/>
        <v>#N/A</v>
      </c>
      <c r="AB37" s="1310" t="e">
        <f t="shared" si="4"/>
        <v>#N/A</v>
      </c>
      <c r="AC37" s="1310" t="e">
        <f t="shared" si="5"/>
        <v>#N/A</v>
      </c>
    </row>
    <row r="38" spans="1:29" s="1060" customFormat="1" ht="15">
      <c r="A38" s="549"/>
      <c r="B38" s="477" t="s">
        <v>719</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730"/>
      <c r="Q38" s="818" t="str">
        <f t="shared" si="8"/>
        <v>写字楼等级</v>
      </c>
      <c r="R38" s="1304" t="s">
        <v>5</v>
      </c>
      <c r="S38" s="1305">
        <f t="shared" si="9"/>
        <v>100</v>
      </c>
      <c r="T38" s="1304" t="s">
        <v>5</v>
      </c>
      <c r="U38" s="1305">
        <f t="shared" si="10"/>
        <v>100</v>
      </c>
      <c r="V38" s="1304" t="s">
        <v>5</v>
      </c>
      <c r="W38" s="1305">
        <f t="shared" si="11"/>
        <v>100</v>
      </c>
      <c r="X38" s="1306"/>
      <c r="Y38" s="3730"/>
      <c r="Z38" s="997" t="str">
        <f t="shared" si="12"/>
        <v>写字楼等级</v>
      </c>
      <c r="AA38" s="997">
        <f t="shared" si="3"/>
        <v>1</v>
      </c>
      <c r="AB38" s="997">
        <f t="shared" si="4"/>
        <v>1</v>
      </c>
      <c r="AC38" s="997">
        <f t="shared" si="5"/>
        <v>1</v>
      </c>
    </row>
    <row r="39" spans="1:29" ht="15">
      <c r="A39" s="543"/>
      <c r="B39" s="477" t="s">
        <v>720</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730" t="s">
        <v>497</v>
      </c>
      <c r="Q39" s="1307" t="str">
        <f t="shared" si="8"/>
        <v>物业管理</v>
      </c>
      <c r="R39" s="1308" t="s">
        <v>5</v>
      </c>
      <c r="S39" s="1309">
        <f t="shared" si="9"/>
        <v>100</v>
      </c>
      <c r="T39" s="1308" t="s">
        <v>5</v>
      </c>
      <c r="U39" s="1309">
        <f t="shared" si="10"/>
        <v>100</v>
      </c>
      <c r="V39" s="1308" t="s">
        <v>5</v>
      </c>
      <c r="W39" s="1309">
        <f t="shared" si="11"/>
        <v>100</v>
      </c>
      <c r="X39" s="1303"/>
      <c r="Y39" s="3730" t="s">
        <v>497</v>
      </c>
      <c r="Z39" s="1310" t="str">
        <f t="shared" si="12"/>
        <v>物业管理</v>
      </c>
      <c r="AA39" s="1310">
        <f t="shared" si="3"/>
        <v>1</v>
      </c>
      <c r="AB39" s="1310">
        <f t="shared" si="4"/>
        <v>1</v>
      </c>
      <c r="AC39" s="1310">
        <f t="shared" si="5"/>
        <v>1</v>
      </c>
    </row>
    <row r="40" spans="1:29" ht="15">
      <c r="A40" s="543"/>
      <c r="B40" s="1555"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730"/>
      <c r="Q40" s="1307" t="str">
        <f t="shared" si="8"/>
        <v>市政基础设施</v>
      </c>
      <c r="R40" s="1308" t="s">
        <v>5</v>
      </c>
      <c r="S40" s="1309">
        <f t="shared" si="9"/>
        <v>100</v>
      </c>
      <c r="T40" s="1308" t="s">
        <v>5</v>
      </c>
      <c r="U40" s="1309">
        <f t="shared" si="10"/>
        <v>100</v>
      </c>
      <c r="V40" s="1308" t="s">
        <v>5</v>
      </c>
      <c r="W40" s="1309">
        <f t="shared" si="11"/>
        <v>100</v>
      </c>
      <c r="X40" s="1303"/>
      <c r="Y40" s="3730"/>
      <c r="Z40" s="1310" t="str">
        <f t="shared" si="12"/>
        <v>市政基础设施</v>
      </c>
      <c r="AA40" s="1310">
        <f t="shared" si="3"/>
        <v>1</v>
      </c>
      <c r="AB40" s="1310">
        <f t="shared" si="4"/>
        <v>1</v>
      </c>
      <c r="AC40" s="1310">
        <f t="shared" si="5"/>
        <v>1</v>
      </c>
    </row>
    <row r="41" spans="1:29" ht="15">
      <c r="A41" s="543"/>
      <c r="B41" s="477" t="s">
        <v>705</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730"/>
      <c r="Q41" s="1307" t="str">
        <f t="shared" si="8"/>
        <v>层高</v>
      </c>
      <c r="R41" s="1308" t="s">
        <v>5</v>
      </c>
      <c r="S41" s="1309">
        <f t="shared" si="9"/>
        <v>100</v>
      </c>
      <c r="T41" s="1308" t="s">
        <v>5</v>
      </c>
      <c r="U41" s="1309">
        <f t="shared" si="10"/>
        <v>100</v>
      </c>
      <c r="V41" s="1308" t="s">
        <v>5</v>
      </c>
      <c r="W41" s="1309">
        <f t="shared" si="11"/>
        <v>100</v>
      </c>
      <c r="X41" s="1303"/>
      <c r="Y41" s="3730"/>
      <c r="Z41" s="1310" t="str">
        <f t="shared" si="12"/>
        <v>层高</v>
      </c>
      <c r="AA41" s="1310">
        <f t="shared" si="3"/>
        <v>1</v>
      </c>
      <c r="AB41" s="1310">
        <f t="shared" si="4"/>
        <v>1</v>
      </c>
      <c r="AC41" s="1310">
        <f t="shared" si="5"/>
        <v>1</v>
      </c>
    </row>
    <row r="42" spans="1:29" s="1134" customFormat="1" ht="15">
      <c r="A42" s="552"/>
      <c r="B42" s="525" t="s">
        <v>721</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730"/>
      <c r="Q42" s="819" t="str">
        <f t="shared" si="8"/>
        <v>单套建筑面积</v>
      </c>
      <c r="R42" s="1311" t="s">
        <v>5</v>
      </c>
      <c r="S42" s="1312">
        <f t="shared" si="9"/>
        <v>100</v>
      </c>
      <c r="T42" s="1311" t="s">
        <v>5</v>
      </c>
      <c r="U42" s="1312">
        <f t="shared" si="10"/>
        <v>100</v>
      </c>
      <c r="V42" s="1311" t="s">
        <v>5</v>
      </c>
      <c r="W42" s="1312">
        <f t="shared" si="11"/>
        <v>100</v>
      </c>
      <c r="X42" s="1313"/>
      <c r="Y42" s="3730"/>
      <c r="Z42" s="1314" t="str">
        <f t="shared" si="12"/>
        <v>单套建筑面积</v>
      </c>
      <c r="AA42" s="1310">
        <f t="shared" si="3"/>
        <v>1</v>
      </c>
      <c r="AB42" s="1310">
        <f t="shared" si="4"/>
        <v>1</v>
      </c>
      <c r="AC42" s="1310">
        <f t="shared" si="5"/>
        <v>1</v>
      </c>
    </row>
    <row r="43" spans="1:29" ht="15">
      <c r="A43" s="543"/>
      <c r="B43" s="477" t="s">
        <v>708</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730"/>
      <c r="Q43" s="1307" t="str">
        <f t="shared" si="8"/>
        <v>内部装修</v>
      </c>
      <c r="R43" s="1308" t="s">
        <v>5</v>
      </c>
      <c r="S43" s="1309">
        <f t="shared" si="9"/>
        <v>100</v>
      </c>
      <c r="T43" s="1308" t="s">
        <v>5</v>
      </c>
      <c r="U43" s="1309">
        <f t="shared" si="10"/>
        <v>100</v>
      </c>
      <c r="V43" s="1308" t="s">
        <v>5</v>
      </c>
      <c r="W43" s="1309">
        <f t="shared" si="11"/>
        <v>100</v>
      </c>
      <c r="X43" s="1303"/>
      <c r="Y43" s="3730"/>
      <c r="Z43" s="1310" t="str">
        <f t="shared" si="12"/>
        <v>内部装修</v>
      </c>
      <c r="AA43" s="1310">
        <f t="shared" si="3"/>
        <v>1</v>
      </c>
      <c r="AB43" s="1310">
        <f t="shared" si="4"/>
        <v>1</v>
      </c>
      <c r="AC43" s="1310">
        <f t="shared" si="5"/>
        <v>1</v>
      </c>
    </row>
    <row r="44" spans="1:29" ht="27">
      <c r="A44" s="543"/>
      <c r="B44" s="477" t="s">
        <v>680</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730"/>
      <c r="Q44" s="1307" t="str">
        <f t="shared" si="8"/>
        <v>内部装修维护情况</v>
      </c>
      <c r="R44" s="1308" t="s">
        <v>5</v>
      </c>
      <c r="S44" s="1309">
        <f t="shared" si="9"/>
        <v>100</v>
      </c>
      <c r="T44" s="1308" t="s">
        <v>5</v>
      </c>
      <c r="U44" s="1309">
        <f t="shared" si="10"/>
        <v>100</v>
      </c>
      <c r="V44" s="1308" t="s">
        <v>5</v>
      </c>
      <c r="W44" s="1309">
        <f t="shared" si="11"/>
        <v>100</v>
      </c>
      <c r="X44" s="1303"/>
      <c r="Y44" s="3730"/>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730"/>
      <c r="Q45" s="818">
        <f t="shared" si="8"/>
        <v>111</v>
      </c>
      <c r="R45" s="1304" t="s">
        <v>5</v>
      </c>
      <c r="S45" s="1305">
        <f t="shared" si="9"/>
        <v>100</v>
      </c>
      <c r="T45" s="1304" t="s">
        <v>5</v>
      </c>
      <c r="U45" s="1305">
        <f t="shared" si="10"/>
        <v>100</v>
      </c>
      <c r="V45" s="1304" t="s">
        <v>5</v>
      </c>
      <c r="W45" s="1305">
        <f t="shared" si="11"/>
        <v>100</v>
      </c>
      <c r="X45" s="1306"/>
      <c r="Y45" s="3730"/>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730"/>
      <c r="Q46" s="1307">
        <f t="shared" si="8"/>
        <v>111</v>
      </c>
      <c r="R46" s="1308" t="s">
        <v>5</v>
      </c>
      <c r="S46" s="1309">
        <f t="shared" si="9"/>
        <v>100</v>
      </c>
      <c r="T46" s="1308" t="s">
        <v>5</v>
      </c>
      <c r="U46" s="1309">
        <f t="shared" si="10"/>
        <v>100</v>
      </c>
      <c r="V46" s="1308" t="s">
        <v>5</v>
      </c>
      <c r="W46" s="1309">
        <f t="shared" si="11"/>
        <v>100</v>
      </c>
      <c r="X46" s="1303"/>
      <c r="Y46" s="3730"/>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849"/>
      <c r="Q47" s="1307">
        <f t="shared" si="8"/>
        <v>111</v>
      </c>
      <c r="R47" s="1308" t="s">
        <v>5</v>
      </c>
      <c r="S47" s="1309">
        <f t="shared" si="9"/>
        <v>100</v>
      </c>
      <c r="T47" s="1308" t="s">
        <v>5</v>
      </c>
      <c r="U47" s="1309">
        <f t="shared" si="10"/>
        <v>100</v>
      </c>
      <c r="V47" s="1308" t="s">
        <v>5</v>
      </c>
      <c r="W47" s="1309">
        <f t="shared" si="11"/>
        <v>100</v>
      </c>
      <c r="X47" s="1303"/>
      <c r="Y47" s="3849"/>
      <c r="Z47" s="1310">
        <f t="shared" si="12"/>
        <v>111</v>
      </c>
      <c r="AA47" s="1310">
        <f t="shared" si="3"/>
        <v>1</v>
      </c>
      <c r="AB47" s="1310">
        <f t="shared" si="4"/>
        <v>1</v>
      </c>
      <c r="AC47" s="1310">
        <f t="shared" si="5"/>
        <v>1</v>
      </c>
    </row>
    <row r="48" spans="1:29" ht="15">
      <c r="A48" s="556" t="s">
        <v>681</v>
      </c>
      <c r="B48" s="812"/>
      <c r="C48" s="2082" t="s">
        <v>0</v>
      </c>
      <c r="D48" s="559"/>
      <c r="E48" s="560"/>
      <c r="F48" s="561"/>
      <c r="G48" s="562"/>
      <c r="H48" s="563"/>
      <c r="I48" s="560"/>
      <c r="J48" s="563"/>
      <c r="K48" s="1336"/>
      <c r="L48" s="1752"/>
      <c r="M48" s="1743"/>
      <c r="N48" s="1743"/>
      <c r="O48" s="1743"/>
      <c r="P48" s="3732" t="str">
        <f>A48</f>
        <v>成交单价（元/平方米）</v>
      </c>
      <c r="Q48" s="3725"/>
      <c r="R48" s="3741">
        <f>E48</f>
        <v>0</v>
      </c>
      <c r="S48" s="3741"/>
      <c r="T48" s="3741">
        <f>G48</f>
        <v>0</v>
      </c>
      <c r="U48" s="3741"/>
      <c r="V48" s="3741">
        <f>I48</f>
        <v>0</v>
      </c>
      <c r="W48" s="3741"/>
      <c r="X48" s="799"/>
      <c r="Y48" s="1315"/>
      <c r="Z48" s="799"/>
      <c r="AA48" s="799"/>
      <c r="AB48" s="799"/>
      <c r="AC48" s="799"/>
    </row>
    <row r="49" spans="1:29" ht="15.75" thickBot="1">
      <c r="A49" s="564" t="s">
        <v>2040</v>
      </c>
      <c r="B49" s="813"/>
      <c r="C49" s="2083" t="e">
        <f>R50</f>
        <v>#DIV/0!</v>
      </c>
      <c r="D49" s="2551" t="s">
        <v>2258</v>
      </c>
      <c r="E49" s="2084" t="e">
        <f>R49</f>
        <v>#DIV/0!</v>
      </c>
      <c r="F49" s="2552"/>
      <c r="G49" s="2083" t="e">
        <f>T49</f>
        <v>#DIV/0!</v>
      </c>
      <c r="H49" s="2552"/>
      <c r="I49" s="2084" t="e">
        <f>V49</f>
        <v>#DIV/0!</v>
      </c>
      <c r="J49" s="2552"/>
      <c r="K49" s="2559">
        <f>F49+H49+J49</f>
        <v>0</v>
      </c>
      <c r="L49" s="1752"/>
      <c r="M49" s="1743"/>
      <c r="N49" s="1743"/>
      <c r="O49" s="1743"/>
      <c r="P49" s="3732" t="str">
        <f>A49</f>
        <v>比较价格（元/平方米）</v>
      </c>
      <c r="Q49" s="3725"/>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799"/>
      <c r="Y49" s="799"/>
      <c r="Z49" s="799"/>
      <c r="AA49" s="799"/>
      <c r="AB49" s="799"/>
      <c r="AC49" s="799"/>
    </row>
    <row r="50" spans="1:29" ht="15.75" thickBot="1">
      <c r="A50" s="568" t="s">
        <v>2195</v>
      </c>
      <c r="B50" s="569"/>
      <c r="C50" s="469" t="e">
        <f>R50</f>
        <v>#DIV/0!</v>
      </c>
      <c r="D50" s="469"/>
      <c r="E50" s="469"/>
      <c r="F50" s="469"/>
      <c r="G50" s="469"/>
      <c r="H50" s="469"/>
      <c r="I50" s="469"/>
      <c r="J50" s="469"/>
      <c r="K50" s="1337"/>
      <c r="L50" s="1752"/>
      <c r="M50" s="1743"/>
      <c r="N50" s="1743"/>
      <c r="O50" s="1743"/>
      <c r="P50" s="3853" t="str">
        <f>A50</f>
        <v>估价对象XX用房的比较价格（楼面单价，元/平方米）</v>
      </c>
      <c r="Q50" s="3732"/>
      <c r="R50" s="3848" t="e">
        <f>IF(F1="售价",ROUND(IF(D49="简单平均",AVERAGE(R49:V49),R49*F49+T49*H49+V49*J49),0),ROUND(IF(D49="简单平均",AVERAGE(R49:V49),R49*F49+T49*H49+V49*J49),1))</f>
        <v>#DIV/0!</v>
      </c>
      <c r="S50" s="3848"/>
      <c r="T50" s="3848"/>
      <c r="U50" s="3848"/>
      <c r="V50" s="3848"/>
      <c r="W50" s="3848"/>
      <c r="X50" s="799"/>
      <c r="Y50" s="799"/>
      <c r="Z50" s="799"/>
      <c r="AA50" s="799"/>
      <c r="AB50" s="799"/>
      <c r="AC50" s="799"/>
    </row>
    <row r="51" spans="1:29">
      <c r="A51" s="2721"/>
      <c r="B51" s="2721"/>
      <c r="C51" s="2721"/>
      <c r="D51" s="2721"/>
      <c r="E51" s="2721"/>
      <c r="F51" s="2721"/>
      <c r="G51" s="2723"/>
      <c r="H51" s="2721"/>
      <c r="I51" s="2721"/>
      <c r="J51" s="2721"/>
      <c r="K51" s="2724"/>
      <c r="L51" s="1756"/>
      <c r="M51" s="1743"/>
      <c r="N51" s="1743"/>
      <c r="O51" s="1743"/>
      <c r="P51" s="1805"/>
      <c r="Q51" s="1743"/>
      <c r="R51" s="1743"/>
      <c r="S51" s="1743"/>
      <c r="T51" s="1743"/>
      <c r="U51" s="1743"/>
      <c r="V51" s="1743"/>
      <c r="W51" s="1743"/>
      <c r="X51" s="1743"/>
      <c r="Y51" s="1743"/>
      <c r="Z51" s="1743"/>
      <c r="AA51" s="1743"/>
      <c r="AB51" s="1743"/>
      <c r="AC51" s="1743"/>
    </row>
    <row r="52" spans="1:29">
      <c r="A52" s="2721"/>
      <c r="B52" s="2721"/>
      <c r="C52" s="2721"/>
      <c r="D52" s="2721"/>
      <c r="E52" s="2721"/>
      <c r="F52" s="2721"/>
      <c r="G52" s="2721"/>
      <c r="H52" s="2721"/>
      <c r="I52" s="2721"/>
      <c r="J52" s="2721"/>
      <c r="K52" s="2724"/>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520</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476</v>
      </c>
      <c r="B59" s="593"/>
      <c r="C59" s="2114" t="str">
        <f>YEAR(C7)&amp;"-"&amp;MONTH(C7)</f>
        <v>2014-8</v>
      </c>
      <c r="D59" s="2116">
        <f>EDATE(C59,-1)</f>
        <v>41821</v>
      </c>
      <c r="E59" s="2116">
        <f t="shared" ref="E59:O59" si="13">EDATE(D59,-1)</f>
        <v>41791</v>
      </c>
      <c r="F59" s="2116">
        <f t="shared" si="13"/>
        <v>41760</v>
      </c>
      <c r="G59" s="2116">
        <f t="shared" si="13"/>
        <v>41730</v>
      </c>
      <c r="H59" s="2116">
        <f t="shared" si="13"/>
        <v>41699</v>
      </c>
      <c r="I59" s="2116">
        <f t="shared" si="13"/>
        <v>41671</v>
      </c>
      <c r="J59" s="2116">
        <f t="shared" si="13"/>
        <v>41640</v>
      </c>
      <c r="K59" s="2116">
        <f t="shared" si="13"/>
        <v>41609</v>
      </c>
      <c r="L59" s="2116">
        <f t="shared" si="13"/>
        <v>41579</v>
      </c>
      <c r="M59" s="2116">
        <f t="shared" si="13"/>
        <v>41548</v>
      </c>
      <c r="N59" s="2116">
        <f t="shared" si="13"/>
        <v>41518</v>
      </c>
      <c r="O59" s="2116">
        <f t="shared" si="13"/>
        <v>41487</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521</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478</v>
      </c>
      <c r="B62" s="594"/>
      <c r="C62" s="604" t="s">
        <v>522</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523</v>
      </c>
      <c r="B64" s="608" t="s">
        <v>481</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484</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485</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486</v>
      </c>
      <c r="B77" s="608" t="s">
        <v>531</v>
      </c>
      <c r="C77" s="143" t="s">
        <v>525</v>
      </c>
      <c r="D77" s="143" t="s">
        <v>526</v>
      </c>
      <c r="E77" s="143" t="s">
        <v>527</v>
      </c>
      <c r="F77" s="143" t="s">
        <v>528</v>
      </c>
      <c r="G77" s="143" t="s">
        <v>529</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532</v>
      </c>
      <c r="C79" s="649" t="s">
        <v>525</v>
      </c>
      <c r="D79" s="649" t="s">
        <v>526</v>
      </c>
      <c r="E79" s="649" t="s">
        <v>527</v>
      </c>
      <c r="F79" s="649" t="s">
        <v>528</v>
      </c>
      <c r="G79" s="649" t="s">
        <v>529</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1838</v>
      </c>
      <c r="C81" s="649" t="s">
        <v>525</v>
      </c>
      <c r="D81" s="649" t="s">
        <v>526</v>
      </c>
      <c r="E81" s="649" t="s">
        <v>527</v>
      </c>
      <c r="F81" s="649" t="s">
        <v>528</v>
      </c>
      <c r="G81" s="649" t="s">
        <v>529</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1839</v>
      </c>
      <c r="C83" s="2058" t="s">
        <v>1840</v>
      </c>
      <c r="D83" s="2058" t="s">
        <v>1841</v>
      </c>
      <c r="E83" s="2058" t="s">
        <v>1842</v>
      </c>
      <c r="F83" s="2058" t="s">
        <v>1843</v>
      </c>
      <c r="G83" s="2058" t="s">
        <v>1844</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722</v>
      </c>
      <c r="C85" s="649" t="s">
        <v>525</v>
      </c>
      <c r="D85" s="649" t="s">
        <v>526</v>
      </c>
      <c r="E85" s="649" t="s">
        <v>527</v>
      </c>
      <c r="F85" s="649" t="s">
        <v>528</v>
      </c>
      <c r="G85" s="649" t="s">
        <v>529</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723</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498</v>
      </c>
      <c r="B101" s="608" t="s">
        <v>685</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686</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687</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689</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690</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724</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691</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1837</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725</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713</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693</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694</v>
      </c>
      <c r="C125" s="649" t="s">
        <v>525</v>
      </c>
      <c r="D125" s="649" t="s">
        <v>526</v>
      </c>
      <c r="E125" s="649" t="s">
        <v>527</v>
      </c>
      <c r="F125" s="649" t="s">
        <v>528</v>
      </c>
      <c r="G125" s="649" t="s">
        <v>529</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受贵公司委托，我公司对出让国有建设用地使用权市场价格进行了预评估。</v>
      </c>
    </row>
    <row r="5" spans="1:4" ht="18.75">
      <c r="A5" s="1492" t="s">
        <v>1427</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153333.33平方米。根据《建设工程规划许可证》[]、《出让合同》[]，估价对象规划建筑面积为153333.33平方米。</v>
      </c>
    </row>
    <row r="7" spans="1:4" ht="93.75">
      <c r="A7" s="2179" t="s">
        <v>2028</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1587</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根据《国有土地使用证》[]，估价对象（分摊）出让国有建设用地使用权面积为153333.33平方米。根据《建设工程规划许可证》[]、《出让合同》[]，估价对象规划建筑面积为153333.33平方米。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1590</v>
      </c>
    </row>
    <row r="23" spans="1:1" ht="18.75">
      <c r="A23" s="2181" t="s">
        <v>2029</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726</v>
      </c>
      <c r="C1" s="455" t="s">
        <v>665</v>
      </c>
      <c r="D1" s="783"/>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C43</f>
        <v>#DIV/0!</v>
      </c>
      <c r="C3" s="786" t="s">
        <v>667</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15"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SUMIF(52:52,YEAR(E7)&amp;"-"&amp;MONTH(E7),53:53)</f>
        <v>0</v>
      </c>
      <c r="G7" s="472"/>
      <c r="H7" s="471">
        <f>SUMIF(52:52,YEAR(G7)&amp;"-"&amp;MONTH(G7),53:53)</f>
        <v>0</v>
      </c>
      <c r="I7" s="472"/>
      <c r="J7" s="471">
        <f>SUMIF(52:52,YEAR(I7)&amp;"-"&amp;MONTH(I7),53:53)</f>
        <v>0</v>
      </c>
      <c r="K7" s="88"/>
      <c r="L7" s="1744"/>
      <c r="M7" s="1641"/>
      <c r="N7" s="1641"/>
      <c r="O7" s="1641"/>
      <c r="P7" s="3717"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40" si="3">D8/F8</f>
        <v>#DIV/0!</v>
      </c>
      <c r="AB8" s="997" t="e">
        <f t="shared" ref="AB8:AB40" si="4">D8/H8</f>
        <v>#DIV/0!</v>
      </c>
      <c r="AC8" s="997" t="e">
        <f t="shared" ref="AC8:AC40" si="5">D8/J8</f>
        <v>#DIV/0!</v>
      </c>
    </row>
    <row r="9" spans="1:29" s="1060" customFormat="1" ht="15">
      <c r="A9" s="2212"/>
      <c r="B9" s="2219" t="s">
        <v>2036</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57">
      <c r="A15" s="2208" t="s">
        <v>2034</v>
      </c>
      <c r="B15" s="150" t="s">
        <v>727</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727" t="s">
        <v>487</v>
      </c>
      <c r="Q15" s="1307" t="str">
        <f t="shared" si="6"/>
        <v>产业集聚程度</v>
      </c>
      <c r="R15" s="1308" t="s">
        <v>5</v>
      </c>
      <c r="S15" s="1309">
        <f t="shared" si="0"/>
        <v>100</v>
      </c>
      <c r="T15" s="1308" t="s">
        <v>5</v>
      </c>
      <c r="U15" s="1309">
        <f t="shared" si="1"/>
        <v>100</v>
      </c>
      <c r="V15" s="1308" t="s">
        <v>5</v>
      </c>
      <c r="W15" s="1309">
        <f t="shared" si="2"/>
        <v>100</v>
      </c>
      <c r="X15" s="1303"/>
      <c r="Y15" s="3727" t="s">
        <v>487</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28"/>
      <c r="Q16" s="1307"/>
      <c r="R16" s="1308"/>
      <c r="S16" s="1309"/>
      <c r="T16" s="1308"/>
      <c r="U16" s="1309"/>
      <c r="V16" s="1308"/>
      <c r="W16" s="1309"/>
      <c r="X16" s="1303"/>
      <c r="Y16" s="3728"/>
      <c r="Z16" s="1310"/>
      <c r="AA16" s="1310">
        <v>1</v>
      </c>
      <c r="AB16" s="1310">
        <v>1</v>
      </c>
      <c r="AC16" s="1310">
        <v>1</v>
      </c>
    </row>
    <row r="17" spans="1:29" ht="142.5">
      <c r="A17" s="482"/>
      <c r="B17" s="677" t="s">
        <v>262</v>
      </c>
      <c r="C17" s="801" t="str">
        <f>估价对象房地状况!G4</f>
        <v>地块临近村道，周边3公里范围内有高速公路——京藏高速、城市次干道——康张路，有880路等3条以下公交线路通过并设立站点，综合评价交通便捷度一般</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3"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1"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728"/>
      <c r="Q22" s="1307"/>
      <c r="R22" s="1308"/>
      <c r="S22" s="1309"/>
      <c r="T22" s="1308"/>
      <c r="U22" s="1309"/>
      <c r="V22" s="1308"/>
      <c r="W22" s="1309"/>
      <c r="X22" s="1303"/>
      <c r="Y22" s="3728"/>
      <c r="Z22" s="1310"/>
      <c r="AA22" s="1310">
        <v>1</v>
      </c>
      <c r="AB22" s="1310">
        <v>1</v>
      </c>
      <c r="AC22" s="1310">
        <v>1</v>
      </c>
    </row>
    <row r="23" spans="1:29" ht="85.5">
      <c r="A23" s="482"/>
      <c r="B23" s="677" t="s">
        <v>716</v>
      </c>
      <c r="C23" s="801" t="str">
        <f>估价对象房地状况!G7</f>
        <v>周边无污染型企业，5公里范围内有八达岭长城自然风景区等自然和人文景观，环境状况较好</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728"/>
      <c r="Q23" s="1307" t="str">
        <f>B23</f>
        <v>环境质量</v>
      </c>
      <c r="R23" s="1308" t="s">
        <v>5</v>
      </c>
      <c r="S23" s="1309">
        <f>F23</f>
        <v>100</v>
      </c>
      <c r="T23" s="1308" t="s">
        <v>5</v>
      </c>
      <c r="U23" s="1309">
        <f>H23</f>
        <v>100</v>
      </c>
      <c r="V23" s="1308" t="s">
        <v>5</v>
      </c>
      <c r="W23" s="1309">
        <f>J23</f>
        <v>100</v>
      </c>
      <c r="X23" s="1303"/>
      <c r="Y23" s="3728"/>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728"/>
      <c r="Q25" s="1307">
        <f>B25</f>
        <v>111</v>
      </c>
      <c r="R25" s="1308" t="s">
        <v>5</v>
      </c>
      <c r="S25" s="1309">
        <f>F25</f>
        <v>100</v>
      </c>
      <c r="T25" s="1308" t="s">
        <v>5</v>
      </c>
      <c r="U25" s="1309">
        <f>H25</f>
        <v>100</v>
      </c>
      <c r="V25" s="1308" t="s">
        <v>5</v>
      </c>
      <c r="W25" s="1309">
        <f>J25</f>
        <v>100</v>
      </c>
      <c r="X25" s="1303"/>
      <c r="Y25" s="3728"/>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728"/>
      <c r="Q26" s="1307">
        <f t="shared" ref="Q26:Q40" si="8">B26</f>
        <v>111</v>
      </c>
      <c r="R26" s="1308" t="s">
        <v>5</v>
      </c>
      <c r="S26" s="1309">
        <f>F26</f>
        <v>100</v>
      </c>
      <c r="T26" s="1308" t="s">
        <v>5</v>
      </c>
      <c r="U26" s="1309">
        <f>H26</f>
        <v>100</v>
      </c>
      <c r="V26" s="1308" t="s">
        <v>5</v>
      </c>
      <c r="W26" s="1309">
        <f>J26</f>
        <v>100</v>
      </c>
      <c r="X26" s="1303"/>
      <c r="Y26" s="3728"/>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728"/>
      <c r="Q27" s="818">
        <f t="shared" si="8"/>
        <v>111</v>
      </c>
      <c r="R27" s="1304" t="s">
        <v>5</v>
      </c>
      <c r="S27" s="1305">
        <f>F27</f>
        <v>100</v>
      </c>
      <c r="T27" s="1304" t="s">
        <v>5</v>
      </c>
      <c r="U27" s="1305">
        <f>H27</f>
        <v>100</v>
      </c>
      <c r="V27" s="1304" t="s">
        <v>5</v>
      </c>
      <c r="W27" s="1305">
        <f>J27</f>
        <v>100</v>
      </c>
      <c r="X27" s="1306"/>
      <c r="Y27" s="3728"/>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728"/>
      <c r="Q28" s="1307">
        <f t="shared" si="8"/>
        <v>111</v>
      </c>
      <c r="R28" s="1308" t="s">
        <v>5</v>
      </c>
      <c r="S28" s="1309">
        <f t="shared" ref="S28:S40" si="9">F28</f>
        <v>100</v>
      </c>
      <c r="T28" s="1308" t="s">
        <v>5</v>
      </c>
      <c r="U28" s="1309">
        <f t="shared" ref="U28:U40" si="10">H28</f>
        <v>100</v>
      </c>
      <c r="V28" s="1308" t="s">
        <v>5</v>
      </c>
      <c r="W28" s="1309">
        <f t="shared" ref="W28:W40" si="11">J28</f>
        <v>100</v>
      </c>
      <c r="X28" s="1303"/>
      <c r="Y28" s="3728"/>
      <c r="Z28" s="1310">
        <f t="shared" ref="Z28:Z40" si="12">Q28</f>
        <v>111</v>
      </c>
      <c r="AA28" s="1310">
        <f t="shared" si="3"/>
        <v>1</v>
      </c>
      <c r="AB28" s="1310">
        <f t="shared" si="4"/>
        <v>1</v>
      </c>
      <c r="AC28" s="1310">
        <f t="shared" si="5"/>
        <v>1</v>
      </c>
    </row>
    <row r="29" spans="1:29" ht="15">
      <c r="A29" s="2205" t="s">
        <v>2035</v>
      </c>
      <c r="B29" s="156" t="s">
        <v>718</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729" t="s">
        <v>497</v>
      </c>
      <c r="Q29" s="1307" t="str">
        <f t="shared" si="8"/>
        <v>建筑类型</v>
      </c>
      <c r="R29" s="1308" t="s">
        <v>5</v>
      </c>
      <c r="S29" s="1309">
        <f t="shared" si="9"/>
        <v>100</v>
      </c>
      <c r="T29" s="1308" t="s">
        <v>5</v>
      </c>
      <c r="U29" s="1309">
        <f t="shared" si="10"/>
        <v>100</v>
      </c>
      <c r="V29" s="1308" t="s">
        <v>5</v>
      </c>
      <c r="W29" s="1309">
        <f t="shared" si="11"/>
        <v>100</v>
      </c>
      <c r="X29" s="1303"/>
      <c r="Y29" s="3730" t="s">
        <v>497</v>
      </c>
      <c r="Z29" s="1310" t="str">
        <f t="shared" si="12"/>
        <v>建筑类型</v>
      </c>
      <c r="AA29" s="1310">
        <f t="shared" si="3"/>
        <v>1</v>
      </c>
      <c r="AB29" s="1310">
        <f t="shared" si="4"/>
        <v>1</v>
      </c>
      <c r="AC29" s="1310">
        <f t="shared" si="5"/>
        <v>1</v>
      </c>
    </row>
    <row r="30" spans="1:29" s="1134" customFormat="1" ht="15">
      <c r="A30" s="552"/>
      <c r="B30" s="477" t="s">
        <v>671</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730"/>
      <c r="Q30" s="819" t="str">
        <f t="shared" si="8"/>
        <v>项目建筑规模</v>
      </c>
      <c r="R30" s="1311" t="s">
        <v>5</v>
      </c>
      <c r="S30" s="1312" t="e">
        <f t="shared" si="9"/>
        <v>#N/A</v>
      </c>
      <c r="T30" s="1311" t="s">
        <v>5</v>
      </c>
      <c r="U30" s="1312" t="e">
        <f t="shared" si="10"/>
        <v>#N/A</v>
      </c>
      <c r="V30" s="1311" t="s">
        <v>5</v>
      </c>
      <c r="W30" s="1312" t="e">
        <f t="shared" si="11"/>
        <v>#N/A</v>
      </c>
      <c r="X30" s="1313"/>
      <c r="Y30" s="3730"/>
      <c r="Z30" s="1314" t="str">
        <f t="shared" si="12"/>
        <v>项目建筑规模</v>
      </c>
      <c r="AA30" s="1310" t="e">
        <f t="shared" si="3"/>
        <v>#N/A</v>
      </c>
      <c r="AB30" s="1310" t="e">
        <f t="shared" si="4"/>
        <v>#N/A</v>
      </c>
      <c r="AC30" s="1310" t="e">
        <f t="shared" si="5"/>
        <v>#N/A</v>
      </c>
    </row>
    <row r="31" spans="1:29" ht="15">
      <c r="A31" s="543"/>
      <c r="B31" s="477" t="s">
        <v>672</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730"/>
      <c r="Q31" s="1307" t="str">
        <f t="shared" si="8"/>
        <v>建筑结构</v>
      </c>
      <c r="R31" s="1308" t="s">
        <v>5</v>
      </c>
      <c r="S31" s="1309">
        <f t="shared" si="9"/>
        <v>100</v>
      </c>
      <c r="T31" s="1308" t="s">
        <v>5</v>
      </c>
      <c r="U31" s="1309">
        <f t="shared" si="10"/>
        <v>100</v>
      </c>
      <c r="V31" s="1308" t="s">
        <v>5</v>
      </c>
      <c r="W31" s="1309">
        <f t="shared" si="11"/>
        <v>100</v>
      </c>
      <c r="X31" s="1303"/>
      <c r="Y31" s="3730"/>
      <c r="Z31" s="1310" t="str">
        <f t="shared" si="12"/>
        <v>建筑结构</v>
      </c>
      <c r="AA31" s="1310">
        <f t="shared" si="3"/>
        <v>1</v>
      </c>
      <c r="AB31" s="1310">
        <f t="shared" si="4"/>
        <v>1</v>
      </c>
      <c r="AC31" s="1310">
        <f t="shared" si="5"/>
        <v>1</v>
      </c>
    </row>
    <row r="32" spans="1:29" ht="15">
      <c r="A32" s="543"/>
      <c r="B32" s="477" t="s">
        <v>701</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730"/>
      <c r="Q32" s="1307" t="str">
        <f t="shared" si="8"/>
        <v>公共部分装修</v>
      </c>
      <c r="R32" s="1308" t="s">
        <v>5</v>
      </c>
      <c r="S32" s="1309">
        <f t="shared" si="9"/>
        <v>100</v>
      </c>
      <c r="T32" s="1308" t="s">
        <v>5</v>
      </c>
      <c r="U32" s="1309">
        <f t="shared" si="10"/>
        <v>100</v>
      </c>
      <c r="V32" s="1308" t="s">
        <v>5</v>
      </c>
      <c r="W32" s="1309">
        <f t="shared" si="11"/>
        <v>100</v>
      </c>
      <c r="X32" s="1303"/>
      <c r="Y32" s="3730"/>
      <c r="Z32" s="1310" t="str">
        <f t="shared" si="12"/>
        <v>公共部分装修</v>
      </c>
      <c r="AA32" s="1310">
        <f t="shared" si="3"/>
        <v>1</v>
      </c>
      <c r="AB32" s="1310">
        <f t="shared" si="4"/>
        <v>1</v>
      </c>
      <c r="AC32" s="1310">
        <f t="shared" si="5"/>
        <v>1</v>
      </c>
    </row>
    <row r="33" spans="1:29" ht="15">
      <c r="A33" s="543"/>
      <c r="B33" s="477" t="s">
        <v>702</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730"/>
      <c r="Q33" s="1307" t="str">
        <f t="shared" si="8"/>
        <v>成新度</v>
      </c>
      <c r="R33" s="1308" t="s">
        <v>5</v>
      </c>
      <c r="S33" s="1309" t="e">
        <f t="shared" si="9"/>
        <v>#N/A</v>
      </c>
      <c r="T33" s="1308" t="s">
        <v>5</v>
      </c>
      <c r="U33" s="1309" t="e">
        <f t="shared" si="10"/>
        <v>#N/A</v>
      </c>
      <c r="V33" s="1308" t="s">
        <v>5</v>
      </c>
      <c r="W33" s="1309" t="e">
        <f t="shared" si="11"/>
        <v>#N/A</v>
      </c>
      <c r="X33" s="1303"/>
      <c r="Y33" s="3730"/>
      <c r="Z33" s="1310" t="str">
        <f t="shared" si="12"/>
        <v>成新度</v>
      </c>
      <c r="AA33" s="1310" t="e">
        <f t="shared" si="3"/>
        <v>#N/A</v>
      </c>
      <c r="AB33" s="1310" t="e">
        <f t="shared" si="4"/>
        <v>#N/A</v>
      </c>
      <c r="AC33" s="1310" t="e">
        <f t="shared" si="5"/>
        <v>#N/A</v>
      </c>
    </row>
    <row r="34" spans="1:29" s="1060" customFormat="1" ht="15">
      <c r="A34" s="549"/>
      <c r="B34" s="477" t="s">
        <v>720</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730"/>
      <c r="Q34" s="818" t="str">
        <f t="shared" si="8"/>
        <v>物业管理</v>
      </c>
      <c r="R34" s="1304" t="s">
        <v>5</v>
      </c>
      <c r="S34" s="1305">
        <f t="shared" si="9"/>
        <v>100</v>
      </c>
      <c r="T34" s="1304" t="s">
        <v>5</v>
      </c>
      <c r="U34" s="1305">
        <f t="shared" si="10"/>
        <v>100</v>
      </c>
      <c r="V34" s="1304" t="s">
        <v>5</v>
      </c>
      <c r="W34" s="1305">
        <f t="shared" si="11"/>
        <v>100</v>
      </c>
      <c r="X34" s="1306"/>
      <c r="Y34" s="3730"/>
      <c r="Z34" s="997" t="str">
        <f t="shared" si="12"/>
        <v>物业管理</v>
      </c>
      <c r="AA34" s="997">
        <f t="shared" si="3"/>
        <v>1</v>
      </c>
      <c r="AB34" s="997">
        <f t="shared" si="4"/>
        <v>1</v>
      </c>
      <c r="AC34" s="997">
        <f t="shared" si="5"/>
        <v>1</v>
      </c>
    </row>
    <row r="35" spans="1:29" ht="15">
      <c r="A35" s="543"/>
      <c r="B35" s="1555"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730" t="s">
        <v>497</v>
      </c>
      <c r="Q35" s="1307" t="str">
        <f t="shared" si="8"/>
        <v>市政基础设施</v>
      </c>
      <c r="R35" s="1308" t="s">
        <v>5</v>
      </c>
      <c r="S35" s="1309">
        <f t="shared" si="9"/>
        <v>100</v>
      </c>
      <c r="T35" s="1308" t="s">
        <v>5</v>
      </c>
      <c r="U35" s="1309">
        <f t="shared" si="10"/>
        <v>100</v>
      </c>
      <c r="V35" s="1308" t="s">
        <v>5</v>
      </c>
      <c r="W35" s="1309">
        <f t="shared" si="11"/>
        <v>100</v>
      </c>
      <c r="X35" s="1303"/>
      <c r="Y35" s="3730" t="s">
        <v>497</v>
      </c>
      <c r="Z35" s="1310" t="str">
        <f t="shared" si="12"/>
        <v>市政基础设施</v>
      </c>
      <c r="AA35" s="1310">
        <f t="shared" si="3"/>
        <v>1</v>
      </c>
      <c r="AB35" s="1310">
        <f t="shared" si="4"/>
        <v>1</v>
      </c>
      <c r="AC35" s="1310">
        <f t="shared" si="5"/>
        <v>1</v>
      </c>
    </row>
    <row r="36" spans="1:29" ht="15">
      <c r="A36" s="543"/>
      <c r="B36" s="477" t="s">
        <v>708</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730"/>
      <c r="Q36" s="1307" t="str">
        <f t="shared" si="8"/>
        <v>内部装修</v>
      </c>
      <c r="R36" s="1308" t="s">
        <v>5</v>
      </c>
      <c r="S36" s="1309">
        <f t="shared" si="9"/>
        <v>100</v>
      </c>
      <c r="T36" s="1308" t="s">
        <v>5</v>
      </c>
      <c r="U36" s="1309">
        <f t="shared" si="10"/>
        <v>100</v>
      </c>
      <c r="V36" s="1308" t="s">
        <v>5</v>
      </c>
      <c r="W36" s="1309">
        <f t="shared" si="11"/>
        <v>100</v>
      </c>
      <c r="X36" s="1303"/>
      <c r="Y36" s="3730"/>
      <c r="Z36" s="1310" t="str">
        <f t="shared" si="12"/>
        <v>内部装修</v>
      </c>
      <c r="AA36" s="1310">
        <f t="shared" si="3"/>
        <v>1</v>
      </c>
      <c r="AB36" s="1310">
        <f t="shared" si="4"/>
        <v>1</v>
      </c>
      <c r="AC36" s="1310">
        <f t="shared" si="5"/>
        <v>1</v>
      </c>
    </row>
    <row r="37" spans="1:29" ht="15">
      <c r="A37" s="543"/>
      <c r="B37" s="477" t="s">
        <v>728</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730"/>
      <c r="Q37" s="1307" t="str">
        <f t="shared" si="8"/>
        <v>内部装修状况</v>
      </c>
      <c r="R37" s="1308" t="s">
        <v>5</v>
      </c>
      <c r="S37" s="1309">
        <f t="shared" si="9"/>
        <v>100</v>
      </c>
      <c r="T37" s="1308" t="s">
        <v>5</v>
      </c>
      <c r="U37" s="1309">
        <f t="shared" si="10"/>
        <v>100</v>
      </c>
      <c r="V37" s="1308" t="s">
        <v>5</v>
      </c>
      <c r="W37" s="1309">
        <f t="shared" si="11"/>
        <v>100</v>
      </c>
      <c r="X37" s="1303"/>
      <c r="Y37" s="3730"/>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730"/>
      <c r="Q38" s="819">
        <f t="shared" si="8"/>
        <v>111</v>
      </c>
      <c r="R38" s="1311" t="s">
        <v>5</v>
      </c>
      <c r="S38" s="1312">
        <f t="shared" si="9"/>
        <v>100</v>
      </c>
      <c r="T38" s="1311" t="s">
        <v>5</v>
      </c>
      <c r="U38" s="1312">
        <f t="shared" si="10"/>
        <v>100</v>
      </c>
      <c r="V38" s="1311" t="s">
        <v>5</v>
      </c>
      <c r="W38" s="1312">
        <f t="shared" si="11"/>
        <v>100</v>
      </c>
      <c r="X38" s="1313"/>
      <c r="Y38" s="3730"/>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730"/>
      <c r="Q39" s="1307">
        <f t="shared" si="8"/>
        <v>111</v>
      </c>
      <c r="R39" s="1308" t="s">
        <v>5</v>
      </c>
      <c r="S39" s="1309">
        <f t="shared" si="9"/>
        <v>100</v>
      </c>
      <c r="T39" s="1308" t="s">
        <v>5</v>
      </c>
      <c r="U39" s="1309">
        <f t="shared" si="10"/>
        <v>100</v>
      </c>
      <c r="V39" s="1308" t="s">
        <v>5</v>
      </c>
      <c r="W39" s="1309">
        <f t="shared" si="11"/>
        <v>100</v>
      </c>
      <c r="X39" s="1303"/>
      <c r="Y39" s="3730"/>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849"/>
      <c r="Q40" s="1307">
        <f t="shared" si="8"/>
        <v>111</v>
      </c>
      <c r="R40" s="1308" t="s">
        <v>5</v>
      </c>
      <c r="S40" s="1309">
        <f t="shared" si="9"/>
        <v>100</v>
      </c>
      <c r="T40" s="1308" t="s">
        <v>5</v>
      </c>
      <c r="U40" s="1309">
        <f t="shared" si="10"/>
        <v>100</v>
      </c>
      <c r="V40" s="1308" t="s">
        <v>5</v>
      </c>
      <c r="W40" s="1309">
        <f t="shared" si="11"/>
        <v>100</v>
      </c>
      <c r="X40" s="1303"/>
      <c r="Y40" s="3849"/>
      <c r="Z40" s="1310">
        <f t="shared" si="12"/>
        <v>111</v>
      </c>
      <c r="AA40" s="1310">
        <f t="shared" si="3"/>
        <v>1</v>
      </c>
      <c r="AB40" s="1310">
        <f t="shared" si="4"/>
        <v>1</v>
      </c>
      <c r="AC40" s="1310">
        <f t="shared" si="5"/>
        <v>1</v>
      </c>
    </row>
    <row r="41" spans="1:29" ht="15">
      <c r="A41" s="556" t="s">
        <v>681</v>
      </c>
      <c r="B41" s="812"/>
      <c r="C41" s="2082" t="s">
        <v>0</v>
      </c>
      <c r="D41" s="559"/>
      <c r="E41" s="560"/>
      <c r="F41" s="561"/>
      <c r="G41" s="562"/>
      <c r="H41" s="563"/>
      <c r="I41" s="560"/>
      <c r="J41" s="563"/>
      <c r="K41" s="1336"/>
      <c r="L41" s="1752"/>
      <c r="M41" s="1743"/>
      <c r="N41" s="1743"/>
      <c r="O41" s="1743"/>
      <c r="P41" s="3725" t="str">
        <f>A41</f>
        <v>成交单价（元/平方米）</v>
      </c>
      <c r="Q41" s="3725"/>
      <c r="R41" s="3741">
        <f>E41</f>
        <v>0</v>
      </c>
      <c r="S41" s="3741"/>
      <c r="T41" s="3741">
        <f>G41</f>
        <v>0</v>
      </c>
      <c r="U41" s="3741"/>
      <c r="V41" s="3741">
        <f>I41</f>
        <v>0</v>
      </c>
      <c r="W41" s="3741"/>
      <c r="X41" s="799"/>
      <c r="Y41" s="1315"/>
      <c r="Z41" s="799"/>
      <c r="AA41" s="799"/>
      <c r="AB41" s="799"/>
      <c r="AC41" s="799"/>
    </row>
    <row r="42" spans="1:29" ht="15.75" thickBot="1">
      <c r="A42" s="564" t="s">
        <v>2040</v>
      </c>
      <c r="B42" s="813"/>
      <c r="C42" s="2083" t="e">
        <f>R43</f>
        <v>#DIV/0!</v>
      </c>
      <c r="D42" s="2551" t="s">
        <v>2258</v>
      </c>
      <c r="E42" s="2084" t="e">
        <f>R42</f>
        <v>#DIV/0!</v>
      </c>
      <c r="F42" s="2552"/>
      <c r="G42" s="2083" t="e">
        <f>T42</f>
        <v>#DIV/0!</v>
      </c>
      <c r="H42" s="2552"/>
      <c r="I42" s="2084" t="e">
        <f>V42</f>
        <v>#DIV/0!</v>
      </c>
      <c r="J42" s="2552"/>
      <c r="K42" s="2559">
        <f>F42+H42+J42</f>
        <v>0</v>
      </c>
      <c r="L42" s="1752"/>
      <c r="M42" s="1743"/>
      <c r="N42" s="1743"/>
      <c r="O42" s="1743"/>
      <c r="P42" s="3725" t="str">
        <f>A42</f>
        <v>比较价格（元/平方米）</v>
      </c>
      <c r="Q42" s="3725"/>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799"/>
      <c r="Y42" s="799"/>
      <c r="Z42" s="799"/>
      <c r="AA42" s="799"/>
      <c r="AB42" s="799"/>
      <c r="AC42" s="799"/>
    </row>
    <row r="43" spans="1:29" ht="15.75" thickBot="1">
      <c r="A43" s="568" t="s">
        <v>2195</v>
      </c>
      <c r="B43" s="569"/>
      <c r="C43" s="469" t="e">
        <f>R43</f>
        <v>#DIV/0!</v>
      </c>
      <c r="D43" s="469"/>
      <c r="E43" s="469"/>
      <c r="F43" s="469"/>
      <c r="G43" s="469"/>
      <c r="H43" s="469"/>
      <c r="I43" s="469"/>
      <c r="J43" s="469"/>
      <c r="K43" s="1337"/>
      <c r="L43" s="1752"/>
      <c r="M43" s="1743"/>
      <c r="N43" s="1743"/>
      <c r="O43" s="1743"/>
      <c r="P43" s="3731" t="str">
        <f>A43</f>
        <v>估价对象XX用房的比较价格（楼面单价，元/平方米）</v>
      </c>
      <c r="Q43" s="3732"/>
      <c r="R43" s="3848" t="e">
        <f>IF(F1="售价",ROUND(IF(D42="简单平均",AVERAGE(R42:V42),R42*F42+T42*H42+V42*J42),0),ROUND(IF(D42="简单平均",AVERAGE(R42:V42),R42*F42+T42*H42+V42*J42),1))</f>
        <v>#DIV/0!</v>
      </c>
      <c r="S43" s="3848"/>
      <c r="T43" s="3848"/>
      <c r="U43" s="3848"/>
      <c r="V43" s="3848"/>
      <c r="W43" s="3848"/>
      <c r="X43" s="799"/>
      <c r="Y43" s="799"/>
      <c r="Z43" s="799"/>
      <c r="AA43" s="799"/>
      <c r="AB43" s="799"/>
      <c r="AC43" s="799"/>
    </row>
    <row r="44" spans="1:29">
      <c r="A44" s="2721"/>
      <c r="B44" s="2721"/>
      <c r="C44" s="2721"/>
      <c r="D44" s="2721"/>
      <c r="E44" s="2721"/>
      <c r="F44" s="2721"/>
      <c r="G44" s="2723"/>
      <c r="H44" s="2721"/>
      <c r="I44" s="2721"/>
      <c r="J44" s="2721"/>
      <c r="K44" s="2724"/>
      <c r="L44" s="1756"/>
      <c r="M44" s="1743"/>
      <c r="N44" s="1743"/>
      <c r="O44" s="1743"/>
      <c r="P44" s="1743"/>
      <c r="Q44" s="1743"/>
      <c r="R44" s="1743"/>
      <c r="S44" s="1743"/>
      <c r="T44" s="1743"/>
      <c r="U44" s="1743"/>
      <c r="V44" s="1743"/>
      <c r="W44" s="1743"/>
      <c r="X44" s="1743"/>
      <c r="Y44" s="1743"/>
      <c r="Z44" s="1743"/>
      <c r="AA44" s="1743"/>
      <c r="AB44" s="1743"/>
      <c r="AC44" s="1743"/>
    </row>
    <row r="45" spans="1:29">
      <c r="A45" s="2721"/>
      <c r="B45" s="2721"/>
      <c r="C45" s="2721"/>
      <c r="D45" s="2721"/>
      <c r="E45" s="2721"/>
      <c r="F45" s="2721"/>
      <c r="G45" s="2721"/>
      <c r="H45" s="2721"/>
      <c r="I45" s="2721"/>
      <c r="J45" s="2721"/>
      <c r="K45" s="2724"/>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1"/>
      <c r="B46" s="2721"/>
      <c r="C46" s="571" t="s">
        <v>504</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1"/>
      <c r="B47" s="2721"/>
      <c r="C47" s="571" t="s">
        <v>505</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2"/>
      <c r="B48" s="2722"/>
      <c r="C48" s="571" t="s">
        <v>506</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520</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476</v>
      </c>
      <c r="B52" s="593"/>
      <c r="C52" s="2114" t="str">
        <f>YEAR(C7)&amp;"-"&amp;MONTH(C7)</f>
        <v>2014-8</v>
      </c>
      <c r="D52" s="2116">
        <f>EDATE(C52,-1)</f>
        <v>41821</v>
      </c>
      <c r="E52" s="2116">
        <f t="shared" ref="E52:O52" si="13">EDATE(D52,-1)</f>
        <v>41791</v>
      </c>
      <c r="F52" s="2116">
        <f t="shared" si="13"/>
        <v>41760</v>
      </c>
      <c r="G52" s="2116">
        <f t="shared" si="13"/>
        <v>41730</v>
      </c>
      <c r="H52" s="2116">
        <f t="shared" si="13"/>
        <v>41699</v>
      </c>
      <c r="I52" s="2116">
        <f t="shared" si="13"/>
        <v>41671</v>
      </c>
      <c r="J52" s="2116">
        <f t="shared" si="13"/>
        <v>41640</v>
      </c>
      <c r="K52" s="2116">
        <f t="shared" si="13"/>
        <v>41609</v>
      </c>
      <c r="L52" s="2116">
        <f t="shared" si="13"/>
        <v>41579</v>
      </c>
      <c r="M52" s="2116">
        <f t="shared" si="13"/>
        <v>41548</v>
      </c>
      <c r="N52" s="2116">
        <f t="shared" si="13"/>
        <v>41518</v>
      </c>
      <c r="O52" s="2116">
        <f t="shared" si="13"/>
        <v>41487</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521</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478</v>
      </c>
      <c r="B55" s="594"/>
      <c r="C55" s="604" t="s">
        <v>522</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523</v>
      </c>
      <c r="B57" s="608" t="s">
        <v>481</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484</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485</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486</v>
      </c>
      <c r="B70" s="608" t="s">
        <v>531</v>
      </c>
      <c r="C70" s="143" t="s">
        <v>525</v>
      </c>
      <c r="D70" s="143" t="s">
        <v>526</v>
      </c>
      <c r="E70" s="143" t="s">
        <v>527</v>
      </c>
      <c r="F70" s="143" t="s">
        <v>528</v>
      </c>
      <c r="G70" s="143" t="s">
        <v>529</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532</v>
      </c>
      <c r="C72" s="649" t="s">
        <v>525</v>
      </c>
      <c r="D72" s="649" t="s">
        <v>526</v>
      </c>
      <c r="E72" s="649" t="s">
        <v>527</v>
      </c>
      <c r="F72" s="649" t="s">
        <v>528</v>
      </c>
      <c r="G72" s="649" t="s">
        <v>529</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1838</v>
      </c>
      <c r="C74" s="649" t="s">
        <v>525</v>
      </c>
      <c r="D74" s="649" t="s">
        <v>526</v>
      </c>
      <c r="E74" s="649" t="s">
        <v>527</v>
      </c>
      <c r="F74" s="649" t="s">
        <v>528</v>
      </c>
      <c r="G74" s="649" t="s">
        <v>529</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1839</v>
      </c>
      <c r="C76" s="2058" t="s">
        <v>1840</v>
      </c>
      <c r="D76" s="2058" t="s">
        <v>1841</v>
      </c>
      <c r="E76" s="2058" t="s">
        <v>1842</v>
      </c>
      <c r="F76" s="2058" t="s">
        <v>1843</v>
      </c>
      <c r="G76" s="2058" t="s">
        <v>1844</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498</v>
      </c>
      <c r="B88" s="608" t="s">
        <v>685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686</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689</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690</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691</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1837</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693</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729</v>
      </c>
      <c r="C106" s="649" t="s">
        <v>525</v>
      </c>
      <c r="D106" s="649" t="s">
        <v>526</v>
      </c>
      <c r="E106" s="649" t="s">
        <v>527</v>
      </c>
      <c r="F106" s="649" t="s">
        <v>528</v>
      </c>
      <c r="G106" s="649" t="s">
        <v>529</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IF(B37="元/平方米",C39,ROUND(B2*10000/D3,0))</f>
        <v>#DIV/0!</v>
      </c>
      <c r="C3" s="786" t="s">
        <v>734</v>
      </c>
      <c r="D3" s="785">
        <f>SUMIF('数据-汇总表'!$C19:$C33,D1,'数据-汇总表'!$E19:$E33)</f>
        <v>0</v>
      </c>
      <c r="E3" s="1538" t="s">
        <v>1592</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33" t="s">
        <v>736</v>
      </c>
      <c r="D4" s="3734"/>
      <c r="E4" s="3733" t="s">
        <v>737</v>
      </c>
      <c r="F4" s="3734"/>
      <c r="G4" s="3733" t="s">
        <v>738</v>
      </c>
      <c r="H4" s="3734"/>
      <c r="I4" s="3733" t="s">
        <v>739</v>
      </c>
      <c r="J4" s="3734"/>
      <c r="K4" s="465" t="s">
        <v>740</v>
      </c>
      <c r="L4" s="1742"/>
      <c r="M4" s="1743"/>
      <c r="N4" s="1743"/>
      <c r="O4" s="1743"/>
      <c r="P4" s="3735" t="s">
        <v>741</v>
      </c>
      <c r="Q4" s="3736"/>
      <c r="R4" s="3719" t="s">
        <v>737</v>
      </c>
      <c r="S4" s="3720"/>
      <c r="T4" s="3719" t="s">
        <v>738</v>
      </c>
      <c r="U4" s="3720"/>
      <c r="V4" s="3741" t="s">
        <v>739</v>
      </c>
      <c r="W4" s="3741"/>
      <c r="X4" s="1303"/>
      <c r="Y4" s="3719" t="s">
        <v>741</v>
      </c>
      <c r="Z4" s="3720"/>
      <c r="AA4" s="3714" t="s">
        <v>737</v>
      </c>
      <c r="AB4" s="3715" t="s">
        <v>738</v>
      </c>
      <c r="AC4" s="3714" t="s">
        <v>739</v>
      </c>
    </row>
    <row r="5" spans="1:29" ht="15">
      <c r="A5" s="466"/>
      <c r="B5" s="467"/>
      <c r="C5" s="3744" t="s">
        <v>2189</v>
      </c>
      <c r="D5" s="3745"/>
      <c r="E5" s="3744" t="s">
        <v>2190</v>
      </c>
      <c r="F5" s="3745"/>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46" t="s">
        <v>2193</v>
      </c>
      <c r="F6" s="3747"/>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SUMIF(48:48,YEAR(E7)&amp;"-"&amp;MONTH(E7),49:49)</f>
        <v>0</v>
      </c>
      <c r="G7" s="474"/>
      <c r="H7" s="471">
        <f>SUMIF(48:48,YEAR(G7)&amp;"-"&amp;MONTH(G7),49:49)</f>
        <v>0</v>
      </c>
      <c r="I7" s="474"/>
      <c r="J7" s="471">
        <f>SUMIF(48:48,YEAR(I7)&amp;"-"&amp;MONTH(I7),49:49)</f>
        <v>0</v>
      </c>
      <c r="K7" s="88"/>
      <c r="L7" s="1744"/>
      <c r="M7" s="1641"/>
      <c r="N7" s="1641"/>
      <c r="O7" s="1641"/>
      <c r="P7" s="3717" t="s">
        <v>477</v>
      </c>
      <c r="Q7" s="3726"/>
      <c r="R7" s="1304" t="s">
        <v>5</v>
      </c>
      <c r="S7" s="1305">
        <f t="shared" ref="S7:S14" si="0">F7</f>
        <v>0</v>
      </c>
      <c r="T7" s="1304" t="s">
        <v>5</v>
      </c>
      <c r="U7" s="1305">
        <f t="shared" ref="U7:U14" si="1">H7</f>
        <v>0</v>
      </c>
      <c r="V7" s="1304" t="s">
        <v>5</v>
      </c>
      <c r="W7" s="1305">
        <f t="shared" ref="W7:W14"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36" si="3">D8/F8</f>
        <v>#DIV/0!</v>
      </c>
      <c r="AB8" s="997" t="e">
        <f t="shared" ref="AB8:AB36" si="4">D8/H8</f>
        <v>#DIV/0!</v>
      </c>
      <c r="AC8" s="997" t="e">
        <f t="shared" ref="AC8:AC36" si="5">D8/J8</f>
        <v>#DIV/0!</v>
      </c>
    </row>
    <row r="9" spans="1:29" s="1060" customFormat="1" ht="15">
      <c r="A9" s="2212"/>
      <c r="B9" s="2219" t="s">
        <v>2036</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725" t="s">
        <v>482</v>
      </c>
      <c r="Q9" s="818" t="str">
        <f t="shared" ref="Q9:Q14" si="6">B9</f>
        <v>用途</v>
      </c>
      <c r="R9" s="1304" t="s">
        <v>5</v>
      </c>
      <c r="S9" s="1305">
        <f t="shared" si="0"/>
        <v>100</v>
      </c>
      <c r="T9" s="1304" t="s">
        <v>5</v>
      </c>
      <c r="U9" s="1305">
        <f t="shared" si="1"/>
        <v>100</v>
      </c>
      <c r="V9" s="1304" t="s">
        <v>5</v>
      </c>
      <c r="W9" s="1305">
        <f t="shared" si="2"/>
        <v>100</v>
      </c>
      <c r="X9" s="1306"/>
      <c r="Y9" s="3673"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725"/>
      <c r="Q11" s="818">
        <f t="shared" si="6"/>
        <v>111</v>
      </c>
      <c r="R11" s="1304" t="s">
        <v>5</v>
      </c>
      <c r="S11" s="1305">
        <f t="shared" si="0"/>
        <v>100</v>
      </c>
      <c r="T11" s="1304" t="s">
        <v>5</v>
      </c>
      <c r="U11" s="1305">
        <f t="shared" si="1"/>
        <v>100</v>
      </c>
      <c r="V11" s="1304" t="s">
        <v>5</v>
      </c>
      <c r="W11" s="1305">
        <f t="shared" si="2"/>
        <v>100</v>
      </c>
      <c r="X11" s="1306"/>
      <c r="Y11" s="3673"/>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85.5">
      <c r="A14" s="2208" t="s">
        <v>2034</v>
      </c>
      <c r="B14" s="497" t="s">
        <v>490</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727" t="s">
        <v>487</v>
      </c>
      <c r="Q14" s="1307" t="str">
        <f t="shared" si="6"/>
        <v>交通便捷度</v>
      </c>
      <c r="R14" s="1308" t="s">
        <v>5</v>
      </c>
      <c r="S14" s="1309">
        <f t="shared" si="0"/>
        <v>100</v>
      </c>
      <c r="T14" s="1308" t="s">
        <v>5</v>
      </c>
      <c r="U14" s="1309">
        <f t="shared" si="1"/>
        <v>100</v>
      </c>
      <c r="V14" s="1308" t="s">
        <v>5</v>
      </c>
      <c r="W14" s="1309">
        <f t="shared" si="2"/>
        <v>100</v>
      </c>
      <c r="X14" s="1303"/>
      <c r="Y14" s="3727" t="s">
        <v>487</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728"/>
      <c r="Q15" s="1307"/>
      <c r="R15" s="1308"/>
      <c r="S15" s="1309"/>
      <c r="T15" s="1308"/>
      <c r="U15" s="1309"/>
      <c r="V15" s="1308"/>
      <c r="W15" s="1309"/>
      <c r="X15" s="1303"/>
      <c r="Y15" s="3728"/>
      <c r="Z15" s="1310"/>
      <c r="AA15" s="1310">
        <v>1</v>
      </c>
      <c r="AB15" s="1310">
        <v>1</v>
      </c>
      <c r="AC15" s="1310">
        <v>1</v>
      </c>
    </row>
    <row r="16" spans="1:29" ht="42.75">
      <c r="A16" s="466"/>
      <c r="B16" s="2063" t="s">
        <v>1827</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728"/>
      <c r="Q16" s="1307" t="str">
        <f>B16</f>
        <v>公共配套设施</v>
      </c>
      <c r="R16" s="1308" t="s">
        <v>5</v>
      </c>
      <c r="S16" s="1309">
        <f>F16</f>
        <v>100</v>
      </c>
      <c r="T16" s="1308" t="s">
        <v>5</v>
      </c>
      <c r="U16" s="1309">
        <f>H16</f>
        <v>100</v>
      </c>
      <c r="V16" s="1308" t="s">
        <v>5</v>
      </c>
      <c r="W16" s="1309">
        <f>J16</f>
        <v>100</v>
      </c>
      <c r="X16" s="1303"/>
      <c r="Y16" s="3728"/>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728"/>
      <c r="Q17" s="1307"/>
      <c r="R17" s="1308"/>
      <c r="S17" s="1309"/>
      <c r="T17" s="1308"/>
      <c r="U17" s="1309"/>
      <c r="V17" s="1308"/>
      <c r="W17" s="1309"/>
      <c r="X17" s="1303"/>
      <c r="Y17" s="3728"/>
      <c r="Z17" s="1310"/>
      <c r="AA17" s="1310">
        <v>1</v>
      </c>
      <c r="AB17" s="1310">
        <v>1</v>
      </c>
      <c r="AC17" s="1310">
        <v>1</v>
      </c>
    </row>
    <row r="18" spans="1:29" ht="28.5">
      <c r="A18" s="466"/>
      <c r="B18" s="2051" t="s">
        <v>1839</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728"/>
      <c r="Q18" s="1307" t="str">
        <f>B18</f>
        <v>基础设施水平</v>
      </c>
      <c r="R18" s="1308" t="s">
        <v>5</v>
      </c>
      <c r="S18" s="1309">
        <f>F18</f>
        <v>100</v>
      </c>
      <c r="T18" s="1308" t="s">
        <v>5</v>
      </c>
      <c r="U18" s="1309">
        <f>H18</f>
        <v>100</v>
      </c>
      <c r="V18" s="1308" t="s">
        <v>5</v>
      </c>
      <c r="W18" s="1309">
        <f>J18</f>
        <v>100</v>
      </c>
      <c r="X18" s="1303"/>
      <c r="Y18" s="3728"/>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728"/>
      <c r="Q19" s="1307"/>
      <c r="R19" s="1308"/>
      <c r="S19" s="1309"/>
      <c r="T19" s="1308"/>
      <c r="U19" s="1309"/>
      <c r="V19" s="1308"/>
      <c r="W19" s="1309"/>
      <c r="X19" s="1303"/>
      <c r="Y19" s="3728"/>
      <c r="Z19" s="1310"/>
      <c r="AA19" s="1310">
        <v>1</v>
      </c>
      <c r="AB19" s="1310">
        <v>1</v>
      </c>
      <c r="AC19" s="1310">
        <v>1</v>
      </c>
    </row>
    <row r="20" spans="1:29" ht="57">
      <c r="A20" s="466"/>
      <c r="B20" s="510" t="s">
        <v>742</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728"/>
      <c r="Q20" s="1307" t="str">
        <f>B20</f>
        <v>自然及人文环境</v>
      </c>
      <c r="R20" s="1308" t="s">
        <v>5</v>
      </c>
      <c r="S20" s="1309">
        <f>F20</f>
        <v>100</v>
      </c>
      <c r="T20" s="1308" t="s">
        <v>5</v>
      </c>
      <c r="U20" s="1309">
        <f>H20</f>
        <v>100</v>
      </c>
      <c r="V20" s="1308" t="s">
        <v>5</v>
      </c>
      <c r="W20" s="1309">
        <f>J20</f>
        <v>100</v>
      </c>
      <c r="X20" s="1303"/>
      <c r="Y20" s="3728"/>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728"/>
      <c r="Q21" s="1307"/>
      <c r="R21" s="1308"/>
      <c r="S21" s="1309"/>
      <c r="T21" s="1308"/>
      <c r="U21" s="1309"/>
      <c r="V21" s="1308"/>
      <c r="W21" s="1309"/>
      <c r="X21" s="1303"/>
      <c r="Y21" s="3728"/>
      <c r="Z21" s="1310"/>
      <c r="AA21" s="1310">
        <v>1</v>
      </c>
      <c r="AB21" s="1310">
        <v>1</v>
      </c>
      <c r="AC21" s="1310">
        <v>1</v>
      </c>
    </row>
    <row r="22" spans="1:29" ht="15">
      <c r="A22" s="466"/>
      <c r="B22" s="510" t="s">
        <v>743</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728"/>
      <c r="Q22" s="1307" t="str">
        <f>B22</f>
        <v>楼层</v>
      </c>
      <c r="R22" s="1308" t="s">
        <v>5</v>
      </c>
      <c r="S22" s="1309">
        <f>F22</f>
        <v>100</v>
      </c>
      <c r="T22" s="1308" t="s">
        <v>5</v>
      </c>
      <c r="U22" s="1309">
        <f>H22</f>
        <v>100</v>
      </c>
      <c r="V22" s="1308" t="s">
        <v>5</v>
      </c>
      <c r="W22" s="1309">
        <f>J22</f>
        <v>100</v>
      </c>
      <c r="X22" s="1303"/>
      <c r="Y22" s="3728"/>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728"/>
      <c r="Q23" s="1307">
        <f>B23</f>
        <v>111</v>
      </c>
      <c r="R23" s="1308" t="s">
        <v>5</v>
      </c>
      <c r="S23" s="1309">
        <f>F23</f>
        <v>100</v>
      </c>
      <c r="T23" s="1308" t="s">
        <v>5</v>
      </c>
      <c r="U23" s="1309">
        <f>H23</f>
        <v>100</v>
      </c>
      <c r="V23" s="1308" t="s">
        <v>5</v>
      </c>
      <c r="W23" s="1309">
        <f>J23</f>
        <v>100</v>
      </c>
      <c r="X23" s="1303"/>
      <c r="Y23" s="3728"/>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728"/>
      <c r="Q24" s="1307">
        <f t="shared" ref="Q24:Q36" si="8">B24</f>
        <v>111</v>
      </c>
      <c r="R24" s="1308" t="s">
        <v>5</v>
      </c>
      <c r="S24" s="1309">
        <f>F24</f>
        <v>100</v>
      </c>
      <c r="T24" s="1308" t="s">
        <v>5</v>
      </c>
      <c r="U24" s="1309">
        <f>H24</f>
        <v>100</v>
      </c>
      <c r="V24" s="1308" t="s">
        <v>5</v>
      </c>
      <c r="W24" s="1309">
        <f>J24</f>
        <v>100</v>
      </c>
      <c r="X24" s="1303"/>
      <c r="Y24" s="3728"/>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728"/>
      <c r="Q25" s="818">
        <f t="shared" si="8"/>
        <v>111</v>
      </c>
      <c r="R25" s="1304" t="s">
        <v>5</v>
      </c>
      <c r="S25" s="1305">
        <f>F25</f>
        <v>100</v>
      </c>
      <c r="T25" s="1304" t="s">
        <v>5</v>
      </c>
      <c r="U25" s="1305">
        <f>H25</f>
        <v>100</v>
      </c>
      <c r="V25" s="1304" t="s">
        <v>5</v>
      </c>
      <c r="W25" s="1305">
        <f>J25</f>
        <v>100</v>
      </c>
      <c r="X25" s="1306"/>
      <c r="Y25" s="3728"/>
      <c r="Z25" s="997">
        <f>Q25</f>
        <v>111</v>
      </c>
      <c r="AA25" s="1310">
        <f>D25/F25</f>
        <v>1</v>
      </c>
      <c r="AB25" s="1310">
        <f>D25/H25</f>
        <v>1</v>
      </c>
      <c r="AC25" s="1310">
        <f>D25/J25</f>
        <v>1</v>
      </c>
    </row>
    <row r="26" spans="1:29" ht="15">
      <c r="A26" s="2205" t="s">
        <v>2035</v>
      </c>
      <c r="B26" s="154" t="s">
        <v>744</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729" t="s">
        <v>497</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730" t="s">
        <v>497</v>
      </c>
      <c r="Z26" s="1310" t="str">
        <f t="shared" ref="Z26:Z36" si="12">Q26</f>
        <v>配套类型</v>
      </c>
      <c r="AA26" s="1310">
        <f t="shared" si="3"/>
        <v>1</v>
      </c>
      <c r="AB26" s="1310">
        <f t="shared" si="4"/>
        <v>1</v>
      </c>
      <c r="AC26" s="1310">
        <f t="shared" si="5"/>
        <v>1</v>
      </c>
    </row>
    <row r="27" spans="1:29" s="1134" customFormat="1" ht="15">
      <c r="A27" s="850"/>
      <c r="B27" s="235" t="s">
        <v>745</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730"/>
      <c r="Q27" s="819" t="str">
        <f t="shared" si="8"/>
        <v>项目停车位配比</v>
      </c>
      <c r="R27" s="1311" t="s">
        <v>5</v>
      </c>
      <c r="S27" s="1312">
        <f t="shared" si="9"/>
        <v>100</v>
      </c>
      <c r="T27" s="1311" t="s">
        <v>5</v>
      </c>
      <c r="U27" s="1312">
        <f t="shared" si="10"/>
        <v>100</v>
      </c>
      <c r="V27" s="1311" t="s">
        <v>5</v>
      </c>
      <c r="W27" s="1312">
        <f t="shared" si="11"/>
        <v>100</v>
      </c>
      <c r="X27" s="1313"/>
      <c r="Y27" s="3730"/>
      <c r="Z27" s="1314" t="str">
        <f t="shared" si="12"/>
        <v>项目停车位配比</v>
      </c>
      <c r="AA27" s="1310">
        <f t="shared" si="3"/>
        <v>1</v>
      </c>
      <c r="AB27" s="1310">
        <f t="shared" si="4"/>
        <v>1</v>
      </c>
      <c r="AC27" s="1310">
        <f t="shared" si="5"/>
        <v>1</v>
      </c>
    </row>
    <row r="28" spans="1:29" ht="15">
      <c r="A28" s="852"/>
      <c r="B28" s="235" t="s">
        <v>746</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730"/>
      <c r="Q28" s="1307" t="str">
        <f t="shared" si="8"/>
        <v>公共部分装修</v>
      </c>
      <c r="R28" s="1308" t="s">
        <v>5</v>
      </c>
      <c r="S28" s="1309">
        <f t="shared" si="9"/>
        <v>100</v>
      </c>
      <c r="T28" s="1308" t="s">
        <v>5</v>
      </c>
      <c r="U28" s="1309">
        <f t="shared" si="10"/>
        <v>100</v>
      </c>
      <c r="V28" s="1308" t="s">
        <v>5</v>
      </c>
      <c r="W28" s="1309">
        <f t="shared" si="11"/>
        <v>100</v>
      </c>
      <c r="X28" s="1303"/>
      <c r="Y28" s="3730"/>
      <c r="Z28" s="1310" t="str">
        <f t="shared" si="12"/>
        <v>公共部分装修</v>
      </c>
      <c r="AA28" s="1310">
        <f t="shared" si="3"/>
        <v>1</v>
      </c>
      <c r="AB28" s="1310">
        <f t="shared" si="4"/>
        <v>1</v>
      </c>
      <c r="AC28" s="1310">
        <f t="shared" si="5"/>
        <v>1</v>
      </c>
    </row>
    <row r="29" spans="1:29" ht="15">
      <c r="A29" s="852"/>
      <c r="B29" s="235" t="s">
        <v>747</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730"/>
      <c r="Q29" s="1307" t="str">
        <f t="shared" si="8"/>
        <v>成新率</v>
      </c>
      <c r="R29" s="1308" t="s">
        <v>5</v>
      </c>
      <c r="S29" s="1309" t="e">
        <f t="shared" si="9"/>
        <v>#N/A</v>
      </c>
      <c r="T29" s="1308" t="s">
        <v>5</v>
      </c>
      <c r="U29" s="1309" t="e">
        <f t="shared" si="10"/>
        <v>#N/A</v>
      </c>
      <c r="V29" s="1308" t="s">
        <v>5</v>
      </c>
      <c r="W29" s="1309" t="e">
        <f t="shared" si="11"/>
        <v>#N/A</v>
      </c>
      <c r="X29" s="1303"/>
      <c r="Y29" s="3730"/>
      <c r="Z29" s="1310" t="str">
        <f t="shared" si="12"/>
        <v>成新率</v>
      </c>
      <c r="AA29" s="1310" t="e">
        <f t="shared" si="3"/>
        <v>#N/A</v>
      </c>
      <c r="AB29" s="1310" t="e">
        <f t="shared" si="4"/>
        <v>#N/A</v>
      </c>
      <c r="AC29" s="1310" t="e">
        <f t="shared" si="5"/>
        <v>#N/A</v>
      </c>
    </row>
    <row r="30" spans="1:29" ht="15">
      <c r="A30" s="852"/>
      <c r="B30" s="235" t="s">
        <v>748</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730"/>
      <c r="Q30" s="1307" t="str">
        <f t="shared" si="8"/>
        <v>物业等级</v>
      </c>
      <c r="R30" s="1308" t="s">
        <v>5</v>
      </c>
      <c r="S30" s="1309">
        <f t="shared" si="9"/>
        <v>100</v>
      </c>
      <c r="T30" s="1308" t="s">
        <v>5</v>
      </c>
      <c r="U30" s="1309">
        <f t="shared" si="10"/>
        <v>100</v>
      </c>
      <c r="V30" s="1308" t="s">
        <v>5</v>
      </c>
      <c r="W30" s="1309">
        <f t="shared" si="11"/>
        <v>100</v>
      </c>
      <c r="X30" s="1303"/>
      <c r="Y30" s="3730"/>
      <c r="Z30" s="1310" t="str">
        <f t="shared" si="12"/>
        <v>物业等级</v>
      </c>
      <c r="AA30" s="1310">
        <f t="shared" si="3"/>
        <v>1</v>
      </c>
      <c r="AB30" s="1310">
        <f t="shared" si="4"/>
        <v>1</v>
      </c>
      <c r="AC30" s="1310">
        <f t="shared" si="5"/>
        <v>1</v>
      </c>
    </row>
    <row r="31" spans="1:29" s="1060" customFormat="1" ht="15">
      <c r="A31" s="854"/>
      <c r="B31" s="235" t="s">
        <v>749</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730"/>
      <c r="Q31" s="818" t="str">
        <f t="shared" si="8"/>
        <v>停车位面积</v>
      </c>
      <c r="R31" s="1304" t="s">
        <v>5</v>
      </c>
      <c r="S31" s="1305" t="e">
        <f t="shared" si="9"/>
        <v>#N/A</v>
      </c>
      <c r="T31" s="1304" t="s">
        <v>5</v>
      </c>
      <c r="U31" s="1305" t="e">
        <f t="shared" si="10"/>
        <v>#N/A</v>
      </c>
      <c r="V31" s="1304" t="s">
        <v>5</v>
      </c>
      <c r="W31" s="1305" t="e">
        <f t="shared" si="11"/>
        <v>#N/A</v>
      </c>
      <c r="X31" s="1306"/>
      <c r="Y31" s="3730"/>
      <c r="Z31" s="997" t="str">
        <f t="shared" si="12"/>
        <v>停车位面积</v>
      </c>
      <c r="AA31" s="997" t="e">
        <f t="shared" si="3"/>
        <v>#N/A</v>
      </c>
      <c r="AB31" s="997" t="e">
        <f t="shared" si="4"/>
        <v>#N/A</v>
      </c>
      <c r="AC31" s="997" t="e">
        <f t="shared" si="5"/>
        <v>#N/A</v>
      </c>
    </row>
    <row r="32" spans="1:29" ht="15">
      <c r="A32" s="852"/>
      <c r="B32" s="235" t="s">
        <v>750</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730" t="s">
        <v>497</v>
      </c>
      <c r="Q32" s="1307" t="str">
        <f t="shared" si="8"/>
        <v>车位类型</v>
      </c>
      <c r="R32" s="1308" t="s">
        <v>5</v>
      </c>
      <c r="S32" s="1309">
        <f t="shared" si="9"/>
        <v>100</v>
      </c>
      <c r="T32" s="1308" t="s">
        <v>5</v>
      </c>
      <c r="U32" s="1309">
        <f t="shared" si="10"/>
        <v>100</v>
      </c>
      <c r="V32" s="1308" t="s">
        <v>5</v>
      </c>
      <c r="W32" s="1309">
        <f t="shared" si="11"/>
        <v>100</v>
      </c>
      <c r="X32" s="1303"/>
      <c r="Y32" s="3730" t="s">
        <v>497</v>
      </c>
      <c r="Z32" s="1310" t="str">
        <f t="shared" si="12"/>
        <v>车位类型</v>
      </c>
      <c r="AA32" s="1310">
        <f t="shared" si="3"/>
        <v>1</v>
      </c>
      <c r="AB32" s="1310">
        <f t="shared" si="4"/>
        <v>1</v>
      </c>
      <c r="AC32" s="1310">
        <f t="shared" si="5"/>
        <v>1</v>
      </c>
    </row>
    <row r="33" spans="1:29" ht="15">
      <c r="A33" s="852"/>
      <c r="B33" s="235" t="s">
        <v>751</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730"/>
      <c r="Q33" s="1307" t="str">
        <f t="shared" si="8"/>
        <v>是否直接入户</v>
      </c>
      <c r="R33" s="1308" t="s">
        <v>5</v>
      </c>
      <c r="S33" s="1309">
        <f t="shared" si="9"/>
        <v>100</v>
      </c>
      <c r="T33" s="1308" t="s">
        <v>5</v>
      </c>
      <c r="U33" s="1309">
        <f t="shared" si="10"/>
        <v>100</v>
      </c>
      <c r="V33" s="1308" t="s">
        <v>5</v>
      </c>
      <c r="W33" s="1309">
        <f t="shared" si="11"/>
        <v>100</v>
      </c>
      <c r="X33" s="1303"/>
      <c r="Y33" s="3730"/>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730"/>
      <c r="Q34" s="1307">
        <f t="shared" si="8"/>
        <v>111</v>
      </c>
      <c r="R34" s="1308" t="s">
        <v>5</v>
      </c>
      <c r="S34" s="1309">
        <f t="shared" si="9"/>
        <v>100</v>
      </c>
      <c r="T34" s="1308" t="s">
        <v>5</v>
      </c>
      <c r="U34" s="1309">
        <f t="shared" si="10"/>
        <v>100</v>
      </c>
      <c r="V34" s="1308" t="s">
        <v>5</v>
      </c>
      <c r="W34" s="1309">
        <f t="shared" si="11"/>
        <v>100</v>
      </c>
      <c r="X34" s="1303"/>
      <c r="Y34" s="3730"/>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730"/>
      <c r="Q35" s="819">
        <f t="shared" si="8"/>
        <v>111</v>
      </c>
      <c r="R35" s="1311" t="s">
        <v>5</v>
      </c>
      <c r="S35" s="1312">
        <f t="shared" si="9"/>
        <v>100</v>
      </c>
      <c r="T35" s="1311" t="s">
        <v>5</v>
      </c>
      <c r="U35" s="1312">
        <f t="shared" si="10"/>
        <v>100</v>
      </c>
      <c r="V35" s="1311" t="s">
        <v>5</v>
      </c>
      <c r="W35" s="1312">
        <f t="shared" si="11"/>
        <v>100</v>
      </c>
      <c r="X35" s="1313"/>
      <c r="Y35" s="3730"/>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730"/>
      <c r="Q36" s="1307">
        <f t="shared" si="8"/>
        <v>111</v>
      </c>
      <c r="R36" s="1308" t="s">
        <v>5</v>
      </c>
      <c r="S36" s="1309">
        <f t="shared" si="9"/>
        <v>100</v>
      </c>
      <c r="T36" s="1308" t="s">
        <v>5</v>
      </c>
      <c r="U36" s="1309">
        <f t="shared" si="10"/>
        <v>100</v>
      </c>
      <c r="V36" s="1308" t="s">
        <v>5</v>
      </c>
      <c r="W36" s="1309">
        <f t="shared" si="11"/>
        <v>100</v>
      </c>
      <c r="X36" s="1303"/>
      <c r="Y36" s="3730"/>
      <c r="Z36" s="1310">
        <f t="shared" si="12"/>
        <v>111</v>
      </c>
      <c r="AA36" s="1310">
        <f t="shared" si="3"/>
        <v>1</v>
      </c>
      <c r="AB36" s="1310">
        <f t="shared" si="4"/>
        <v>1</v>
      </c>
      <c r="AC36" s="1310">
        <f t="shared" si="5"/>
        <v>1</v>
      </c>
    </row>
    <row r="37" spans="1:29" ht="15">
      <c r="A37" s="1536" t="s">
        <v>1593</v>
      </c>
      <c r="B37" s="1537" t="s">
        <v>1594</v>
      </c>
      <c r="C37" s="2082" t="s">
        <v>0</v>
      </c>
      <c r="D37" s="559"/>
      <c r="E37" s="560"/>
      <c r="F37" s="561"/>
      <c r="G37" s="562"/>
      <c r="H37" s="563"/>
      <c r="I37" s="560"/>
      <c r="J37" s="563"/>
      <c r="K37" s="1336"/>
      <c r="L37" s="1752"/>
      <c r="M37" s="1743"/>
      <c r="N37" s="1743"/>
      <c r="O37" s="1743"/>
      <c r="P37" s="3725" t="str">
        <f>A37</f>
        <v>成交单价</v>
      </c>
      <c r="Q37" s="3725"/>
      <c r="R37" s="3741">
        <f>E37</f>
        <v>0</v>
      </c>
      <c r="S37" s="3741"/>
      <c r="T37" s="3741">
        <f>G37</f>
        <v>0</v>
      </c>
      <c r="U37" s="3741"/>
      <c r="V37" s="3741">
        <f>I37</f>
        <v>0</v>
      </c>
      <c r="W37" s="3741"/>
      <c r="X37" s="799"/>
      <c r="Y37" s="1315"/>
      <c r="Z37" s="799"/>
      <c r="AA37" s="799"/>
      <c r="AB37" s="799"/>
      <c r="AC37" s="799"/>
    </row>
    <row r="38" spans="1:29" ht="15.75" thickBot="1">
      <c r="A38" s="564" t="s">
        <v>2040</v>
      </c>
      <c r="B38" s="813"/>
      <c r="C38" s="2083" t="e">
        <f>R39</f>
        <v>#DIV/0!</v>
      </c>
      <c r="D38" s="2551" t="s">
        <v>2258</v>
      </c>
      <c r="E38" s="2084" t="e">
        <f>R38</f>
        <v>#DIV/0!</v>
      </c>
      <c r="F38" s="2552"/>
      <c r="G38" s="2083" t="e">
        <f>T38</f>
        <v>#DIV/0!</v>
      </c>
      <c r="H38" s="2552"/>
      <c r="I38" s="2084" t="e">
        <f>V38</f>
        <v>#DIV/0!</v>
      </c>
      <c r="J38" s="2552"/>
      <c r="K38" s="2559">
        <f>F38+H38+J38</f>
        <v>0</v>
      </c>
      <c r="L38" s="1752"/>
      <c r="M38" s="1743"/>
      <c r="N38" s="1743"/>
      <c r="O38" s="1743"/>
      <c r="P38" s="3725" t="str">
        <f>A38</f>
        <v>比较价格（元/平方米）</v>
      </c>
      <c r="Q38" s="3725"/>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799"/>
      <c r="Y38" s="799"/>
      <c r="Z38" s="799"/>
      <c r="AA38" s="799"/>
      <c r="AB38" s="799"/>
      <c r="AC38" s="799"/>
    </row>
    <row r="39" spans="1:29" ht="15.75" thickBot="1">
      <c r="A39" s="568" t="s">
        <v>2195</v>
      </c>
      <c r="B39" s="569"/>
      <c r="C39" s="469" t="e">
        <f>R39</f>
        <v>#DIV/0!</v>
      </c>
      <c r="D39" s="469"/>
      <c r="E39" s="469"/>
      <c r="F39" s="469"/>
      <c r="G39" s="469"/>
      <c r="H39" s="469"/>
      <c r="I39" s="469"/>
      <c r="J39" s="469"/>
      <c r="K39" s="1337"/>
      <c r="L39" s="1752"/>
      <c r="M39" s="1743"/>
      <c r="N39" s="1743"/>
      <c r="O39" s="1743"/>
      <c r="P39" s="3731" t="str">
        <f>A39</f>
        <v>估价对象XX用房的比较价格（楼面单价，元/平方米）</v>
      </c>
      <c r="Q39" s="3732"/>
      <c r="R39" s="3848" t="e">
        <f>IF(F1="售价",ROUND(IF(D38="简单平均",AVERAGE(R38:W38),R38*F38+T38*H38+V38*J38),0),ROUND(IF(D38="简单平均",AVERAGE(R38:V38),R38*F38+T38*H38+V38*J38),1))</f>
        <v>#DIV/0!</v>
      </c>
      <c r="S39" s="3848"/>
      <c r="T39" s="3848"/>
      <c r="U39" s="3848"/>
      <c r="V39" s="3848"/>
      <c r="W39" s="3848"/>
      <c r="X39" s="799"/>
      <c r="Y39" s="799"/>
      <c r="Z39" s="799"/>
      <c r="AA39" s="799"/>
      <c r="AB39" s="799"/>
      <c r="AC39" s="799"/>
    </row>
    <row r="40" spans="1:29">
      <c r="A40" s="2721"/>
      <c r="B40" s="2721"/>
      <c r="C40" s="2721"/>
      <c r="D40" s="2721"/>
      <c r="E40" s="2721"/>
      <c r="F40" s="2721"/>
      <c r="G40" s="2723"/>
      <c r="H40" s="2721"/>
      <c r="I40" s="2721"/>
      <c r="J40" s="2721"/>
      <c r="K40" s="2724"/>
      <c r="L40" s="1756"/>
      <c r="M40" s="1743"/>
      <c r="N40" s="1743"/>
      <c r="O40" s="1743"/>
      <c r="P40" s="1743"/>
      <c r="Q40" s="1743"/>
      <c r="R40" s="1743"/>
      <c r="S40" s="1743"/>
      <c r="T40" s="1743"/>
      <c r="U40" s="1743"/>
      <c r="V40" s="1743"/>
      <c r="W40" s="1743"/>
      <c r="X40" s="1743"/>
      <c r="Y40" s="1743"/>
      <c r="Z40" s="1743"/>
      <c r="AA40" s="1743"/>
      <c r="AB40" s="1743"/>
      <c r="AC40" s="1743"/>
    </row>
    <row r="41" spans="1:29">
      <c r="A41" s="2721"/>
      <c r="B41" s="2721"/>
      <c r="C41" s="2721"/>
      <c r="D41" s="2721"/>
      <c r="E41" s="2721"/>
      <c r="F41" s="2721"/>
      <c r="G41" s="2721"/>
      <c r="H41" s="2721"/>
      <c r="I41" s="2721"/>
      <c r="J41" s="2721"/>
      <c r="K41" s="2724"/>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1"/>
      <c r="B42" s="2721"/>
      <c r="C42" s="571" t="s">
        <v>504</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1"/>
      <c r="B43" s="2721"/>
      <c r="C43" s="571" t="s">
        <v>505</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2"/>
      <c r="B44" s="2722"/>
      <c r="C44" s="571" t="s">
        <v>506</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520</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476</v>
      </c>
      <c r="B48" s="593"/>
      <c r="C48" s="2114" t="str">
        <f>YEAR(C7)&amp;"-"&amp;MONTH(C7)</f>
        <v>2014-8</v>
      </c>
      <c r="D48" s="2116">
        <f>EDATE(C48,-1)</f>
        <v>41821</v>
      </c>
      <c r="E48" s="2116">
        <f t="shared" ref="E48:O48" si="13">EDATE(D48,-1)</f>
        <v>41791</v>
      </c>
      <c r="F48" s="2116">
        <f t="shared" si="13"/>
        <v>41760</v>
      </c>
      <c r="G48" s="2116">
        <f t="shared" si="13"/>
        <v>41730</v>
      </c>
      <c r="H48" s="2116">
        <f t="shared" si="13"/>
        <v>41699</v>
      </c>
      <c r="I48" s="2116">
        <f t="shared" si="13"/>
        <v>41671</v>
      </c>
      <c r="J48" s="2116">
        <f t="shared" si="13"/>
        <v>41640</v>
      </c>
      <c r="K48" s="2116">
        <f t="shared" si="13"/>
        <v>41609</v>
      </c>
      <c r="L48" s="2116">
        <f t="shared" si="13"/>
        <v>41579</v>
      </c>
      <c r="M48" s="2116">
        <f t="shared" si="13"/>
        <v>41548</v>
      </c>
      <c r="N48" s="2116">
        <f t="shared" si="13"/>
        <v>41518</v>
      </c>
      <c r="O48" s="2116">
        <f t="shared" si="13"/>
        <v>41487</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521</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478</v>
      </c>
      <c r="B51" s="594"/>
      <c r="C51" s="604" t="s">
        <v>522</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523</v>
      </c>
      <c r="B53" s="608" t="s">
        <v>481</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484</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486</v>
      </c>
      <c r="B63" s="608" t="s">
        <v>532</v>
      </c>
      <c r="C63" s="143" t="s">
        <v>525</v>
      </c>
      <c r="D63" s="143" t="s">
        <v>526</v>
      </c>
      <c r="E63" s="143" t="s">
        <v>527</v>
      </c>
      <c r="F63" s="143" t="s">
        <v>528</v>
      </c>
      <c r="G63" s="143" t="s">
        <v>529</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1838</v>
      </c>
      <c r="C65" s="649" t="s">
        <v>525</v>
      </c>
      <c r="D65" s="649" t="s">
        <v>526</v>
      </c>
      <c r="E65" s="649" t="s">
        <v>527</v>
      </c>
      <c r="F65" s="649" t="s">
        <v>528</v>
      </c>
      <c r="G65" s="649" t="s">
        <v>529</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1839</v>
      </c>
      <c r="C67" s="2058" t="s">
        <v>1840</v>
      </c>
      <c r="D67" s="2058" t="s">
        <v>1841</v>
      </c>
      <c r="E67" s="2058" t="s">
        <v>1842</v>
      </c>
      <c r="F67" s="2058" t="s">
        <v>1843</v>
      </c>
      <c r="G67" s="2058" t="s">
        <v>1844</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682</v>
      </c>
      <c r="C69" s="649" t="s">
        <v>525</v>
      </c>
      <c r="D69" s="649" t="s">
        <v>526</v>
      </c>
      <c r="E69" s="649" t="s">
        <v>527</v>
      </c>
      <c r="F69" s="649" t="s">
        <v>528</v>
      </c>
      <c r="G69" s="649" t="s">
        <v>529</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683</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498</v>
      </c>
      <c r="B79" s="608" t="s">
        <v>752</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753</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689</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754</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756</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758</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C37</f>
        <v>#DIV/0!</v>
      </c>
      <c r="C3" s="786" t="s">
        <v>734</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33" t="s">
        <v>736</v>
      </c>
      <c r="D4" s="3734"/>
      <c r="E4" s="3755" t="s">
        <v>737</v>
      </c>
      <c r="F4" s="3756"/>
      <c r="G4" s="3733" t="s">
        <v>738</v>
      </c>
      <c r="H4" s="3734"/>
      <c r="I4" s="3733" t="s">
        <v>739</v>
      </c>
      <c r="J4" s="3734"/>
      <c r="K4" s="465" t="s">
        <v>740</v>
      </c>
      <c r="L4" s="1742"/>
      <c r="M4" s="1743"/>
      <c r="N4" s="1743"/>
      <c r="O4" s="1743"/>
      <c r="P4" s="3735" t="s">
        <v>741</v>
      </c>
      <c r="Q4" s="3736"/>
      <c r="R4" s="3719" t="s">
        <v>737</v>
      </c>
      <c r="S4" s="3720"/>
      <c r="T4" s="3719" t="s">
        <v>738</v>
      </c>
      <c r="U4" s="3720"/>
      <c r="V4" s="3741" t="s">
        <v>739</v>
      </c>
      <c r="W4" s="3741"/>
      <c r="X4" s="1303"/>
      <c r="Y4" s="3719" t="s">
        <v>741</v>
      </c>
      <c r="Z4" s="3720"/>
      <c r="AA4" s="3714" t="s">
        <v>737</v>
      </c>
      <c r="AB4" s="3715" t="s">
        <v>738</v>
      </c>
      <c r="AC4" s="3714" t="s">
        <v>739</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SUMIF(46:46,YEAR(E7)&amp;"-"&amp;MONTH(E7),47:47)</f>
        <v>0</v>
      </c>
      <c r="G7" s="474"/>
      <c r="H7" s="471">
        <f>SUMIF(46:46,YEAR(G7)&amp;"-"&amp;MONTH(G7),47:47)</f>
        <v>0</v>
      </c>
      <c r="I7" s="474"/>
      <c r="J7" s="471">
        <f>SUMIF(46:46,YEAR(I7)&amp;"-"&amp;MONTH(I7),47:47)</f>
        <v>0</v>
      </c>
      <c r="K7" s="88"/>
      <c r="L7" s="1744"/>
      <c r="M7" s="1641"/>
      <c r="N7" s="1641"/>
      <c r="O7" s="1641"/>
      <c r="P7" s="3717" t="s">
        <v>477</v>
      </c>
      <c r="Q7" s="3726"/>
      <c r="R7" s="1304" t="s">
        <v>5</v>
      </c>
      <c r="S7" s="1305">
        <f t="shared" ref="S7:S14" si="0">F7</f>
        <v>0</v>
      </c>
      <c r="T7" s="1304" t="s">
        <v>5</v>
      </c>
      <c r="U7" s="1305">
        <f t="shared" ref="U7:U14" si="1">H7</f>
        <v>0</v>
      </c>
      <c r="V7" s="1304" t="s">
        <v>5</v>
      </c>
      <c r="W7" s="1305">
        <f t="shared" ref="W7:W14"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34" si="3">D8/F8</f>
        <v>#DIV/0!</v>
      </c>
      <c r="AB8" s="997" t="e">
        <f t="shared" ref="AB8:AB34" si="4">D8/H8</f>
        <v>#DIV/0!</v>
      </c>
      <c r="AC8" s="997" t="e">
        <f t="shared" ref="AC8:AC34" si="5">D8/J8</f>
        <v>#DIV/0!</v>
      </c>
    </row>
    <row r="9" spans="1:29" s="1060" customFormat="1" ht="15">
      <c r="A9" s="2212"/>
      <c r="B9" s="2219" t="s">
        <v>2036</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725" t="s">
        <v>482</v>
      </c>
      <c r="Q9" s="818" t="str">
        <f t="shared" ref="Q9:Q14" si="6">B9</f>
        <v>用途</v>
      </c>
      <c r="R9" s="1304" t="s">
        <v>5</v>
      </c>
      <c r="S9" s="1305">
        <f t="shared" si="0"/>
        <v>100</v>
      </c>
      <c r="T9" s="1304" t="s">
        <v>5</v>
      </c>
      <c r="U9" s="1305">
        <f t="shared" si="1"/>
        <v>100</v>
      </c>
      <c r="V9" s="1304" t="s">
        <v>5</v>
      </c>
      <c r="W9" s="1305">
        <f t="shared" si="2"/>
        <v>100</v>
      </c>
      <c r="X9" s="1306"/>
      <c r="Y9" s="3673"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725"/>
      <c r="Q11" s="818">
        <f t="shared" si="6"/>
        <v>111</v>
      </c>
      <c r="R11" s="1304" t="s">
        <v>5</v>
      </c>
      <c r="S11" s="1305">
        <f t="shared" si="0"/>
        <v>100</v>
      </c>
      <c r="T11" s="1304" t="s">
        <v>5</v>
      </c>
      <c r="U11" s="1305">
        <f t="shared" si="1"/>
        <v>100</v>
      </c>
      <c r="V11" s="1304" t="s">
        <v>5</v>
      </c>
      <c r="W11" s="1305">
        <f t="shared" si="2"/>
        <v>100</v>
      </c>
      <c r="X11" s="1306"/>
      <c r="Y11" s="3673"/>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85.5">
      <c r="A14" s="2208" t="s">
        <v>2034</v>
      </c>
      <c r="B14" s="150" t="s">
        <v>490</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727" t="s">
        <v>487</v>
      </c>
      <c r="Q14" s="1307" t="str">
        <f t="shared" si="6"/>
        <v>交通便捷度</v>
      </c>
      <c r="R14" s="1308" t="s">
        <v>5</v>
      </c>
      <c r="S14" s="1309">
        <f t="shared" si="0"/>
        <v>100</v>
      </c>
      <c r="T14" s="1308" t="s">
        <v>5</v>
      </c>
      <c r="U14" s="1309">
        <f t="shared" si="1"/>
        <v>100</v>
      </c>
      <c r="V14" s="1308" t="s">
        <v>5</v>
      </c>
      <c r="W14" s="1309">
        <f t="shared" si="2"/>
        <v>100</v>
      </c>
      <c r="X14" s="1303"/>
      <c r="Y14" s="3727" t="s">
        <v>487</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728"/>
      <c r="Q15" s="1307"/>
      <c r="R15" s="1308"/>
      <c r="S15" s="1309"/>
      <c r="T15" s="1308"/>
      <c r="U15" s="1309"/>
      <c r="V15" s="1308"/>
      <c r="W15" s="1309"/>
      <c r="X15" s="1303"/>
      <c r="Y15" s="3728"/>
      <c r="Z15" s="1310"/>
      <c r="AA15" s="1310">
        <v>1</v>
      </c>
      <c r="AB15" s="1310">
        <v>1</v>
      </c>
      <c r="AC15" s="1310">
        <v>1</v>
      </c>
    </row>
    <row r="16" spans="1:29" ht="42.75">
      <c r="A16" s="482"/>
      <c r="B16" s="2063" t="s">
        <v>1827</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728"/>
      <c r="Q16" s="1307" t="str">
        <f>B16</f>
        <v>公共配套设施</v>
      </c>
      <c r="R16" s="1308" t="s">
        <v>5</v>
      </c>
      <c r="S16" s="1309">
        <f>F16</f>
        <v>100</v>
      </c>
      <c r="T16" s="1308" t="s">
        <v>5</v>
      </c>
      <c r="U16" s="1309">
        <f>H16</f>
        <v>100</v>
      </c>
      <c r="V16" s="1308" t="s">
        <v>5</v>
      </c>
      <c r="W16" s="1309">
        <f>J16</f>
        <v>100</v>
      </c>
      <c r="X16" s="1303"/>
      <c r="Y16" s="3728"/>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728"/>
      <c r="Q17" s="1307"/>
      <c r="R17" s="1308"/>
      <c r="S17" s="1309"/>
      <c r="T17" s="1308"/>
      <c r="U17" s="1309"/>
      <c r="V17" s="1308"/>
      <c r="W17" s="1309"/>
      <c r="X17" s="1303"/>
      <c r="Y17" s="3728"/>
      <c r="Z17" s="1310"/>
      <c r="AA17" s="1310">
        <v>1</v>
      </c>
      <c r="AB17" s="1310">
        <v>1</v>
      </c>
      <c r="AC17" s="1310">
        <v>1</v>
      </c>
    </row>
    <row r="18" spans="1:29" ht="28.5">
      <c r="A18" s="482"/>
      <c r="B18" s="2051" t="s">
        <v>1839</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728"/>
      <c r="Q18" s="1307" t="str">
        <f>B18</f>
        <v>基础设施水平</v>
      </c>
      <c r="R18" s="1308" t="s">
        <v>5</v>
      </c>
      <c r="S18" s="1309">
        <f>F18</f>
        <v>100</v>
      </c>
      <c r="T18" s="1308" t="s">
        <v>5</v>
      </c>
      <c r="U18" s="1309">
        <f>H18</f>
        <v>100</v>
      </c>
      <c r="V18" s="1308" t="s">
        <v>5</v>
      </c>
      <c r="W18" s="1309">
        <f>J18</f>
        <v>100</v>
      </c>
      <c r="X18" s="1303"/>
      <c r="Y18" s="3728"/>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728"/>
      <c r="Q19" s="1307"/>
      <c r="R19" s="1308"/>
      <c r="S19" s="1309"/>
      <c r="T19" s="1308"/>
      <c r="U19" s="1309"/>
      <c r="V19" s="1308"/>
      <c r="W19" s="1309"/>
      <c r="X19" s="1303"/>
      <c r="Y19" s="3728"/>
      <c r="Z19" s="1310"/>
      <c r="AA19" s="1310">
        <v>1</v>
      </c>
      <c r="AB19" s="1310">
        <v>1</v>
      </c>
      <c r="AC19" s="1310">
        <v>1</v>
      </c>
    </row>
    <row r="20" spans="1:29" ht="57">
      <c r="A20" s="482"/>
      <c r="B20" s="677" t="s">
        <v>742</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728"/>
      <c r="Q20" s="1307" t="str">
        <f>B20</f>
        <v>自然及人文环境</v>
      </c>
      <c r="R20" s="1308" t="s">
        <v>5</v>
      </c>
      <c r="S20" s="1309">
        <f>F20</f>
        <v>100</v>
      </c>
      <c r="T20" s="1308" t="s">
        <v>5</v>
      </c>
      <c r="U20" s="1309">
        <f>H20</f>
        <v>100</v>
      </c>
      <c r="V20" s="1308" t="s">
        <v>5</v>
      </c>
      <c r="W20" s="1309">
        <f>J20</f>
        <v>100</v>
      </c>
      <c r="X20" s="1303"/>
      <c r="Y20" s="3728"/>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728"/>
      <c r="Q21" s="1307"/>
      <c r="R21" s="1308"/>
      <c r="S21" s="1309"/>
      <c r="T21" s="1308"/>
      <c r="U21" s="1309"/>
      <c r="V21" s="1308"/>
      <c r="W21" s="1309"/>
      <c r="X21" s="1303"/>
      <c r="Y21" s="3728"/>
      <c r="Z21" s="1310"/>
      <c r="AA21" s="1310">
        <v>1</v>
      </c>
      <c r="AB21" s="1310">
        <v>1</v>
      </c>
      <c r="AC21" s="1310">
        <v>1</v>
      </c>
    </row>
    <row r="22" spans="1:29" ht="15">
      <c r="A22" s="482"/>
      <c r="B22" s="677" t="s">
        <v>743</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728"/>
      <c r="Q22" s="1307" t="str">
        <f>B22</f>
        <v>楼层</v>
      </c>
      <c r="R22" s="1308" t="s">
        <v>5</v>
      </c>
      <c r="S22" s="1309">
        <f>F22</f>
        <v>100</v>
      </c>
      <c r="T22" s="1308" t="s">
        <v>5</v>
      </c>
      <c r="U22" s="1309">
        <f>H22</f>
        <v>100</v>
      </c>
      <c r="V22" s="1308" t="s">
        <v>5</v>
      </c>
      <c r="W22" s="1309">
        <f>J22</f>
        <v>100</v>
      </c>
      <c r="X22" s="1303"/>
      <c r="Y22" s="3728"/>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728"/>
      <c r="Q23" s="1307">
        <f>B23</f>
        <v>111</v>
      </c>
      <c r="R23" s="1308" t="s">
        <v>5</v>
      </c>
      <c r="S23" s="1309">
        <f>F23</f>
        <v>100</v>
      </c>
      <c r="T23" s="1308" t="s">
        <v>5</v>
      </c>
      <c r="U23" s="1309">
        <f>H23</f>
        <v>100</v>
      </c>
      <c r="V23" s="1308" t="s">
        <v>5</v>
      </c>
      <c r="W23" s="1309">
        <f>J23</f>
        <v>100</v>
      </c>
      <c r="X23" s="1303"/>
      <c r="Y23" s="3728"/>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728"/>
      <c r="Q24" s="1307">
        <f t="shared" ref="Q24:Q34" si="8">B24</f>
        <v>111</v>
      </c>
      <c r="R24" s="1308" t="s">
        <v>5</v>
      </c>
      <c r="S24" s="1309">
        <f>F24</f>
        <v>100</v>
      </c>
      <c r="T24" s="1308" t="s">
        <v>5</v>
      </c>
      <c r="U24" s="1309">
        <f>H24</f>
        <v>100</v>
      </c>
      <c r="V24" s="1308" t="s">
        <v>5</v>
      </c>
      <c r="W24" s="1309">
        <f>J24</f>
        <v>100</v>
      </c>
      <c r="X24" s="1303"/>
      <c r="Y24" s="3728"/>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728"/>
      <c r="Q25" s="818">
        <f t="shared" si="8"/>
        <v>111</v>
      </c>
      <c r="R25" s="1304" t="s">
        <v>5</v>
      </c>
      <c r="S25" s="1305">
        <f>F25</f>
        <v>100</v>
      </c>
      <c r="T25" s="1304" t="s">
        <v>5</v>
      </c>
      <c r="U25" s="1305">
        <f>H25</f>
        <v>100</v>
      </c>
      <c r="V25" s="1304" t="s">
        <v>5</v>
      </c>
      <c r="W25" s="1305">
        <f>J25</f>
        <v>100</v>
      </c>
      <c r="X25" s="1306"/>
      <c r="Y25" s="3728"/>
      <c r="Z25" s="997">
        <f>Q25</f>
        <v>111</v>
      </c>
      <c r="AA25" s="1310">
        <f>D25/F25</f>
        <v>1</v>
      </c>
      <c r="AB25" s="1310">
        <f>D25/H25</f>
        <v>1</v>
      </c>
      <c r="AC25" s="1310">
        <f>D25/J25</f>
        <v>1</v>
      </c>
    </row>
    <row r="26" spans="1:29" ht="15">
      <c r="A26" s="2205" t="s">
        <v>2035</v>
      </c>
      <c r="B26" s="156" t="s">
        <v>746</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729" t="s">
        <v>759</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730" t="s">
        <v>759</v>
      </c>
      <c r="Z26" s="1310" t="str">
        <f t="shared" ref="Z26:Z34" si="12">Q26</f>
        <v>公共部分装修</v>
      </c>
      <c r="AA26" s="1310">
        <f t="shared" si="3"/>
        <v>1</v>
      </c>
      <c r="AB26" s="1310">
        <f t="shared" si="4"/>
        <v>1</v>
      </c>
      <c r="AC26" s="1310">
        <f t="shared" si="5"/>
        <v>1</v>
      </c>
    </row>
    <row r="27" spans="1:29" s="1134" customFormat="1" ht="15">
      <c r="A27" s="552"/>
      <c r="B27" s="477" t="s">
        <v>747</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730"/>
      <c r="Q27" s="819" t="str">
        <f t="shared" si="8"/>
        <v>成新率</v>
      </c>
      <c r="R27" s="1311" t="s">
        <v>5</v>
      </c>
      <c r="S27" s="1312" t="e">
        <f t="shared" si="9"/>
        <v>#N/A</v>
      </c>
      <c r="T27" s="1311" t="s">
        <v>5</v>
      </c>
      <c r="U27" s="1312" t="e">
        <f t="shared" si="10"/>
        <v>#N/A</v>
      </c>
      <c r="V27" s="1311" t="s">
        <v>5</v>
      </c>
      <c r="W27" s="1312" t="e">
        <f t="shared" si="11"/>
        <v>#N/A</v>
      </c>
      <c r="X27" s="1313"/>
      <c r="Y27" s="3730"/>
      <c r="Z27" s="1314" t="str">
        <f t="shared" si="12"/>
        <v>成新率</v>
      </c>
      <c r="AA27" s="1310" t="e">
        <f t="shared" si="3"/>
        <v>#N/A</v>
      </c>
      <c r="AB27" s="1310" t="e">
        <f t="shared" si="4"/>
        <v>#N/A</v>
      </c>
      <c r="AC27" s="1310" t="e">
        <f t="shared" si="5"/>
        <v>#N/A</v>
      </c>
    </row>
    <row r="28" spans="1:29" ht="15">
      <c r="A28" s="543"/>
      <c r="B28" s="477" t="s">
        <v>748</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730"/>
      <c r="Q28" s="1307" t="str">
        <f t="shared" si="8"/>
        <v>物业等级</v>
      </c>
      <c r="R28" s="1308" t="s">
        <v>5</v>
      </c>
      <c r="S28" s="1309">
        <f t="shared" si="9"/>
        <v>100</v>
      </c>
      <c r="T28" s="1308" t="s">
        <v>5</v>
      </c>
      <c r="U28" s="1309">
        <f t="shared" si="10"/>
        <v>100</v>
      </c>
      <c r="V28" s="1308" t="s">
        <v>5</v>
      </c>
      <c r="W28" s="1309">
        <f t="shared" si="11"/>
        <v>100</v>
      </c>
      <c r="X28" s="1303"/>
      <c r="Y28" s="3730"/>
      <c r="Z28" s="1310" t="str">
        <f t="shared" si="12"/>
        <v>物业等级</v>
      </c>
      <c r="AA28" s="1310">
        <f t="shared" si="3"/>
        <v>1</v>
      </c>
      <c r="AB28" s="1310">
        <f t="shared" si="4"/>
        <v>1</v>
      </c>
      <c r="AC28" s="1310">
        <f t="shared" si="5"/>
        <v>1</v>
      </c>
    </row>
    <row r="29" spans="1:29" ht="15">
      <c r="A29" s="543"/>
      <c r="B29" s="477" t="s">
        <v>760</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730"/>
      <c r="Q29" s="1307" t="str">
        <f t="shared" si="8"/>
        <v>有无电梯</v>
      </c>
      <c r="R29" s="1308" t="s">
        <v>5</v>
      </c>
      <c r="S29" s="1309">
        <f t="shared" si="9"/>
        <v>100</v>
      </c>
      <c r="T29" s="1308" t="s">
        <v>5</v>
      </c>
      <c r="U29" s="1309">
        <f t="shared" si="10"/>
        <v>100</v>
      </c>
      <c r="V29" s="1308" t="s">
        <v>5</v>
      </c>
      <c r="W29" s="1309">
        <f t="shared" si="11"/>
        <v>100</v>
      </c>
      <c r="X29" s="1303"/>
      <c r="Y29" s="3730"/>
      <c r="Z29" s="1310" t="str">
        <f t="shared" si="12"/>
        <v>有无电梯</v>
      </c>
      <c r="AA29" s="1310">
        <f t="shared" si="3"/>
        <v>1</v>
      </c>
      <c r="AB29" s="1310">
        <f t="shared" si="4"/>
        <v>1</v>
      </c>
      <c r="AC29" s="1310">
        <f t="shared" si="5"/>
        <v>1</v>
      </c>
    </row>
    <row r="30" spans="1:29" ht="15">
      <c r="A30" s="543"/>
      <c r="B30" s="477" t="s">
        <v>761</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730"/>
      <c r="Q30" s="1307" t="str">
        <f t="shared" si="8"/>
        <v>建筑面积</v>
      </c>
      <c r="R30" s="1308" t="s">
        <v>5</v>
      </c>
      <c r="S30" s="1309" t="e">
        <f t="shared" si="9"/>
        <v>#N/A</v>
      </c>
      <c r="T30" s="1308" t="s">
        <v>5</v>
      </c>
      <c r="U30" s="1309" t="e">
        <f t="shared" si="10"/>
        <v>#N/A</v>
      </c>
      <c r="V30" s="1308" t="s">
        <v>5</v>
      </c>
      <c r="W30" s="1309" t="e">
        <f t="shared" si="11"/>
        <v>#N/A</v>
      </c>
      <c r="X30" s="1303"/>
      <c r="Y30" s="3730"/>
      <c r="Z30" s="1310" t="str">
        <f t="shared" si="12"/>
        <v>建筑面积</v>
      </c>
      <c r="AA30" s="1310" t="e">
        <f t="shared" si="3"/>
        <v>#N/A</v>
      </c>
      <c r="AB30" s="1310" t="e">
        <f t="shared" si="4"/>
        <v>#N/A</v>
      </c>
      <c r="AC30" s="1310" t="e">
        <f t="shared" si="5"/>
        <v>#N/A</v>
      </c>
    </row>
    <row r="31" spans="1:29" s="1060" customFormat="1" ht="15">
      <c r="A31" s="549"/>
      <c r="B31" s="477" t="s">
        <v>762</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730"/>
      <c r="Q31" s="818" t="str">
        <f t="shared" si="8"/>
        <v>是否封闭</v>
      </c>
      <c r="R31" s="1304" t="s">
        <v>5</v>
      </c>
      <c r="S31" s="1305">
        <f t="shared" si="9"/>
        <v>100</v>
      </c>
      <c r="T31" s="1304" t="s">
        <v>5</v>
      </c>
      <c r="U31" s="1305">
        <f t="shared" si="10"/>
        <v>100</v>
      </c>
      <c r="V31" s="1304" t="s">
        <v>5</v>
      </c>
      <c r="W31" s="1305">
        <f t="shared" si="11"/>
        <v>100</v>
      </c>
      <c r="X31" s="1306"/>
      <c r="Y31" s="3730"/>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730" t="s">
        <v>497</v>
      </c>
      <c r="Q32" s="1307">
        <f t="shared" si="8"/>
        <v>111</v>
      </c>
      <c r="R32" s="1308" t="s">
        <v>5</v>
      </c>
      <c r="S32" s="1309">
        <f t="shared" si="9"/>
        <v>100</v>
      </c>
      <c r="T32" s="1308" t="s">
        <v>5</v>
      </c>
      <c r="U32" s="1309">
        <f t="shared" si="10"/>
        <v>100</v>
      </c>
      <c r="V32" s="1308" t="s">
        <v>5</v>
      </c>
      <c r="W32" s="1309">
        <f t="shared" si="11"/>
        <v>100</v>
      </c>
      <c r="X32" s="1303"/>
      <c r="Y32" s="3730" t="s">
        <v>497</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730"/>
      <c r="Q33" s="1307">
        <f t="shared" si="8"/>
        <v>111</v>
      </c>
      <c r="R33" s="1308" t="s">
        <v>5</v>
      </c>
      <c r="S33" s="1309">
        <f t="shared" si="9"/>
        <v>100</v>
      </c>
      <c r="T33" s="1308" t="s">
        <v>5</v>
      </c>
      <c r="U33" s="1309">
        <f t="shared" si="10"/>
        <v>100</v>
      </c>
      <c r="V33" s="1308" t="s">
        <v>5</v>
      </c>
      <c r="W33" s="1309">
        <f t="shared" si="11"/>
        <v>100</v>
      </c>
      <c r="X33" s="1303"/>
      <c r="Y33" s="3730"/>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730"/>
      <c r="Q34" s="1307">
        <f t="shared" si="8"/>
        <v>111</v>
      </c>
      <c r="R34" s="1308" t="s">
        <v>5</v>
      </c>
      <c r="S34" s="1309">
        <f t="shared" si="9"/>
        <v>100</v>
      </c>
      <c r="T34" s="1308" t="s">
        <v>5</v>
      </c>
      <c r="U34" s="1309">
        <f t="shared" si="10"/>
        <v>100</v>
      </c>
      <c r="V34" s="1308" t="s">
        <v>5</v>
      </c>
      <c r="W34" s="1309">
        <f t="shared" si="11"/>
        <v>100</v>
      </c>
      <c r="X34" s="1303"/>
      <c r="Y34" s="3730"/>
      <c r="Z34" s="1310">
        <f t="shared" si="12"/>
        <v>111</v>
      </c>
      <c r="AA34" s="1310">
        <f t="shared" si="3"/>
        <v>1</v>
      </c>
      <c r="AB34" s="1310">
        <f t="shared" si="4"/>
        <v>1</v>
      </c>
      <c r="AC34" s="1310">
        <f t="shared" si="5"/>
        <v>1</v>
      </c>
    </row>
    <row r="35" spans="1:29" ht="15">
      <c r="A35" s="556" t="s">
        <v>681</v>
      </c>
      <c r="B35" s="812"/>
      <c r="C35" s="2082" t="s">
        <v>0</v>
      </c>
      <c r="D35" s="559"/>
      <c r="E35" s="560"/>
      <c r="F35" s="561"/>
      <c r="G35" s="562"/>
      <c r="H35" s="563"/>
      <c r="I35" s="560"/>
      <c r="J35" s="563"/>
      <c r="K35" s="1336"/>
      <c r="L35" s="1752"/>
      <c r="M35" s="1743"/>
      <c r="N35" s="1743"/>
      <c r="O35" s="1743"/>
      <c r="P35" s="3725" t="str">
        <f>A35</f>
        <v>成交单价（元/平方米）</v>
      </c>
      <c r="Q35" s="3725"/>
      <c r="R35" s="3741">
        <f>E35</f>
        <v>0</v>
      </c>
      <c r="S35" s="3741"/>
      <c r="T35" s="3741">
        <f>G35</f>
        <v>0</v>
      </c>
      <c r="U35" s="3741"/>
      <c r="V35" s="3741">
        <f>I35</f>
        <v>0</v>
      </c>
      <c r="W35" s="3741"/>
      <c r="X35" s="799"/>
      <c r="Y35" s="1315"/>
      <c r="Z35" s="799"/>
      <c r="AA35" s="799"/>
      <c r="AB35" s="799"/>
      <c r="AC35" s="799"/>
    </row>
    <row r="36" spans="1:29" ht="15.75" thickBot="1">
      <c r="A36" s="564" t="s">
        <v>2040</v>
      </c>
      <c r="B36" s="813"/>
      <c r="C36" s="2083" t="e">
        <f>R37</f>
        <v>#DIV/0!</v>
      </c>
      <c r="D36" s="2551" t="s">
        <v>2259</v>
      </c>
      <c r="E36" s="2084" t="e">
        <f>R36</f>
        <v>#DIV/0!</v>
      </c>
      <c r="F36" s="2552"/>
      <c r="G36" s="2083" t="e">
        <f>T36</f>
        <v>#DIV/0!</v>
      </c>
      <c r="H36" s="2552"/>
      <c r="I36" s="2084" t="e">
        <f>V36</f>
        <v>#DIV/0!</v>
      </c>
      <c r="J36" s="2552"/>
      <c r="K36" s="2559">
        <f>F36+H36+J36</f>
        <v>0</v>
      </c>
      <c r="L36" s="1752"/>
      <c r="M36" s="1743"/>
      <c r="N36" s="1743"/>
      <c r="O36" s="1743"/>
      <c r="P36" s="3725" t="str">
        <f>A36</f>
        <v>比较价格（元/平方米）</v>
      </c>
      <c r="Q36" s="3725"/>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799"/>
      <c r="Y36" s="799"/>
      <c r="Z36" s="799"/>
      <c r="AA36" s="799"/>
      <c r="AB36" s="799"/>
      <c r="AC36" s="799"/>
    </row>
    <row r="37" spans="1:29" ht="15.75" thickBot="1">
      <c r="A37" s="568" t="s">
        <v>2195</v>
      </c>
      <c r="B37" s="569"/>
      <c r="C37" s="469" t="e">
        <f>R37</f>
        <v>#DIV/0!</v>
      </c>
      <c r="D37" s="469"/>
      <c r="E37" s="469"/>
      <c r="F37" s="469"/>
      <c r="G37" s="469"/>
      <c r="H37" s="469"/>
      <c r="I37" s="469"/>
      <c r="J37" s="469"/>
      <c r="K37" s="1337"/>
      <c r="L37" s="1752"/>
      <c r="M37" s="1743"/>
      <c r="N37" s="1743"/>
      <c r="O37" s="1743"/>
      <c r="P37" s="3731" t="str">
        <f>A37</f>
        <v>估价对象XX用房的比较价格（楼面单价，元/平方米）</v>
      </c>
      <c r="Q37" s="3732"/>
      <c r="R37" s="3848" t="e">
        <f>IF(F1="售价",ROUND(IF(D36="简单平均",AVERAGE(R36:W36),R36*F36+T36*H36+V36*J36),0),ROUND(IF(D36="简单平均",AVERAGE(R36:V36),R36*F36+T36*H36+V36*J36),1))</f>
        <v>#DIV/0!</v>
      </c>
      <c r="S37" s="3848"/>
      <c r="T37" s="3848"/>
      <c r="U37" s="3848"/>
      <c r="V37" s="3848"/>
      <c r="W37" s="3848"/>
      <c r="X37" s="799"/>
      <c r="Y37" s="799"/>
      <c r="Z37" s="799"/>
      <c r="AA37" s="799"/>
      <c r="AB37" s="799"/>
      <c r="AC37" s="799"/>
    </row>
    <row r="38" spans="1:29">
      <c r="A38" s="2721"/>
      <c r="B38" s="2721"/>
      <c r="C38" s="2721"/>
      <c r="D38" s="2721"/>
      <c r="E38" s="2721"/>
      <c r="F38" s="2721"/>
      <c r="G38" s="2723"/>
      <c r="H38" s="2721"/>
      <c r="I38" s="2721"/>
      <c r="J38" s="2721"/>
      <c r="K38" s="2724"/>
      <c r="L38" s="1756"/>
      <c r="M38" s="1743"/>
      <c r="N38" s="1743"/>
      <c r="O38" s="1743"/>
      <c r="P38" s="1743"/>
      <c r="Q38" s="1743"/>
      <c r="R38" s="1743"/>
      <c r="S38" s="1743"/>
      <c r="T38" s="1743"/>
      <c r="U38" s="1743"/>
      <c r="V38" s="1743"/>
      <c r="W38" s="1743"/>
      <c r="X38" s="1743"/>
      <c r="Y38" s="1743"/>
      <c r="Z38" s="1743"/>
      <c r="AA38" s="1743"/>
      <c r="AB38" s="1743"/>
      <c r="AC38" s="1743"/>
    </row>
    <row r="39" spans="1:29">
      <c r="A39" s="2721"/>
      <c r="B39" s="2721"/>
      <c r="C39" s="2721"/>
      <c r="D39" s="2721"/>
      <c r="E39" s="2721"/>
      <c r="F39" s="2721"/>
      <c r="G39" s="2721"/>
      <c r="H39" s="2721"/>
      <c r="I39" s="2721"/>
      <c r="J39" s="2721"/>
      <c r="K39" s="2724"/>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1"/>
      <c r="B40" s="2721"/>
      <c r="C40" s="571" t="s">
        <v>504</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1"/>
      <c r="B41" s="2721"/>
      <c r="C41" s="571" t="s">
        <v>505</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2"/>
      <c r="B42" s="2722"/>
      <c r="C42" s="571" t="s">
        <v>506</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520</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476</v>
      </c>
      <c r="B46" s="593"/>
      <c r="C46" s="2114" t="str">
        <f>YEAR(C7)&amp;"-"&amp;MONTH(C7)</f>
        <v>2014-8</v>
      </c>
      <c r="D46" s="2116">
        <f>EDATE(C46,-1)</f>
        <v>41821</v>
      </c>
      <c r="E46" s="2116">
        <f t="shared" ref="E46:O46" si="13">EDATE(D46,-1)</f>
        <v>41791</v>
      </c>
      <c r="F46" s="2116">
        <f t="shared" si="13"/>
        <v>41760</v>
      </c>
      <c r="G46" s="2116">
        <f t="shared" si="13"/>
        <v>41730</v>
      </c>
      <c r="H46" s="2116">
        <f t="shared" si="13"/>
        <v>41699</v>
      </c>
      <c r="I46" s="2116">
        <f t="shared" si="13"/>
        <v>41671</v>
      </c>
      <c r="J46" s="2116">
        <f t="shared" si="13"/>
        <v>41640</v>
      </c>
      <c r="K46" s="2116">
        <f t="shared" si="13"/>
        <v>41609</v>
      </c>
      <c r="L46" s="2116">
        <f t="shared" si="13"/>
        <v>41579</v>
      </c>
      <c r="M46" s="2116">
        <f t="shared" si="13"/>
        <v>41548</v>
      </c>
      <c r="N46" s="2116">
        <f t="shared" si="13"/>
        <v>41518</v>
      </c>
      <c r="O46" s="2116">
        <f t="shared" si="13"/>
        <v>41487</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521</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478</v>
      </c>
      <c r="B49" s="594"/>
      <c r="C49" s="604" t="s">
        <v>522</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523</v>
      </c>
      <c r="B51" s="608" t="s">
        <v>481</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484</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486</v>
      </c>
      <c r="B61" s="608" t="s">
        <v>532</v>
      </c>
      <c r="C61" s="143" t="s">
        <v>525</v>
      </c>
      <c r="D61" s="143" t="s">
        <v>526</v>
      </c>
      <c r="E61" s="143" t="s">
        <v>527</v>
      </c>
      <c r="F61" s="143" t="s">
        <v>528</v>
      </c>
      <c r="G61" s="143" t="s">
        <v>529</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1838</v>
      </c>
      <c r="C63" s="649" t="s">
        <v>525</v>
      </c>
      <c r="D63" s="649" t="s">
        <v>526</v>
      </c>
      <c r="E63" s="649" t="s">
        <v>527</v>
      </c>
      <c r="F63" s="649" t="s">
        <v>528</v>
      </c>
      <c r="G63" s="649" t="s">
        <v>529</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1839</v>
      </c>
      <c r="C65" s="2058" t="s">
        <v>1840</v>
      </c>
      <c r="D65" s="2058" t="s">
        <v>1841</v>
      </c>
      <c r="E65" s="2058" t="s">
        <v>1842</v>
      </c>
      <c r="F65" s="2058" t="s">
        <v>1843</v>
      </c>
      <c r="G65" s="2058" t="s">
        <v>1844</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682</v>
      </c>
      <c r="C67" s="649" t="s">
        <v>525</v>
      </c>
      <c r="D67" s="649" t="s">
        <v>526</v>
      </c>
      <c r="E67" s="649" t="s">
        <v>527</v>
      </c>
      <c r="F67" s="649" t="s">
        <v>528</v>
      </c>
      <c r="G67" s="649" t="s">
        <v>529</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683</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498</v>
      </c>
      <c r="B77" s="608" t="s">
        <v>689</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754</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755</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763</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764</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765</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R78" sqref="R78"/>
      <selection pane="bottomLeft" activeCell="R78" sqref="R78"/>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1658</v>
      </c>
      <c r="C1" s="3857" t="s">
        <v>1659</v>
      </c>
      <c r="D1" s="3858"/>
      <c r="E1" s="3858"/>
      <c r="F1" s="3858"/>
      <c r="G1" s="3858"/>
      <c r="H1" s="3858"/>
      <c r="I1" s="3858"/>
      <c r="J1" s="3858"/>
      <c r="K1" s="3858"/>
      <c r="L1" s="3858"/>
      <c r="M1" s="3858"/>
      <c r="N1" s="3858"/>
      <c r="O1" s="3858"/>
      <c r="P1" s="3858"/>
      <c r="Q1" s="3858"/>
      <c r="R1" s="3858"/>
      <c r="S1" s="3859"/>
      <c r="T1" s="1829" t="s">
        <v>1660</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1661</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2188</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2187</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2186</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2199</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2185</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2184</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1662</v>
      </c>
      <c r="B17" s="1871" t="s">
        <v>1663</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766</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767</v>
      </c>
      <c r="B22" s="49">
        <f>SUM(B24:B10000)</f>
        <v>0</v>
      </c>
      <c r="C22" s="3854" t="s">
        <v>14</v>
      </c>
      <c r="D22" s="3855"/>
      <c r="E22" s="3855"/>
      <c r="F22" s="3855"/>
      <c r="G22" s="3855"/>
      <c r="H22" s="3855"/>
      <c r="I22" s="3855"/>
      <c r="J22" s="3855"/>
      <c r="K22" s="3855"/>
      <c r="L22" s="3855"/>
      <c r="M22" s="3855"/>
      <c r="N22" s="3855"/>
      <c r="O22" s="3855"/>
      <c r="P22" s="3855"/>
      <c r="Q22" s="3856"/>
      <c r="R22" s="49" t="e">
        <f>ROUND(S22*10000/B22,0)</f>
        <v>#DIV/0!</v>
      </c>
      <c r="S22" s="49">
        <f>SUM(S24:S10000)</f>
        <v>0</v>
      </c>
    </row>
    <row r="23" spans="1:45" s="1338" customFormat="1" ht="24">
      <c r="A23" s="14" t="s">
        <v>768</v>
      </c>
      <c r="B23" s="2420" t="s">
        <v>2207</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39" customFormat="1">
      <c r="A24" s="877" t="s">
        <v>772</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E2" sqref="E2:E3"/>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2063</v>
      </c>
      <c r="C1" s="2296">
        <f>项目基本情况!D3</f>
        <v>41863</v>
      </c>
      <c r="H1" s="2235">
        <f>IF(C1&gt;C13,0,MATCH(C1,C$13:C$114,-1))+IF(SUMIF(C13:C114,C1,D13:D114)=0,13,12)</f>
        <v>33</v>
      </c>
      <c r="I1" s="2235">
        <f ca="1">MATCH(C2,H3:H7,1)+IF(SUMIF(H3:H7,C2,I3:I7)=0,2,1)</f>
        <v>2</v>
      </c>
      <c r="J1" s="2291">
        <f ca="1">MATCH(C3,H3:H7,1)+IF(SUMIF(H3:H7,C3,J3:J7)=0,2,1)</f>
        <v>2</v>
      </c>
      <c r="N1" s="2235">
        <f>IF(C1&gt;M13,0,MATCH(C1,M$13:M$100,-1))+IF(SUMIF(M13:M100,C1,N13:N100)=0,13,12)</f>
        <v>19</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2094</v>
      </c>
      <c r="C2" s="2297">
        <f>'数据-取费表'!B22</f>
        <v>0</v>
      </c>
      <c r="D2" s="2292" t="s">
        <v>2064</v>
      </c>
      <c r="E2" s="2295" t="e">
        <f ca="1">INDIRECT("I"&amp;$I$1)/100</f>
        <v>#VALUE!</v>
      </c>
      <c r="G2" s="2237"/>
      <c r="H2" s="2237"/>
      <c r="I2" s="2237" t="s">
        <v>2065</v>
      </c>
      <c r="K2" s="2237"/>
      <c r="L2" s="2237"/>
      <c r="M2" s="2237"/>
      <c r="N2" s="2237" t="s">
        <v>2066</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2096</v>
      </c>
      <c r="C3" s="2294">
        <f>'数据-取费表'!B19</f>
        <v>0</v>
      </c>
      <c r="D3" s="2292" t="s">
        <v>2064</v>
      </c>
      <c r="E3" s="2295">
        <f ca="1">INDIRECT("J"&amp;$J$1)/100</f>
        <v>0</v>
      </c>
      <c r="G3" s="2239" t="s">
        <v>2067</v>
      </c>
      <c r="H3" s="2240">
        <v>0</v>
      </c>
      <c r="I3" s="2241">
        <f ca="1">INDIRECT("d"&amp;$H$1)</f>
        <v>5.6</v>
      </c>
      <c r="J3" s="2241">
        <f ca="1">INDIRECT("d"&amp;$H$1)</f>
        <v>5.6</v>
      </c>
      <c r="K3" s="2238"/>
      <c r="L3" s="2238"/>
      <c r="M3" s="2242">
        <v>0.5</v>
      </c>
      <c r="N3" s="2243">
        <f ca="1">INDIRECT("p"&amp;$N$1)</f>
        <v>2.8</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2095</v>
      </c>
      <c r="C4" s="2295">
        <f ca="1">N4/100</f>
        <v>0.03</v>
      </c>
      <c r="G4" s="2245" t="s">
        <v>2068</v>
      </c>
      <c r="H4" s="2246">
        <v>0.5</v>
      </c>
      <c r="I4" s="2247">
        <f ca="1">INDIRECT("e"&amp;$H$1)</f>
        <v>6</v>
      </c>
      <c r="J4" s="2247">
        <f ca="1">INDIRECT("e"&amp;$H$1)</f>
        <v>6</v>
      </c>
      <c r="K4" s="2238"/>
      <c r="L4" s="2238"/>
      <c r="M4" s="2248">
        <v>1</v>
      </c>
      <c r="N4" s="2249">
        <f ca="1">INDIRECT("q"&amp;$N$1)</f>
        <v>3</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2069</v>
      </c>
      <c r="H5" s="2246">
        <v>1</v>
      </c>
      <c r="I5" s="2247">
        <f ca="1">INDIRECT("f"&amp;$H$1)</f>
        <v>6.15</v>
      </c>
      <c r="J5" s="2247">
        <f ca="1">INDIRECT("f"&amp;$H$1)</f>
        <v>6.15</v>
      </c>
      <c r="K5" s="2238"/>
      <c r="L5" s="2238"/>
      <c r="M5" s="2248">
        <v>2</v>
      </c>
      <c r="N5" s="2249">
        <f ca="1">INDIRECT("r"&amp;$N$1)</f>
        <v>3.75</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2070</v>
      </c>
      <c r="H6" s="2246">
        <v>3</v>
      </c>
      <c r="I6" s="2247">
        <f ca="1">INDIRECT("g"&amp;$H$1)</f>
        <v>6.4</v>
      </c>
      <c r="J6" s="2247">
        <f ca="1">INDIRECT("g"&amp;$H$1)</f>
        <v>6.4</v>
      </c>
      <c r="K6" s="2238"/>
      <c r="L6" s="2238"/>
      <c r="M6" s="2248">
        <v>3</v>
      </c>
      <c r="N6" s="2249">
        <f ca="1">INDIRECT("s"&amp;$N$1)</f>
        <v>4.25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2071</v>
      </c>
      <c r="H7" s="2251">
        <v>5</v>
      </c>
      <c r="I7" s="2252">
        <f ca="1">INDIRECT("h"&amp;$H$1)</f>
        <v>6.55</v>
      </c>
      <c r="J7" s="2252">
        <f ca="1">INDIRECT("h"&amp;$H$1)</f>
        <v>6.55</v>
      </c>
      <c r="K7" s="2238"/>
      <c r="L7" s="2238"/>
      <c r="M7" s="2253">
        <v>5</v>
      </c>
      <c r="N7" s="2254">
        <f ca="1">INDIRECT("t"&amp;$N$1)</f>
        <v>4.75</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2072</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2073</v>
      </c>
      <c r="C10" s="2264"/>
      <c r="D10" s="2264"/>
      <c r="E10" s="2264"/>
      <c r="F10" s="2264"/>
      <c r="G10" s="2264"/>
      <c r="H10" s="2264"/>
      <c r="I10" s="2238"/>
      <c r="J10" s="2238"/>
      <c r="K10" s="2264"/>
      <c r="L10" s="2265" t="s">
        <v>2074</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2075</v>
      </c>
      <c r="C11" s="2269" t="s">
        <v>2076</v>
      </c>
      <c r="D11" s="2270" t="s">
        <v>2077</v>
      </c>
      <c r="E11" s="2271"/>
      <c r="F11" s="2270" t="s">
        <v>2078</v>
      </c>
      <c r="G11" s="2272"/>
      <c r="H11" s="2271"/>
      <c r="I11" s="2270" t="s">
        <v>2079</v>
      </c>
      <c r="J11" s="2271"/>
      <c r="K11" s="2267"/>
      <c r="L11" s="2268" t="s">
        <v>2075</v>
      </c>
      <c r="M11" s="2269" t="s">
        <v>2076</v>
      </c>
      <c r="N11" s="2268" t="s">
        <v>2080</v>
      </c>
      <c r="O11" s="2270" t="s">
        <v>2081</v>
      </c>
      <c r="P11" s="2272"/>
      <c r="Q11" s="2272"/>
      <c r="R11" s="2272"/>
      <c r="S11" s="2272"/>
      <c r="T11" s="2271"/>
      <c r="U11" s="2270" t="s">
        <v>2082</v>
      </c>
      <c r="V11" s="2272"/>
      <c r="W11" s="2271"/>
      <c r="X11" s="2268" t="s">
        <v>2083</v>
      </c>
      <c r="Y11" s="2268" t="s">
        <v>2084</v>
      </c>
      <c r="Z11" s="2268" t="s">
        <v>2085</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2086</v>
      </c>
      <c r="E12" s="2276" t="s">
        <v>2087</v>
      </c>
      <c r="F12" s="2276" t="s">
        <v>2088</v>
      </c>
      <c r="G12" s="2276" t="s">
        <v>2089</v>
      </c>
      <c r="H12" s="2276" t="s">
        <v>2071</v>
      </c>
      <c r="I12" s="2277" t="s">
        <v>2090</v>
      </c>
      <c r="J12" s="2277" t="s">
        <v>2090</v>
      </c>
      <c r="K12" s="2267"/>
      <c r="L12" s="2274"/>
      <c r="M12" s="2275"/>
      <c r="N12" s="2274"/>
      <c r="O12" s="2277" t="s">
        <v>2091</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2092</v>
      </c>
      <c r="C13" s="2280">
        <v>45586</v>
      </c>
      <c r="D13" s="2281">
        <v>3.1</v>
      </c>
      <c r="E13" s="2281">
        <f>D13</f>
        <v>3.1</v>
      </c>
      <c r="F13" s="2281">
        <f>D13</f>
        <v>3.1</v>
      </c>
      <c r="G13" s="2281">
        <f>D13</f>
        <v>3.1</v>
      </c>
      <c r="H13" s="2281">
        <v>3.6</v>
      </c>
      <c r="I13" s="2281"/>
      <c r="J13" s="2281"/>
      <c r="K13" s="2278"/>
      <c r="L13" s="2279" t="s">
        <v>2092</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1"/>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2283</v>
      </c>
      <c r="C26" s="2287">
        <v>43697</v>
      </c>
      <c r="D26" s="2778">
        <v>4.25</v>
      </c>
      <c r="E26" s="2778">
        <v>4.25</v>
      </c>
      <c r="F26" s="2778">
        <v>4.25</v>
      </c>
      <c r="G26" s="2778">
        <v>4.25</v>
      </c>
      <c r="H26" s="2778">
        <v>4.8499999999999996</v>
      </c>
      <c r="I26" s="2778"/>
      <c r="J26" s="2778"/>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2"/>
      <c r="C27" s="2783">
        <v>42301</v>
      </c>
      <c r="D27" s="2784">
        <v>4.3499999999999996</v>
      </c>
      <c r="E27" s="2784">
        <v>4.3499999999999996</v>
      </c>
      <c r="F27" s="2784">
        <v>4.75</v>
      </c>
      <c r="G27" s="2784">
        <v>4.75</v>
      </c>
      <c r="H27" s="2784">
        <v>4.9000000000000004</v>
      </c>
      <c r="I27" s="2784"/>
      <c r="J27" s="2784"/>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2093</v>
      </c>
      <c r="Y42" s="2285" t="s">
        <v>2093</v>
      </c>
      <c r="Z42" s="2285" t="s">
        <v>2093</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2093</v>
      </c>
      <c r="Y43" s="2285" t="s">
        <v>2093</v>
      </c>
      <c r="Z43" s="2285" t="s">
        <v>2093</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2093</v>
      </c>
      <c r="Y44" s="2285" t="s">
        <v>2093</v>
      </c>
      <c r="Z44" s="2285" t="s">
        <v>2093</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2093</v>
      </c>
      <c r="Y45" s="2285" t="s">
        <v>2093</v>
      </c>
      <c r="Z45" s="2285" t="s">
        <v>2093</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2093</v>
      </c>
      <c r="Y46" s="2285" t="s">
        <v>2093</v>
      </c>
      <c r="Z46" s="2285" t="s">
        <v>2093</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2093</v>
      </c>
      <c r="Y47" s="2285" t="s">
        <v>2093</v>
      </c>
      <c r="Z47" s="2285" t="s">
        <v>2093</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2093</v>
      </c>
      <c r="Y48" s="2285" t="s">
        <v>2093</v>
      </c>
      <c r="Z48" s="2285" t="s">
        <v>2093</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2093</v>
      </c>
      <c r="Y49" s="2285" t="s">
        <v>2093</v>
      </c>
      <c r="Z49" s="2285" t="s">
        <v>2093</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2093</v>
      </c>
      <c r="Y50" s="2285" t="s">
        <v>2093</v>
      </c>
      <c r="Z50" s="2285" t="s">
        <v>2093</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2093</v>
      </c>
      <c r="V51" s="2285" t="s">
        <v>2093</v>
      </c>
      <c r="W51" s="2285" t="s">
        <v>2093</v>
      </c>
      <c r="X51" s="2285" t="s">
        <v>2093</v>
      </c>
      <c r="Y51" s="2285" t="s">
        <v>2093</v>
      </c>
      <c r="Z51" s="2285" t="s">
        <v>2093</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2093</v>
      </c>
      <c r="J69" s="2285" t="s">
        <v>2093</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1" t="s">
        <v>1554</v>
      </c>
      <c r="B1" s="3541"/>
      <c r="C1" s="3541"/>
      <c r="D1" s="3541"/>
      <c r="E1" s="3541"/>
      <c r="F1" s="3541"/>
      <c r="G1" s="3541"/>
      <c r="H1" s="3541"/>
      <c r="I1" s="3541"/>
      <c r="J1" s="3541"/>
      <c r="K1" s="3541"/>
      <c r="L1" s="3541"/>
      <c r="M1" s="3541"/>
      <c r="N1" s="3541"/>
      <c r="O1" s="3541"/>
      <c r="P1" s="3541"/>
      <c r="Q1" s="3541"/>
      <c r="R1" s="3541"/>
    </row>
    <row r="2" spans="1:18">
      <c r="A2" s="1503" t="s">
        <v>1556</v>
      </c>
      <c r="B2" s="1503"/>
      <c r="C2" s="1503"/>
      <c r="D2" s="1503"/>
      <c r="E2" s="1503"/>
      <c r="F2" s="1503"/>
      <c r="G2" s="1503"/>
      <c r="H2" s="1503"/>
      <c r="I2" s="1504"/>
      <c r="J2" s="1504"/>
      <c r="K2" s="1505" t="str">
        <f>"估价期日："&amp;TEXT(项目基本情况!D3,"yyyy年m月d日;;")</f>
        <v>估价期日：2014年8月12日</v>
      </c>
      <c r="L2" s="1503"/>
      <c r="M2" s="1503"/>
      <c r="N2" s="1503"/>
      <c r="O2" s="1503"/>
      <c r="P2" s="1503"/>
      <c r="Q2" s="1503"/>
      <c r="R2" s="1505" t="str">
        <f>"估价期日的国有建设用地使用权性质："&amp;项目基本情况!A17</f>
        <v>估价期日的国有建设用地使用权性质：出让</v>
      </c>
    </row>
    <row r="3" spans="1:18" ht="23.25" customHeight="1">
      <c r="A3" s="3542" t="s">
        <v>1545</v>
      </c>
      <c r="B3" s="3542" t="s">
        <v>2011</v>
      </c>
      <c r="C3" s="3543" t="s">
        <v>1546</v>
      </c>
      <c r="D3" s="3542" t="s">
        <v>2015</v>
      </c>
      <c r="E3" s="3537" t="s">
        <v>1547</v>
      </c>
      <c r="F3" s="3537"/>
      <c r="G3" s="3537"/>
      <c r="H3" s="3537" t="s">
        <v>1548</v>
      </c>
      <c r="I3" s="3537"/>
      <c r="J3" s="3537"/>
      <c r="K3" s="3543" t="s">
        <v>1549</v>
      </c>
      <c r="L3" s="3543" t="s">
        <v>1550</v>
      </c>
      <c r="M3" s="3542" t="s">
        <v>2012</v>
      </c>
      <c r="N3" s="3542" t="str">
        <f>"（分摊）"&amp;项目基本情况!A17&amp;"国有建设用地使用权面积/㎡"</f>
        <v>（分摊）出让国有建设用地使用权面积/㎡</v>
      </c>
      <c r="O3" s="3542" t="s">
        <v>1579</v>
      </c>
      <c r="P3" s="3543" t="s">
        <v>1559</v>
      </c>
      <c r="Q3" s="3543" t="s">
        <v>1580</v>
      </c>
      <c r="R3" s="3543" t="s">
        <v>1551</v>
      </c>
    </row>
    <row r="4" spans="1:18" ht="36.75" customHeight="1">
      <c r="A4" s="3542"/>
      <c r="B4" s="3542"/>
      <c r="C4" s="3543"/>
      <c r="D4" s="3542"/>
      <c r="E4" s="1506" t="s">
        <v>1558</v>
      </c>
      <c r="F4" s="1506" t="s">
        <v>2024</v>
      </c>
      <c r="G4" s="1506" t="s">
        <v>1552</v>
      </c>
      <c r="H4" s="1506" t="s">
        <v>1553</v>
      </c>
      <c r="I4" s="1506" t="s">
        <v>2025</v>
      </c>
      <c r="J4" s="1506" t="s">
        <v>1552</v>
      </c>
      <c r="K4" s="3543"/>
      <c r="L4" s="3543"/>
      <c r="M4" s="3542"/>
      <c r="N4" s="3542"/>
      <c r="O4" s="3542"/>
      <c r="P4" s="3543"/>
      <c r="Q4" s="3543"/>
      <c r="R4" s="3543"/>
    </row>
    <row r="5" spans="1:18" ht="135" customHeight="1">
      <c r="A5" s="1603" t="s">
        <v>1935</v>
      </c>
      <c r="B5" s="2173" t="s">
        <v>1933</v>
      </c>
      <c r="C5" s="2090">
        <v>22</v>
      </c>
      <c r="D5" s="2089" t="s">
        <v>1934</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153333.32999999999</v>
      </c>
      <c r="O5" s="1506">
        <f>项目基本情况!C21</f>
        <v>153333.32999999999</v>
      </c>
      <c r="P5" s="1506">
        <f>结果表!E42</f>
        <v>52</v>
      </c>
      <c r="Q5" s="1506">
        <f>结果表!D42</f>
        <v>52</v>
      </c>
      <c r="R5" s="1507">
        <f>结果表!C42</f>
        <v>802</v>
      </c>
    </row>
    <row r="6" spans="1:18">
      <c r="A6" s="3538" t="str">
        <f>IF(项目基本情况!B9="市场价格","——","抵押价格")</f>
        <v>——</v>
      </c>
      <c r="B6" s="3539"/>
      <c r="C6" s="3539"/>
      <c r="D6" s="3539"/>
      <c r="E6" s="3539"/>
      <c r="F6" s="3539"/>
      <c r="G6" s="3539"/>
      <c r="H6" s="3539"/>
      <c r="I6" s="3539"/>
      <c r="J6" s="3539"/>
      <c r="K6" s="3539"/>
      <c r="L6" s="3539"/>
      <c r="M6" s="3539"/>
      <c r="N6" s="3539"/>
      <c r="O6" s="3539"/>
      <c r="P6" s="3539"/>
      <c r="Q6" s="3540"/>
      <c r="R6" s="1508" t="str">
        <f>结果表!O39</f>
        <v>——</v>
      </c>
    </row>
    <row r="7" spans="1:18">
      <c r="A7" s="3538" t="str">
        <f>IF(项目基本情况!B9="市场价格","——",IF(项目基本情况!E8="已注销及未注销","抵押担保权已注销时的抵押价格","——"))</f>
        <v>——</v>
      </c>
      <c r="B7" s="3539"/>
      <c r="C7" s="3539"/>
      <c r="D7" s="3539"/>
      <c r="E7" s="3539"/>
      <c r="F7" s="3539"/>
      <c r="G7" s="3539"/>
      <c r="H7" s="3539"/>
      <c r="I7" s="3539"/>
      <c r="J7" s="3539"/>
      <c r="K7" s="3539"/>
      <c r="L7" s="3539"/>
      <c r="M7" s="3539"/>
      <c r="N7" s="3539"/>
      <c r="O7" s="3539"/>
      <c r="P7" s="3539"/>
      <c r="Q7" s="3540"/>
      <c r="R7" s="1508" t="str">
        <f>结果表!O40</f>
        <v>——</v>
      </c>
    </row>
    <row r="8" spans="1:18">
      <c r="A8" s="3538" t="str">
        <f>IF(项目基本情况!B9="市场价格","——",项目基本情况!E9)</f>
        <v>——</v>
      </c>
      <c r="B8" s="3539"/>
      <c r="C8" s="3539"/>
      <c r="D8" s="3539"/>
      <c r="E8" s="3539"/>
      <c r="F8" s="3539"/>
      <c r="G8" s="3539"/>
      <c r="H8" s="3539"/>
      <c r="I8" s="3539"/>
      <c r="J8" s="3539"/>
      <c r="K8" s="3539"/>
      <c r="L8" s="3539"/>
      <c r="M8" s="3539"/>
      <c r="N8" s="3539"/>
      <c r="O8" s="3539"/>
      <c r="P8" s="3539"/>
      <c r="Q8" s="3540"/>
      <c r="R8" s="1508" t="str">
        <f>结果表!O41</f>
        <v>——</v>
      </c>
    </row>
    <row r="9" spans="1:18">
      <c r="A9" s="1509" t="s">
        <v>1557</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1544</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544" t="s">
        <v>1581</v>
      </c>
      <c r="B1" s="3544"/>
      <c r="C1" s="3544"/>
      <c r="D1" s="3544"/>
    </row>
    <row r="2" spans="1:4" ht="47.25" customHeight="1">
      <c r="A2" s="3547" t="str">
        <f>"1.权利限制："&amp;项目基本情况!L24&amp;"未设定租赁等其他他项权利。"</f>
        <v>1.权利限制：根据估价对象《不动产权证书》原件、《国有土地使用权》复印件，截至估价期日，估价对象已设定抵押。未设定租赁等其他他项权利。</v>
      </c>
      <c r="B2" s="3547"/>
      <c r="C2" s="3547"/>
      <c r="D2" s="3547"/>
    </row>
    <row r="3" spans="1:4" ht="48" customHeight="1">
      <c r="A3" s="35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4"/>
      <c r="C3" s="3544"/>
      <c r="D3" s="3544"/>
    </row>
    <row r="4" spans="1:4" ht="36.75" customHeight="1">
      <c r="A4" s="3544" t="str">
        <f>"3.估价规划限制条件：详见"&amp;项目基本情况!E21&amp;"。"</f>
        <v>3.估价规划限制条件：详见《建设工程规划许可证》[]、《出让合同》[]。</v>
      </c>
      <c r="B4" s="3544"/>
      <c r="C4" s="3544"/>
      <c r="D4" s="3544"/>
    </row>
    <row r="5" spans="1:4">
      <c r="A5" s="3546" t="s">
        <v>1582</v>
      </c>
      <c r="B5" s="3546"/>
      <c r="C5" s="3546"/>
      <c r="D5" s="3546"/>
    </row>
    <row r="6" spans="1:4">
      <c r="A6" s="3544" t="s">
        <v>1560</v>
      </c>
      <c r="B6" s="3544"/>
      <c r="C6" s="3544"/>
      <c r="D6" s="3544"/>
    </row>
    <row r="7" spans="1:4" ht="33" customHeight="1">
      <c r="A7" s="3544" t="s">
        <v>1855</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4"/>
      <c r="C8" s="3544"/>
      <c r="D8" s="3544"/>
    </row>
    <row r="9" spans="1:4" ht="33.75" customHeight="1">
      <c r="A9" s="3544" t="str">
        <f>IF(项目基本情况!B8="抵押","3.抵押双方在办理抵押登记手续时，应使用本公司出具的正式《土地估价报告》，特提请报告使用者注意。","——")</f>
        <v>——</v>
      </c>
      <c r="B9" s="3544"/>
      <c r="C9" s="3544"/>
      <c r="D9" s="3544"/>
    </row>
    <row r="10" spans="1:4">
      <c r="A10" s="3544" t="str">
        <f>IF(项目基本情况!B8="抵押","4.估价师所知悉的法定优先受偿款情况为：","——")</f>
        <v>——</v>
      </c>
      <c r="B10" s="3544"/>
      <c r="C10" s="3544"/>
      <c r="D10" s="3544"/>
    </row>
    <row r="11" spans="1:4" ht="37.5" customHeight="1">
      <c r="A11" s="3544" t="str">
        <f>IF(项目基本情况!B8="抵押","（1）"&amp;CONCATENATE(项目基本情况!L24,项目基本情况!L25,项目基本情况!L26),"——")</f>
        <v>——</v>
      </c>
      <c r="B11" s="3544"/>
      <c r="C11" s="3544"/>
      <c r="D11" s="3544"/>
    </row>
    <row r="12" spans="1:4" ht="168" customHeight="1">
      <c r="A12" s="3546" t="s">
        <v>1584</v>
      </c>
      <c r="B12" s="3546"/>
      <c r="C12" s="3546"/>
      <c r="D12" s="3546"/>
    </row>
    <row r="13" spans="1:4">
      <c r="A13" s="3545" t="s">
        <v>2026</v>
      </c>
      <c r="B13" s="3545"/>
      <c r="C13" s="3545"/>
      <c r="D13" s="3545"/>
    </row>
    <row r="14" spans="1:4">
      <c r="A14" s="3544" t="str">
        <f>IF(项目基本情况!B8="抵押","综上，"&amp;结果表!K47,"——")</f>
        <v>——</v>
      </c>
      <c r="B14" s="3544"/>
      <c r="C14" s="3544"/>
      <c r="D14" s="3544"/>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1982</v>
      </c>
      <c r="B17" s="3544"/>
      <c r="C17" s="3544"/>
      <c r="D17" s="3544"/>
    </row>
    <row r="18" spans="1:4">
      <c r="A18" s="3544" t="s">
        <v>1974</v>
      </c>
      <c r="B18" s="3544"/>
      <c r="C18" s="3544"/>
      <c r="D18" s="3544"/>
    </row>
    <row r="19" spans="1:4">
      <c r="A19" s="2174" t="s">
        <v>1975</v>
      </c>
      <c r="B19" s="2174" t="s">
        <v>1976</v>
      </c>
      <c r="C19" s="2174" t="s">
        <v>1977</v>
      </c>
      <c r="D19" s="2174" t="s">
        <v>1978</v>
      </c>
    </row>
    <row r="20" spans="1:4">
      <c r="A20" s="2174" t="str">
        <f>项目基本情况!B4</f>
        <v>土地估价师</v>
      </c>
      <c r="B20" s="2174">
        <f>项目基本情况!C4</f>
        <v>0</v>
      </c>
      <c r="C20" s="2176"/>
      <c r="D20" s="1497" t="s">
        <v>1983</v>
      </c>
    </row>
    <row r="21" spans="1:4">
      <c r="A21" s="2174" t="str">
        <f>项目基本情况!D4</f>
        <v>土地估价师</v>
      </c>
      <c r="B21" s="2174">
        <f>项目基本情况!E4</f>
        <v>0</v>
      </c>
      <c r="C21" s="2176"/>
      <c r="D21" s="1497" t="s">
        <v>1984</v>
      </c>
    </row>
    <row r="23" spans="1:4">
      <c r="A23" s="3544" t="s">
        <v>1979</v>
      </c>
      <c r="B23" s="3544"/>
      <c r="C23" s="3544"/>
      <c r="D23" s="3544"/>
    </row>
    <row r="24" spans="1:4">
      <c r="A24" s="2174" t="s">
        <v>1975</v>
      </c>
      <c r="B24" s="2174" t="s">
        <v>1980</v>
      </c>
      <c r="C24" s="2174" t="s">
        <v>1977</v>
      </c>
      <c r="D24" s="2174" t="s">
        <v>1978</v>
      </c>
    </row>
    <row r="25" spans="1:4">
      <c r="A25" s="2177" t="s">
        <v>1981</v>
      </c>
      <c r="B25" s="2174" t="s">
        <v>875</v>
      </c>
      <c r="C25" s="2176"/>
      <c r="D25" s="1497" t="s">
        <v>1984</v>
      </c>
    </row>
    <row r="29" spans="1:4">
      <c r="D29" s="2175" t="s">
        <v>1555</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807</v>
      </c>
    </row>
    <row r="13" spans="1:7">
      <c r="A13" s="1016" t="s">
        <v>26</v>
      </c>
    </row>
    <row r="15" spans="1:7" ht="14.25">
      <c r="A15" s="3555" t="s">
        <v>27</v>
      </c>
      <c r="B15" s="3556" t="s">
        <v>782</v>
      </c>
      <c r="C15" s="3552"/>
    </row>
    <row r="16" spans="1:7" ht="14.25">
      <c r="A16" s="3555"/>
      <c r="B16" s="3553" t="s">
        <v>28</v>
      </c>
      <c r="C16" s="1017" t="s">
        <v>27</v>
      </c>
    </row>
    <row r="17" spans="1:3" ht="14.25">
      <c r="A17" s="3555"/>
      <c r="B17" s="3553"/>
      <c r="C17" s="1017" t="s">
        <v>29</v>
      </c>
    </row>
    <row r="18" spans="1:3" ht="14.25">
      <c r="A18" s="3555"/>
      <c r="B18" s="3553"/>
      <c r="C18" s="1017" t="s">
        <v>30</v>
      </c>
    </row>
    <row r="19" spans="1:3" ht="14.25">
      <c r="A19" s="3555"/>
      <c r="B19" s="3551" t="s">
        <v>31</v>
      </c>
      <c r="C19" s="3552"/>
    </row>
    <row r="20" spans="1:3" ht="14.25">
      <c r="A20" s="1018" t="s">
        <v>32</v>
      </c>
      <c r="B20" s="1019"/>
      <c r="C20" s="1020"/>
    </row>
    <row r="21" spans="1:3" ht="14.25">
      <c r="A21" s="3554" t="s">
        <v>33</v>
      </c>
      <c r="B21" s="3551" t="s">
        <v>34</v>
      </c>
      <c r="C21" s="3552"/>
    </row>
    <row r="22" spans="1:3" ht="14.25">
      <c r="A22" s="3554"/>
      <c r="B22" s="3551" t="s">
        <v>35</v>
      </c>
      <c r="C22" s="3552"/>
    </row>
    <row r="23" spans="1:3" ht="14.25">
      <c r="A23" s="3554"/>
      <c r="B23" s="3551" t="s">
        <v>36</v>
      </c>
      <c r="C23" s="3552"/>
    </row>
    <row r="24" spans="1:3" ht="14.25">
      <c r="A24" s="3554"/>
      <c r="B24" s="3557" t="s">
        <v>37</v>
      </c>
      <c r="C24" s="1021" t="s">
        <v>773</v>
      </c>
    </row>
    <row r="25" spans="1:3" ht="14.25">
      <c r="A25" s="3554"/>
      <c r="B25" s="3558"/>
      <c r="C25" s="1021" t="s">
        <v>774</v>
      </c>
    </row>
    <row r="26" spans="1:3" ht="14.25">
      <c r="A26" s="3554"/>
      <c r="B26" s="3558"/>
      <c r="C26" s="1021" t="s">
        <v>775</v>
      </c>
    </row>
    <row r="27" spans="1:3" ht="14.25">
      <c r="A27" s="3554"/>
      <c r="B27" s="3558"/>
      <c r="C27" s="1021" t="s">
        <v>776</v>
      </c>
    </row>
    <row r="28" spans="1:3" ht="14.25">
      <c r="A28" s="3554"/>
      <c r="B28" s="3558"/>
      <c r="C28" s="1021" t="s">
        <v>777</v>
      </c>
    </row>
    <row r="29" spans="1:3" ht="14.25">
      <c r="A29" s="3554"/>
      <c r="B29" s="3558"/>
      <c r="C29" s="1021" t="s">
        <v>778</v>
      </c>
    </row>
    <row r="30" spans="1:3" ht="14.25">
      <c r="A30" s="3554"/>
      <c r="B30" s="3558"/>
      <c r="C30" s="1021" t="s">
        <v>779</v>
      </c>
    </row>
    <row r="31" spans="1:3" ht="14.25">
      <c r="A31" s="3554"/>
      <c r="B31" s="3558"/>
      <c r="C31" s="1021" t="s">
        <v>780</v>
      </c>
    </row>
    <row r="32" spans="1:3" ht="14.25">
      <c r="A32" s="3554"/>
      <c r="B32" s="3558"/>
      <c r="C32" s="1021" t="s">
        <v>1179</v>
      </c>
    </row>
    <row r="33" spans="1:3" ht="14.25">
      <c r="A33" s="3554"/>
      <c r="B33" s="3548" t="s">
        <v>1185</v>
      </c>
      <c r="C33" s="1021" t="s">
        <v>1180</v>
      </c>
    </row>
    <row r="34" spans="1:3" ht="14.25">
      <c r="A34" s="3554"/>
      <c r="B34" s="3549"/>
      <c r="C34" s="1026" t="s">
        <v>1181</v>
      </c>
    </row>
    <row r="35" spans="1:3" ht="14.25">
      <c r="A35" s="3554"/>
      <c r="B35" s="3549"/>
      <c r="C35" s="1027" t="s">
        <v>1182</v>
      </c>
    </row>
    <row r="36" spans="1:3" ht="14.25">
      <c r="A36" s="3554"/>
      <c r="B36" s="3549"/>
      <c r="C36" s="1027" t="s">
        <v>1183</v>
      </c>
    </row>
    <row r="37" spans="1:3" ht="14.25">
      <c r="A37" s="3554"/>
      <c r="B37" s="3550"/>
      <c r="C37" s="1028" t="s">
        <v>1184</v>
      </c>
    </row>
    <row r="38" spans="1:3">
      <c r="A38" s="1022" t="s">
        <v>781</v>
      </c>
    </row>
    <row r="41" spans="1:3">
      <c r="A41" s="1022" t="s">
        <v>42</v>
      </c>
    </row>
    <row r="42" spans="1:3" ht="14.25">
      <c r="A42" s="1023" t="s">
        <v>789</v>
      </c>
    </row>
    <row r="43" spans="1:3" ht="14.25">
      <c r="A43" s="1024" t="s">
        <v>43</v>
      </c>
    </row>
    <row r="44" spans="1:3" ht="14.25">
      <c r="A44" s="1023" t="s">
        <v>788</v>
      </c>
    </row>
    <row r="45" spans="1:3" ht="14.25">
      <c r="A45" s="1025" t="s">
        <v>790</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1429</v>
      </c>
      <c r="B2" s="2563">
        <f ca="1">TODAY()</f>
        <v>45762</v>
      </c>
      <c r="C2" s="2564" t="s">
        <v>1430</v>
      </c>
      <c r="D2" s="2564"/>
      <c r="E2" s="2561"/>
      <c r="F2" s="2561"/>
      <c r="G2" s="2561"/>
    </row>
    <row r="3" spans="1:7" ht="20.25" customHeight="1">
      <c r="A3" s="2581" t="s">
        <v>1431</v>
      </c>
      <c r="B3" s="2566" t="s">
        <v>1432</v>
      </c>
      <c r="C3" s="2567" t="s">
        <v>1433</v>
      </c>
      <c r="D3" s="2582" t="s">
        <v>1434</v>
      </c>
      <c r="E3" s="2566" t="s">
        <v>1435</v>
      </c>
      <c r="F3" s="2566" t="s">
        <v>1433</v>
      </c>
      <c r="G3" s="2561"/>
    </row>
    <row r="4" spans="1:7" ht="20.25" customHeight="1">
      <c r="A4" s="2566" t="s">
        <v>1436</v>
      </c>
      <c r="B4" s="2566">
        <f ca="1">IF(C4&lt;B2,"已过期",1119970066)</f>
        <v>1119970066</v>
      </c>
      <c r="C4" s="2569">
        <v>45937</v>
      </c>
      <c r="D4" s="2575" t="s">
        <v>1436</v>
      </c>
      <c r="E4" s="2566">
        <f ca="1">IF(F4&lt;B2,"已过期",96010014)</f>
        <v>96010014</v>
      </c>
      <c r="F4" s="2568">
        <v>47118</v>
      </c>
      <c r="G4" s="2561"/>
    </row>
    <row r="5" spans="1:7" ht="20.25" customHeight="1">
      <c r="A5" s="2566" t="s">
        <v>1437</v>
      </c>
      <c r="B5" s="2566">
        <f ca="1">IF(C5&lt;B2,"已过期",1119970111)</f>
        <v>1119970111</v>
      </c>
      <c r="C5" s="2569">
        <v>45937</v>
      </c>
      <c r="D5" s="2575" t="s">
        <v>1437</v>
      </c>
      <c r="E5" s="2566">
        <f ca="1">IF(F5&lt;B2,"已过期",94010078)</f>
        <v>94010078</v>
      </c>
      <c r="F5" s="2568">
        <v>46387</v>
      </c>
      <c r="G5" s="2561"/>
    </row>
    <row r="6" spans="1:7" ht="20.25" customHeight="1">
      <c r="A6" s="2566" t="s">
        <v>1438</v>
      </c>
      <c r="B6" s="2566" t="str">
        <f ca="1">IF(C6&lt;B2,"已过期",1120050019)</f>
        <v>已过期</v>
      </c>
      <c r="C6" s="2569">
        <v>45410</v>
      </c>
      <c r="D6" s="2575" t="s">
        <v>1438</v>
      </c>
      <c r="E6" s="2566">
        <f ca="1">IF(F6&lt;B2,"已过期",2002110030)</f>
        <v>2002110030</v>
      </c>
      <c r="F6" s="2568">
        <v>46387</v>
      </c>
      <c r="G6" s="2561"/>
    </row>
    <row r="7" spans="1:7" ht="20.25" customHeight="1">
      <c r="A7" s="2566" t="s">
        <v>1439</v>
      </c>
      <c r="B7" s="2566">
        <f ca="1">IF(C7&lt;B2,"已过期",1120000080)</f>
        <v>1120000080</v>
      </c>
      <c r="C7" s="2569">
        <v>45937</v>
      </c>
      <c r="D7" s="2575" t="s">
        <v>1439</v>
      </c>
      <c r="E7" s="2566">
        <f ca="1">IF(F7&lt;B2,"已过期",2000110082)</f>
        <v>2000110082</v>
      </c>
      <c r="F7" s="2568">
        <v>46387</v>
      </c>
      <c r="G7" s="2561"/>
    </row>
    <row r="8" spans="1:7" ht="20.25" customHeight="1">
      <c r="A8" s="2566" t="s">
        <v>1440</v>
      </c>
      <c r="B8" s="2566">
        <f ca="1">IF(C8&lt;B2,"已过期",1419970001)</f>
        <v>1419970001</v>
      </c>
      <c r="C8" s="2569">
        <v>45937</v>
      </c>
      <c r="D8" s="2575" t="s">
        <v>1440</v>
      </c>
      <c r="E8" s="2566">
        <f ca="1">IF(F8&lt;B2,"已过期",2002110125)</f>
        <v>2002110125</v>
      </c>
      <c r="F8" s="2568">
        <v>47118</v>
      </c>
      <c r="G8" s="2561"/>
    </row>
    <row r="9" spans="1:7" ht="20.25" customHeight="1">
      <c r="A9" s="2566" t="s">
        <v>1441</v>
      </c>
      <c r="B9" s="2566" t="str">
        <f ca="1">IF(C9&lt;B2,"已过期",1120060040)</f>
        <v>已过期</v>
      </c>
      <c r="C9" s="2569">
        <v>45592</v>
      </c>
      <c r="D9" s="2575" t="s">
        <v>1441</v>
      </c>
      <c r="E9" s="2566">
        <f ca="1">IF(F9&lt;B2,"已过期",2004110096)</f>
        <v>2004110096</v>
      </c>
      <c r="F9" s="2568">
        <v>47118</v>
      </c>
      <c r="G9" s="2561"/>
    </row>
    <row r="10" spans="1:7" ht="20.25" customHeight="1">
      <c r="A10" s="2566" t="s">
        <v>1442</v>
      </c>
      <c r="B10" s="2566" t="str">
        <f ca="1">IF(C10&lt;B2,"已过期",1120100036)</f>
        <v>已过期</v>
      </c>
      <c r="C10" s="2569">
        <v>45752</v>
      </c>
      <c r="D10" s="2575" t="s">
        <v>1442</v>
      </c>
      <c r="E10" s="2566">
        <f ca="1">IF(F10&lt;B2,"已过期",2010110070)</f>
        <v>2010110070</v>
      </c>
      <c r="F10" s="2568">
        <v>47907</v>
      </c>
      <c r="G10" s="2561"/>
    </row>
    <row r="11" spans="1:7" ht="20.25" customHeight="1">
      <c r="A11" s="2566" t="s">
        <v>1443</v>
      </c>
      <c r="B11" s="2566">
        <f ca="1">IF(C11&lt;B2,"已过期",1120070131)</f>
        <v>1120070131</v>
      </c>
      <c r="C11" s="2569">
        <v>45937</v>
      </c>
      <c r="D11" s="2575" t="s">
        <v>1443</v>
      </c>
      <c r="E11" s="2566">
        <f ca="1">IF(F11&lt;B2,"已过期",2014110011)</f>
        <v>2014110011</v>
      </c>
      <c r="F11" s="2568">
        <v>49302</v>
      </c>
      <c r="G11" s="2561"/>
    </row>
    <row r="12" spans="1:7" ht="20.25" customHeight="1">
      <c r="A12" s="2566" t="s">
        <v>2236</v>
      </c>
      <c r="B12" s="2566">
        <f ca="1">IF(C12&lt;B2,"已过期",1120040230)</f>
        <v>1120040230</v>
      </c>
      <c r="C12" s="2569">
        <v>45937</v>
      </c>
      <c r="D12" s="2575" t="s">
        <v>2237</v>
      </c>
      <c r="E12" s="2566">
        <f ca="1">IF(F12&lt;B2,"已过期",98030020)</f>
        <v>98030020</v>
      </c>
      <c r="F12" s="2568">
        <v>47118</v>
      </c>
      <c r="G12" s="2561"/>
    </row>
    <row r="13" spans="1:7" ht="20.25" customHeight="1">
      <c r="A13" s="2566"/>
      <c r="B13" s="2566"/>
      <c r="C13" s="2569"/>
      <c r="D13" s="2575" t="s">
        <v>1444</v>
      </c>
      <c r="E13" s="2566">
        <f ca="1">IF(F13&lt;B2,"已过期",2011110090)</f>
        <v>2011110090</v>
      </c>
      <c r="F13" s="2568">
        <v>48302</v>
      </c>
      <c r="G13" s="2561"/>
    </row>
    <row r="14" spans="1:7" ht="20.25" customHeight="1">
      <c r="A14" s="2566" t="s">
        <v>1445</v>
      </c>
      <c r="B14" s="2566" t="str">
        <f ca="1">IF(C14&lt;B2,"已过期",1120020033)</f>
        <v>已过期</v>
      </c>
      <c r="C14" s="2569">
        <v>45375</v>
      </c>
      <c r="D14" s="2575" t="s">
        <v>1445</v>
      </c>
      <c r="E14" s="2566">
        <f ca="1">IF(F14&lt;B2,"已过期",2000110137)</f>
        <v>2000110137</v>
      </c>
      <c r="F14" s="2568">
        <v>46387</v>
      </c>
      <c r="G14" s="2561"/>
    </row>
    <row r="15" spans="1:7" ht="20.25" customHeight="1">
      <c r="A15" s="2566" t="s">
        <v>2247</v>
      </c>
      <c r="B15" s="2566" t="str">
        <f ca="1">IF(C15&lt;B2,"已过期",1119980106)</f>
        <v>已过期</v>
      </c>
      <c r="C15" s="2569">
        <v>44969</v>
      </c>
      <c r="D15" s="2575"/>
      <c r="E15" s="2566"/>
      <c r="F15" s="2566"/>
      <c r="G15" s="2561"/>
    </row>
    <row r="16" spans="1:7" ht="20.25" customHeight="1">
      <c r="A16" s="2565" t="s">
        <v>2444</v>
      </c>
      <c r="B16" s="2565">
        <v>1120210056</v>
      </c>
      <c r="C16" s="2569">
        <v>45410</v>
      </c>
      <c r="D16" s="2575"/>
      <c r="E16" s="2566"/>
      <c r="F16" s="2566"/>
      <c r="G16" s="2561"/>
    </row>
    <row r="17" spans="1:7" ht="20.25" customHeight="1">
      <c r="A17" s="2565" t="s">
        <v>1569</v>
      </c>
      <c r="B17" s="2565" t="s">
        <v>1569</v>
      </c>
      <c r="C17" s="2569"/>
      <c r="D17" s="2576" t="s">
        <v>1569</v>
      </c>
      <c r="E17" s="2566" t="s">
        <v>1569</v>
      </c>
      <c r="F17" s="2568"/>
      <c r="G17" s="2561"/>
    </row>
    <row r="18" spans="1:7" ht="20.25" customHeight="1">
      <c r="A18" s="3562" t="s">
        <v>1446</v>
      </c>
      <c r="B18" s="3563"/>
      <c r="C18" s="3563"/>
      <c r="D18" s="3563"/>
      <c r="E18" s="3563"/>
      <c r="F18" s="3563"/>
      <c r="G18" s="2561"/>
    </row>
    <row r="19" spans="1:7" ht="20.25" customHeight="1">
      <c r="A19" s="3559" t="s">
        <v>1447</v>
      </c>
      <c r="B19" s="3559"/>
      <c r="C19" s="3560"/>
      <c r="D19" s="3561" t="s">
        <v>1448</v>
      </c>
      <c r="E19" s="3559"/>
      <c r="F19" s="3559"/>
      <c r="G19" s="2561"/>
    </row>
    <row r="20" spans="1:7" s="2394" customFormat="1" ht="20.25" customHeight="1">
      <c r="A20" s="2570" t="s">
        <v>1449</v>
      </c>
      <c r="B20" s="2566" t="s">
        <v>1450</v>
      </c>
      <c r="C20" s="2567" t="s">
        <v>1451</v>
      </c>
      <c r="D20" s="2575" t="s">
        <v>1449</v>
      </c>
      <c r="E20" s="2566" t="s">
        <v>1450</v>
      </c>
      <c r="F20" s="2566" t="s">
        <v>1451</v>
      </c>
      <c r="G20" s="2562"/>
    </row>
    <row r="21" spans="1:7" s="2394" customFormat="1" ht="20.25" customHeight="1">
      <c r="A21" s="2571" t="s">
        <v>1452</v>
      </c>
      <c r="B21" s="2571" t="s">
        <v>1453</v>
      </c>
      <c r="C21" s="2577">
        <v>45898</v>
      </c>
      <c r="D21" s="2579" t="s">
        <v>1454</v>
      </c>
      <c r="E21" s="2571" t="s">
        <v>2445</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792</v>
      </c>
      <c r="B1" s="3" t="s">
        <v>99</v>
      </c>
      <c r="C1" s="1294" t="s">
        <v>1235</v>
      </c>
      <c r="D1" s="2049" t="s">
        <v>2757</v>
      </c>
      <c r="E1" s="4" t="s">
        <v>100</v>
      </c>
      <c r="F1" s="4" t="s">
        <v>101</v>
      </c>
      <c r="G1" s="4" t="s">
        <v>102</v>
      </c>
      <c r="H1" s="4" t="s">
        <v>103</v>
      </c>
      <c r="I1" s="4" t="s">
        <v>104</v>
      </c>
      <c r="J1" s="4" t="s">
        <v>105</v>
      </c>
      <c r="K1" s="4" t="s">
        <v>106</v>
      </c>
      <c r="L1" s="4" t="s">
        <v>107</v>
      </c>
      <c r="M1" s="4" t="s">
        <v>108</v>
      </c>
      <c r="N1" s="4" t="s">
        <v>109</v>
      </c>
      <c r="O1" s="4" t="s">
        <v>110</v>
      </c>
      <c r="P1" s="4" t="s">
        <v>111</v>
      </c>
      <c r="Q1" s="2049" t="s">
        <v>1826</v>
      </c>
      <c r="R1" s="2048" t="s">
        <v>1820</v>
      </c>
      <c r="S1" s="4" t="s">
        <v>112</v>
      </c>
      <c r="T1" s="5" t="s">
        <v>113</v>
      </c>
      <c r="U1" s="4" t="s">
        <v>114</v>
      </c>
      <c r="V1" s="4" t="s">
        <v>115</v>
      </c>
      <c r="W1" s="917" t="s">
        <v>809</v>
      </c>
    </row>
    <row r="2" spans="1:23">
      <c r="A2" s="6" t="s">
        <v>47</v>
      </c>
      <c r="B2" s="6" t="s">
        <v>116</v>
      </c>
      <c r="C2" s="1295" t="s">
        <v>1236</v>
      </c>
      <c r="D2" s="7" t="s">
        <v>48</v>
      </c>
      <c r="E2" s="7" t="s">
        <v>95</v>
      </c>
      <c r="F2" s="7" t="s">
        <v>96</v>
      </c>
      <c r="G2" s="4">
        <v>20</v>
      </c>
      <c r="H2" s="7" t="s">
        <v>97</v>
      </c>
      <c r="I2" s="7" t="s">
        <v>2743</v>
      </c>
      <c r="J2" s="7" t="s">
        <v>98</v>
      </c>
      <c r="K2" s="7" t="s">
        <v>49</v>
      </c>
      <c r="L2" s="7" t="s">
        <v>49</v>
      </c>
      <c r="M2" s="7" t="s">
        <v>49</v>
      </c>
      <c r="N2" s="7" t="s">
        <v>49</v>
      </c>
      <c r="O2" s="7" t="s">
        <v>49</v>
      </c>
      <c r="P2" s="918" t="s">
        <v>815</v>
      </c>
      <c r="Q2" s="7" t="s">
        <v>49</v>
      </c>
      <c r="R2" s="918" t="s">
        <v>1821</v>
      </c>
      <c r="S2" s="7" t="s">
        <v>49</v>
      </c>
      <c r="T2" s="7" t="s">
        <v>50</v>
      </c>
      <c r="U2" s="7" t="s">
        <v>49</v>
      </c>
      <c r="V2" s="7" t="s">
        <v>51</v>
      </c>
      <c r="W2" s="7" t="s">
        <v>810</v>
      </c>
    </row>
    <row r="3" spans="1:23">
      <c r="A3" s="6" t="s">
        <v>52</v>
      </c>
      <c r="B3" s="8" t="s">
        <v>117</v>
      </c>
      <c r="C3" s="1295" t="s">
        <v>1237</v>
      </c>
      <c r="D3" s="7" t="s">
        <v>53</v>
      </c>
      <c r="E3" s="7" t="s">
        <v>3</v>
      </c>
      <c r="F3" s="7" t="s">
        <v>54</v>
      </c>
      <c r="G3" s="7">
        <v>40</v>
      </c>
      <c r="H3" s="7" t="s">
        <v>55</v>
      </c>
      <c r="I3" s="7" t="s">
        <v>2744</v>
      </c>
      <c r="J3" s="7" t="s">
        <v>56</v>
      </c>
      <c r="K3" s="7" t="s">
        <v>57</v>
      </c>
      <c r="L3" s="7" t="s">
        <v>57</v>
      </c>
      <c r="M3" s="7" t="s">
        <v>57</v>
      </c>
      <c r="N3" s="7" t="s">
        <v>57</v>
      </c>
      <c r="O3" s="7" t="s">
        <v>57</v>
      </c>
      <c r="P3" s="918" t="s">
        <v>546</v>
      </c>
      <c r="Q3" s="7" t="s">
        <v>57</v>
      </c>
      <c r="R3" s="918" t="s">
        <v>1822</v>
      </c>
      <c r="S3" s="7" t="s">
        <v>57</v>
      </c>
      <c r="T3" s="7" t="s">
        <v>58</v>
      </c>
      <c r="U3" s="7" t="s">
        <v>57</v>
      </c>
      <c r="V3" s="7" t="s">
        <v>59</v>
      </c>
      <c r="W3" s="7" t="s">
        <v>811</v>
      </c>
    </row>
    <row r="4" spans="1:23">
      <c r="A4" s="6" t="s">
        <v>60</v>
      </c>
      <c r="B4" s="6" t="s">
        <v>118</v>
      </c>
      <c r="C4" s="1295" t="s">
        <v>1238</v>
      </c>
      <c r="D4" s="7" t="s">
        <v>1510</v>
      </c>
      <c r="E4" s="7" t="s">
        <v>61</v>
      </c>
      <c r="F4" s="7" t="s">
        <v>62</v>
      </c>
      <c r="G4" s="7">
        <v>50</v>
      </c>
      <c r="H4" s="7" t="s">
        <v>63</v>
      </c>
      <c r="I4" s="7" t="s">
        <v>2745</v>
      </c>
      <c r="K4" s="7" t="s">
        <v>64</v>
      </c>
      <c r="L4" s="7" t="s">
        <v>64</v>
      </c>
      <c r="M4" s="7" t="s">
        <v>64</v>
      </c>
      <c r="N4" s="7" t="s">
        <v>64</v>
      </c>
      <c r="O4" s="7" t="s">
        <v>64</v>
      </c>
      <c r="P4" s="918" t="s">
        <v>698</v>
      </c>
      <c r="Q4" s="7" t="s">
        <v>64</v>
      </c>
      <c r="R4" s="918" t="s">
        <v>1823</v>
      </c>
      <c r="S4" s="7" t="s">
        <v>64</v>
      </c>
      <c r="T4" s="7" t="s">
        <v>65</v>
      </c>
      <c r="U4" s="7" t="s">
        <v>64</v>
      </c>
      <c r="W4" s="7" t="s">
        <v>812</v>
      </c>
    </row>
    <row r="5" spans="1:23">
      <c r="A5" s="6" t="s">
        <v>66</v>
      </c>
      <c r="B5" s="6" t="s">
        <v>119</v>
      </c>
      <c r="C5" s="1295" t="s">
        <v>1239</v>
      </c>
      <c r="F5" s="7" t="s">
        <v>67</v>
      </c>
      <c r="G5" s="7">
        <v>70</v>
      </c>
      <c r="H5" s="7" t="s">
        <v>44</v>
      </c>
      <c r="I5" s="7" t="s">
        <v>2746</v>
      </c>
      <c r="K5" s="7" t="s">
        <v>68</v>
      </c>
      <c r="L5" s="7" t="s">
        <v>68</v>
      </c>
      <c r="M5" s="7" t="s">
        <v>68</v>
      </c>
      <c r="N5" s="7" t="s">
        <v>68</v>
      </c>
      <c r="O5" s="7" t="s">
        <v>68</v>
      </c>
      <c r="P5" s="918" t="s">
        <v>493</v>
      </c>
      <c r="Q5" s="7" t="s">
        <v>68</v>
      </c>
      <c r="R5" s="918" t="s">
        <v>1824</v>
      </c>
      <c r="S5" s="7" t="s">
        <v>68</v>
      </c>
      <c r="T5" s="7" t="s">
        <v>69</v>
      </c>
      <c r="U5" s="7" t="s">
        <v>68</v>
      </c>
      <c r="W5" s="7" t="s">
        <v>813</v>
      </c>
    </row>
    <row r="6" spans="1:23">
      <c r="A6" s="6" t="s">
        <v>70</v>
      </c>
      <c r="B6" s="996" t="s">
        <v>1174</v>
      </c>
      <c r="C6" s="1296" t="s">
        <v>1240</v>
      </c>
      <c r="F6" s="7" t="s">
        <v>45</v>
      </c>
      <c r="H6" s="7" t="s">
        <v>46</v>
      </c>
      <c r="I6" s="7" t="s">
        <v>2747</v>
      </c>
      <c r="K6" s="7" t="s">
        <v>71</v>
      </c>
      <c r="L6" s="7" t="s">
        <v>71</v>
      </c>
      <c r="M6" s="7" t="s">
        <v>71</v>
      </c>
      <c r="N6" s="7" t="s">
        <v>71</v>
      </c>
      <c r="O6" s="7" t="s">
        <v>71</v>
      </c>
      <c r="P6" s="918" t="s">
        <v>816</v>
      </c>
      <c r="Q6" s="7" t="s">
        <v>71</v>
      </c>
      <c r="R6" s="918" t="s">
        <v>1825</v>
      </c>
      <c r="S6" s="7" t="s">
        <v>71</v>
      </c>
      <c r="T6" s="7"/>
      <c r="U6" s="7" t="s">
        <v>71</v>
      </c>
      <c r="W6" s="7" t="s">
        <v>814</v>
      </c>
    </row>
    <row r="7" spans="1:23">
      <c r="A7" s="6" t="s">
        <v>72</v>
      </c>
      <c r="B7" s="6" t="s">
        <v>73</v>
      </c>
      <c r="C7" s="1295" t="s">
        <v>1241</v>
      </c>
      <c r="F7" s="7" t="s">
        <v>120</v>
      </c>
      <c r="H7" s="7" t="s">
        <v>74</v>
      </c>
      <c r="I7" s="7" t="s">
        <v>2748</v>
      </c>
    </row>
    <row r="8" spans="1:23">
      <c r="A8" s="6" t="s">
        <v>75</v>
      </c>
      <c r="B8" s="6" t="s">
        <v>76</v>
      </c>
      <c r="C8" s="1295" t="s">
        <v>1242</v>
      </c>
      <c r="F8" s="7" t="s">
        <v>121</v>
      </c>
      <c r="H8" s="3083" t="s">
        <v>2742</v>
      </c>
      <c r="I8" s="7" t="s">
        <v>2749</v>
      </c>
    </row>
    <row r="9" spans="1:23">
      <c r="A9" s="6" t="s">
        <v>77</v>
      </c>
      <c r="B9" s="6" t="s">
        <v>122</v>
      </c>
      <c r="C9" s="1295" t="s">
        <v>1243</v>
      </c>
      <c r="F9" s="7" t="s">
        <v>78</v>
      </c>
      <c r="H9" s="7"/>
      <c r="I9" s="7" t="s">
        <v>2750</v>
      </c>
    </row>
    <row r="10" spans="1:23">
      <c r="A10" s="6" t="s">
        <v>79</v>
      </c>
      <c r="B10" s="6" t="s">
        <v>123</v>
      </c>
      <c r="C10" s="1295" t="s">
        <v>1244</v>
      </c>
      <c r="F10" s="3083" t="s">
        <v>2741</v>
      </c>
      <c r="I10" s="7" t="s">
        <v>2751</v>
      </c>
    </row>
    <row r="11" spans="1:23">
      <c r="A11" s="6" t="s">
        <v>80</v>
      </c>
      <c r="B11" s="6" t="s">
        <v>124</v>
      </c>
      <c r="C11" s="1295" t="s">
        <v>1245</v>
      </c>
      <c r="I11" s="7" t="s">
        <v>2752</v>
      </c>
    </row>
    <row r="12" spans="1:23">
      <c r="A12" s="6" t="s">
        <v>81</v>
      </c>
      <c r="B12" s="6" t="s">
        <v>125</v>
      </c>
      <c r="C12" s="1295" t="s">
        <v>1246</v>
      </c>
      <c r="I12" s="7" t="s">
        <v>2753</v>
      </c>
    </row>
    <row r="13" spans="1:23">
      <c r="A13" s="6" t="s">
        <v>82</v>
      </c>
      <c r="B13" s="6" t="s">
        <v>126</v>
      </c>
      <c r="C13" s="1295" t="s">
        <v>1247</v>
      </c>
      <c r="I13" s="7" t="s">
        <v>2754</v>
      </c>
    </row>
    <row r="14" spans="1:23">
      <c r="A14" s="6" t="s">
        <v>83</v>
      </c>
      <c r="B14" s="6" t="s">
        <v>127</v>
      </c>
      <c r="C14" s="1297" t="s">
        <v>1419</v>
      </c>
      <c r="I14" s="7" t="s">
        <v>2755</v>
      </c>
    </row>
    <row r="15" spans="1:23">
      <c r="A15" s="6" t="s">
        <v>84</v>
      </c>
      <c r="B15" s="6" t="s">
        <v>1212</v>
      </c>
      <c r="C15" s="1297"/>
      <c r="I15" s="7" t="s">
        <v>2756</v>
      </c>
    </row>
    <row r="16" spans="1:23">
      <c r="A16" s="6" t="s">
        <v>85</v>
      </c>
      <c r="B16" s="6" t="s">
        <v>1213</v>
      </c>
      <c r="C16" s="1297"/>
    </row>
    <row r="17" spans="1:3">
      <c r="A17" s="6" t="s">
        <v>86</v>
      </c>
      <c r="B17" s="6" t="s">
        <v>1214</v>
      </c>
      <c r="C17" s="1297"/>
    </row>
    <row r="18" spans="1:3">
      <c r="A18" s="6" t="s">
        <v>87</v>
      </c>
      <c r="B18" s="2358" t="s">
        <v>2213</v>
      </c>
      <c r="C18" s="1297"/>
    </row>
    <row r="19" spans="1:3">
      <c r="A19" s="6" t="s">
        <v>88</v>
      </c>
      <c r="B19" s="2358" t="s">
        <v>2220</v>
      </c>
      <c r="C19" s="1297"/>
    </row>
    <row r="20" spans="1:3">
      <c r="A20" s="6" t="s">
        <v>89</v>
      </c>
      <c r="B20" s="2358" t="s">
        <v>2260</v>
      </c>
      <c r="C20" s="1297"/>
    </row>
    <row r="21" spans="1:3">
      <c r="A21" s="6" t="s">
        <v>90</v>
      </c>
      <c r="B21" s="6" t="s">
        <v>2436</v>
      </c>
      <c r="C21" s="1297"/>
    </row>
    <row r="22" spans="1:3">
      <c r="A22" s="6" t="s">
        <v>91</v>
      </c>
      <c r="B22" s="6" t="s">
        <v>1175</v>
      </c>
      <c r="C22" s="1297"/>
    </row>
    <row r="23" spans="1:3">
      <c r="A23" s="6" t="s">
        <v>92</v>
      </c>
      <c r="B23" s="6" t="s">
        <v>1175</v>
      </c>
      <c r="C23" s="1297"/>
    </row>
    <row r="24" spans="1:3">
      <c r="A24" s="6" t="s">
        <v>9</v>
      </c>
      <c r="B24" s="6" t="s">
        <v>1175</v>
      </c>
      <c r="C24" s="1297"/>
    </row>
    <row r="25" spans="1:3">
      <c r="A25" s="6" t="s">
        <v>93</v>
      </c>
      <c r="B25" s="6" t="s">
        <v>1175</v>
      </c>
      <c r="C25" s="1297"/>
    </row>
    <row r="26" spans="1:3">
      <c r="A26" s="6" t="s">
        <v>94</v>
      </c>
      <c r="B26" s="6" t="s">
        <v>1175</v>
      </c>
      <c r="C26" s="1297"/>
    </row>
    <row r="27" spans="1:3">
      <c r="A27" s="6" t="s">
        <v>1175</v>
      </c>
      <c r="B27" s="6" t="s">
        <v>1175</v>
      </c>
      <c r="C27" s="1297"/>
    </row>
    <row r="28" spans="1:3">
      <c r="A28" s="6" t="s">
        <v>1175</v>
      </c>
      <c r="B28" s="6" t="s">
        <v>1175</v>
      </c>
      <c r="C28" s="1297"/>
    </row>
    <row r="29" spans="1:3">
      <c r="A29" s="6" t="s">
        <v>1175</v>
      </c>
      <c r="B29" s="6" t="s">
        <v>1175</v>
      </c>
      <c r="C29" s="1297"/>
    </row>
    <row r="30" spans="1:3">
      <c r="A30" s="6" t="s">
        <v>1175</v>
      </c>
      <c r="B30" s="6" t="s">
        <v>1175</v>
      </c>
      <c r="C30" s="1297"/>
    </row>
    <row r="31" spans="1:3">
      <c r="A31" s="6" t="s">
        <v>1175</v>
      </c>
      <c r="B31" s="6" t="s">
        <v>1175</v>
      </c>
      <c r="C31" s="1297"/>
    </row>
    <row r="32" spans="1:3">
      <c r="A32" s="6" t="s">
        <v>1175</v>
      </c>
      <c r="B32" s="6" t="s">
        <v>1175</v>
      </c>
      <c r="C32" s="1297"/>
    </row>
    <row r="33" spans="1:3">
      <c r="A33" s="6" t="s">
        <v>1175</v>
      </c>
      <c r="B33" s="6" t="s">
        <v>1175</v>
      </c>
      <c r="C33" s="1297"/>
    </row>
    <row r="34" spans="1:3">
      <c r="A34" s="6" t="s">
        <v>1175</v>
      </c>
      <c r="B34" s="6" t="s">
        <v>1175</v>
      </c>
      <c r="C34" s="1297"/>
    </row>
    <row r="35" spans="1:3">
      <c r="A35" s="6" t="s">
        <v>1175</v>
      </c>
      <c r="B35" s="6" t="s">
        <v>1175</v>
      </c>
      <c r="C35" s="1297"/>
    </row>
    <row r="36" spans="1:3">
      <c r="A36" s="6" t="s">
        <v>1175</v>
      </c>
      <c r="B36" s="6" t="s">
        <v>1175</v>
      </c>
      <c r="C36" s="1297"/>
    </row>
    <row r="37" spans="1:3">
      <c r="A37" s="6" t="s">
        <v>1175</v>
      </c>
      <c r="B37" s="6" t="s">
        <v>1175</v>
      </c>
      <c r="C37" s="1297"/>
    </row>
    <row r="38" spans="1:3">
      <c r="A38" s="6" t="s">
        <v>1175</v>
      </c>
      <c r="B38" s="6" t="s">
        <v>1175</v>
      </c>
      <c r="C38" s="1297"/>
    </row>
    <row r="39" spans="1:3">
      <c r="A39" s="6" t="s">
        <v>1175</v>
      </c>
      <c r="B39" s="6" t="s">
        <v>1175</v>
      </c>
      <c r="C39" s="1297"/>
    </row>
    <row r="40" spans="1:3">
      <c r="A40" s="6" t="s">
        <v>1175</v>
      </c>
      <c r="B40" s="6" t="s">
        <v>1175</v>
      </c>
      <c r="C40" s="1297"/>
    </row>
    <row r="41" spans="1:3">
      <c r="A41" s="6" t="s">
        <v>1175</v>
      </c>
      <c r="B41" s="6" t="s">
        <v>1175</v>
      </c>
      <c r="C41" s="1297"/>
    </row>
    <row r="42" spans="1:3">
      <c r="A42" s="6" t="s">
        <v>1175</v>
      </c>
      <c r="B42" s="6" t="s">
        <v>1175</v>
      </c>
      <c r="C42" s="1297"/>
    </row>
    <row r="43" spans="1:3">
      <c r="A43" s="6" t="s">
        <v>1175</v>
      </c>
      <c r="B43" s="6" t="s">
        <v>1175</v>
      </c>
      <c r="C43" s="1297"/>
    </row>
    <row r="44" spans="1:3">
      <c r="A44" s="6" t="s">
        <v>1175</v>
      </c>
      <c r="B44" s="6" t="s">
        <v>1175</v>
      </c>
      <c r="C44" s="1297"/>
    </row>
    <row r="45" spans="1:3">
      <c r="A45" s="6" t="s">
        <v>1175</v>
      </c>
      <c r="B45" s="6" t="s">
        <v>1175</v>
      </c>
      <c r="C45" s="1297"/>
    </row>
    <row r="46" spans="1:3">
      <c r="A46" s="6" t="s">
        <v>1175</v>
      </c>
      <c r="B46" s="6" t="s">
        <v>1175</v>
      </c>
      <c r="C46" s="1297"/>
    </row>
    <row r="47" spans="1:3">
      <c r="A47" s="6" t="s">
        <v>1175</v>
      </c>
      <c r="B47" s="6" t="s">
        <v>1175</v>
      </c>
      <c r="C47" s="1297"/>
    </row>
    <row r="48" spans="1:3">
      <c r="A48" s="6" t="s">
        <v>1175</v>
      </c>
      <c r="B48" s="6" t="s">
        <v>1175</v>
      </c>
      <c r="C48" s="1297"/>
    </row>
    <row r="49" spans="1:5">
      <c r="A49" s="6" t="s">
        <v>1175</v>
      </c>
      <c r="B49" s="6" t="s">
        <v>1175</v>
      </c>
      <c r="C49" s="1297"/>
    </row>
    <row r="50" spans="1:5">
      <c r="A50" s="6" t="s">
        <v>1175</v>
      </c>
      <c r="B50" s="6" t="s">
        <v>1175</v>
      </c>
      <c r="C50" s="1297"/>
    </row>
    <row r="51" spans="1:5">
      <c r="A51" s="1468" t="s">
        <v>1460</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1502</v>
      </c>
      <c r="B52" s="1470" t="s">
        <v>1503</v>
      </c>
      <c r="C52" s="1469" t="s">
        <v>1504</v>
      </c>
      <c r="D52" s="1469" t="s">
        <v>1505</v>
      </c>
      <c r="E52" s="1470"/>
    </row>
    <row r="53" spans="1:5">
      <c r="A53" s="3564" t="s">
        <v>1506</v>
      </c>
      <c r="B53" s="1469" t="s">
        <v>1512</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c r="D53" s="1470"/>
      <c r="E53" s="1470"/>
    </row>
    <row r="54" spans="1:5">
      <c r="A54" s="3564"/>
      <c r="B54" s="1469" t="s">
        <v>1513</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564"/>
      <c r="B55" s="1469" t="s">
        <v>1507</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564"/>
      <c r="B56" s="1469" t="s">
        <v>1508</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564"/>
      <c r="B57" s="1469" t="s">
        <v>1509</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1565</v>
      </c>
      <c r="B58" s="1469" t="s">
        <v>1566</v>
      </c>
      <c r="C58" s="9" t="s">
        <v>1567</v>
      </c>
      <c r="D58" s="1123" t="s">
        <v>1568</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案例</vt:lpstr>
      <vt:lpstr>地价 (2)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'地价 (2)'!Print_Area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'地价 (2)'!季度2014</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2025-04-15T05:56:43Z</dcterms:modified>
</cp:coreProperties>
</file>