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state="hidden" r:id="rId22"/>
    <sheet name="土地案例" sheetId="83" state="hidden"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住宅案例" sheetId="78"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商业案例" sheetId="79" r:id="rId36"/>
    <sheet name="比较法-公寓" sheetId="80" state="hidden" r:id="rId37"/>
    <sheet name="公寓案例" sheetId="81" state="hidden" r:id="rId38"/>
    <sheet name="收益法-车库" sheetId="82"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4" r:id="rId52"/>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6" hidden="1">'比较法-公寓'!$A$1:$L$49</definedName>
    <definedName name="_xlnm._FilterDatabase" localSheetId="30" hidden="1">'比较法-商业'!$A$1:$L$49</definedName>
    <definedName name="_xlnm._FilterDatabase" localSheetId="28"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8">'收益法-车库'!$A$1:$AK$69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6">'比较法-公寓'!$B$116:$M$116</definedName>
    <definedName name="商业层高">'比较法-商业'!$B$116:$M$116</definedName>
    <definedName name="商业成新度" localSheetId="36">'比较法-公寓'!$B$109:$M$109</definedName>
    <definedName name="商业成新度">'比较法-商业'!$B$109:$M$109</definedName>
    <definedName name="商业繁华度">定义!$L$1:$L$6</definedName>
    <definedName name="商业公共部分装修" localSheetId="36">'比较法-公寓'!$B$107:$M$107</definedName>
    <definedName name="商业公共部分装修">'比较法-商业'!$B$107:$M$107</definedName>
    <definedName name="商业基础设施水平" localSheetId="36">'比较法-公寓'!$B$112:$M$112</definedName>
    <definedName name="商业基础设施水平">'比较法-商业'!$B$112:$M$112</definedName>
    <definedName name="商业建筑结构" localSheetId="36">'比较法-公寓'!$B$105:$M$105</definedName>
    <definedName name="商业建筑结构">'比较法-商业'!$B$105:$M$105</definedName>
    <definedName name="商业交易情况" localSheetId="36">'比较法-公寓'!$A$61:$M$61</definedName>
    <definedName name="商业交易情况">'比较法-商业'!$A$61:$M$61</definedName>
    <definedName name="商业街名称">修正!$C$59:$C$119</definedName>
    <definedName name="商业进深比" localSheetId="36">'比较法-公寓'!$B$120:$M$120</definedName>
    <definedName name="商业进深比">'比较法-商业'!$B$120:$M$120</definedName>
    <definedName name="商业类型" localSheetId="36">'比较法-公寓'!$B$100:$M$100</definedName>
    <definedName name="商业类型">'比较法-商业'!$B$100:$M$100</definedName>
    <definedName name="商业临街状况" localSheetId="36">'比较法-公寓'!$B$86:$M$86</definedName>
    <definedName name="商业临街状况">'比较法-商业'!$B$86:$M$86</definedName>
    <definedName name="商业楼层" localSheetId="36">'比较法-公寓'!$B$92:$M$92</definedName>
    <definedName name="商业楼层">'比较法-商业'!$B$92:$M$92</definedName>
    <definedName name="商业内部装修" localSheetId="36">'比较法-公寓'!$B$122:$M$122</definedName>
    <definedName name="商业内部装修">'比较法-商业'!$B$122:$M$122</definedName>
    <definedName name="商业人流量" localSheetId="36">'比较法-公寓'!$B$90:$M$90</definedName>
    <definedName name="商业人流量">'比较法-商业'!$B$90:$M$90</definedName>
    <definedName name="商业业态" localSheetId="36">'比较法-公寓'!$B$114:$M$114</definedName>
    <definedName name="商业业态">'比较法-商业'!$B$114:$M$114</definedName>
    <definedName name="商业用途" localSheetId="36">'比较法-公寓'!$B$63:$M$63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I14" i="3"/>
  <c r="I22" i="77"/>
  <c r="A9" i="84"/>
  <c r="C15" i="74"/>
  <c r="B15" i="74"/>
  <c r="D6" i="73"/>
  <c r="G1" i="73"/>
  <c r="B40" i="1"/>
  <c r="F22" i="68"/>
  <c r="F19" i="6"/>
  <c r="K15" i="3"/>
  <c r="F20" i="6"/>
  <c r="BB13" i="3"/>
  <c r="BB14" i="3"/>
  <c r="BB5" i="3"/>
  <c r="BC15" i="3"/>
  <c r="BC16" i="3"/>
  <c r="BC17" i="3"/>
  <c r="BC20" i="3"/>
  <c r="BC5" i="3"/>
  <c r="E8" i="6"/>
  <c r="F27" i="6"/>
  <c r="F31" i="6"/>
  <c r="C24" i="68"/>
  <c r="C26" i="68"/>
  <c r="D22" i="68"/>
  <c r="E5" i="6"/>
  <c r="D9" i="68"/>
  <c r="BA13" i="3"/>
  <c r="AZ13" i="3"/>
  <c r="BA14" i="3"/>
  <c r="AZ14" i="3"/>
  <c r="BA15" i="3"/>
  <c r="AZ15" i="3"/>
  <c r="BA16" i="3"/>
  <c r="AZ16" i="3"/>
  <c r="BA17" i="3"/>
  <c r="AZ17" i="3"/>
  <c r="BA20" i="3"/>
  <c r="AZ20" i="3"/>
  <c r="AZ5" i="3"/>
  <c r="E3" i="6"/>
  <c r="E6" i="6"/>
  <c r="D10" i="68"/>
  <c r="D19" i="68"/>
  <c r="D37" i="68"/>
  <c r="C44" i="68"/>
  <c r="D41" i="68"/>
  <c r="E19" i="6"/>
  <c r="K6" i="1"/>
  <c r="M6" i="1"/>
  <c r="O6" i="1"/>
  <c r="P6" i="1"/>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1" i="12"/>
  <c r="C12" i="12"/>
  <c r="C13" i="12"/>
  <c r="D14" i="12"/>
  <c r="C15" i="12"/>
  <c r="D17" i="12"/>
  <c r="C17" i="12"/>
  <c r="D19" i="12"/>
  <c r="C19" i="12"/>
  <c r="D20" i="12"/>
  <c r="C20" i="12"/>
  <c r="C18" i="12"/>
  <c r="C7" i="12"/>
  <c r="C8" i="12"/>
  <c r="I5" i="3"/>
  <c r="K16" i="3"/>
  <c r="K17" i="3"/>
  <c r="K20" i="3"/>
  <c r="K5" i="3"/>
  <c r="J6" i="77"/>
  <c r="A3" i="3"/>
  <c r="I4" i="6"/>
  <c r="C11" i="33"/>
  <c r="F11" i="33"/>
  <c r="AA11" i="33"/>
  <c r="H13" i="3"/>
  <c r="G13" i="3"/>
  <c r="H14" i="3"/>
  <c r="G14" i="3"/>
  <c r="H15" i="3"/>
  <c r="G15" i="3"/>
  <c r="H16" i="3"/>
  <c r="G16" i="3"/>
  <c r="H17" i="3"/>
  <c r="G17" i="3"/>
  <c r="H20" i="3"/>
  <c r="G20" i="3"/>
  <c r="G5" i="3"/>
  <c r="B3" i="3"/>
  <c r="C33" i="33"/>
  <c r="F33" i="33"/>
  <c r="AA33" i="33"/>
  <c r="R48" i="33"/>
  <c r="H11" i="33"/>
  <c r="AB11" i="33"/>
  <c r="H33" i="33"/>
  <c r="AB33" i="33"/>
  <c r="T48" i="33"/>
  <c r="J11" i="33"/>
  <c r="AC11" i="33"/>
  <c r="J33" i="33"/>
  <c r="AC33" i="33"/>
  <c r="V48" i="33"/>
  <c r="R49" i="33"/>
  <c r="C49" i="33"/>
  <c r="N7" i="79"/>
  <c r="N8" i="79"/>
  <c r="N9" i="79"/>
  <c r="N10" i="79"/>
  <c r="N11" i="79"/>
  <c r="D6" i="12"/>
  <c r="D7" i="12"/>
  <c r="D8" i="12"/>
  <c r="C4" i="12"/>
  <c r="F25" i="12"/>
  <c r="C26" i="12"/>
  <c r="D25" i="12"/>
  <c r="BB15" i="3"/>
  <c r="BB16" i="3"/>
  <c r="BB17" i="3"/>
  <c r="BB18" i="3"/>
  <c r="BB19" i="3"/>
  <c r="BB20" i="3"/>
  <c r="BC13" i="3"/>
  <c r="BD13" i="3"/>
  <c r="BC14" i="3"/>
  <c r="BD14" i="3"/>
  <c r="BD15" i="3"/>
  <c r="BD16" i="3"/>
  <c r="BD17" i="3"/>
  <c r="BC18" i="3"/>
  <c r="BD18" i="3"/>
  <c r="BA18" i="3"/>
  <c r="AZ18" i="3"/>
  <c r="BC19" i="3"/>
  <c r="BD19" i="3"/>
  <c r="BA19" i="3"/>
  <c r="AZ19" i="3"/>
  <c r="BD20" i="3"/>
  <c r="C9" i="68"/>
  <c r="C10" i="68"/>
  <c r="H18" i="3"/>
  <c r="G18" i="3"/>
  <c r="H19" i="3"/>
  <c r="G19" i="3"/>
  <c r="L2" i="83"/>
  <c r="E46" i="39"/>
  <c r="R46" i="39"/>
  <c r="E7"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F8" i="39"/>
  <c r="AA8" i="39"/>
  <c r="F9" i="39"/>
  <c r="AA9" i="39"/>
  <c r="D81" i="39"/>
  <c r="E81" i="39"/>
  <c r="F81" i="39"/>
  <c r="E16" i="77"/>
  <c r="E20" i="77"/>
  <c r="E22" i="77"/>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C11" i="39"/>
  <c r="G81" i="39"/>
  <c r="F11" i="39"/>
  <c r="AA11" i="39"/>
  <c r="B82" i="39"/>
  <c r="F12" i="39"/>
  <c r="AA12" i="39"/>
  <c r="B84" i="39"/>
  <c r="F13" i="39"/>
  <c r="AA13" i="39"/>
  <c r="B86" i="39"/>
  <c r="F14" i="39"/>
  <c r="AA14" i="39"/>
  <c r="D89" i="39"/>
  <c r="F15" i="39"/>
  <c r="AA15" i="39"/>
  <c r="D91" i="39"/>
  <c r="E91" i="39"/>
  <c r="F17" i="39"/>
  <c r="AA17" i="39"/>
  <c r="F19" i="39"/>
  <c r="AA19" i="39"/>
  <c r="D95" i="39"/>
  <c r="F21" i="39"/>
  <c r="AA21" i="39"/>
  <c r="F23" i="39"/>
  <c r="AA23" i="39"/>
  <c r="D99" i="39"/>
  <c r="F25" i="39"/>
  <c r="AA25" i="39"/>
  <c r="D101" i="39"/>
  <c r="F27" i="39"/>
  <c r="AA27" i="39"/>
  <c r="F29" i="39"/>
  <c r="AA29" i="39"/>
  <c r="B104" i="39"/>
  <c r="D105" i="39"/>
  <c r="E105" i="39"/>
  <c r="F31" i="39"/>
  <c r="AA31" i="39"/>
  <c r="D107" i="39"/>
  <c r="E107" i="39"/>
  <c r="F32" i="39"/>
  <c r="AA32" i="39"/>
  <c r="F34" i="39"/>
  <c r="AA34" i="39"/>
  <c r="B110" i="39"/>
  <c r="F35" i="39"/>
  <c r="AA35" i="39"/>
  <c r="B112" i="39"/>
  <c r="F36" i="39"/>
  <c r="AA36" i="39"/>
  <c r="B114" i="39"/>
  <c r="F37" i="39"/>
  <c r="AA37" i="39"/>
  <c r="E38" i="39"/>
  <c r="C38" i="39"/>
  <c r="F38" i="39"/>
  <c r="AA38" i="39"/>
  <c r="D120" i="39"/>
  <c r="E120" i="39"/>
  <c r="F39" i="39"/>
  <c r="AA39" i="39"/>
  <c r="D122" i="39"/>
  <c r="F40" i="39"/>
  <c r="AA40" i="39"/>
  <c r="F41" i="39"/>
  <c r="AA41" i="39"/>
  <c r="F42" i="39"/>
  <c r="AA42" i="39"/>
  <c r="B127" i="39"/>
  <c r="F43" i="39"/>
  <c r="AA43" i="39"/>
  <c r="B129" i="39"/>
  <c r="F44" i="39"/>
  <c r="AA44" i="39"/>
  <c r="B131" i="39"/>
  <c r="F45" i="39"/>
  <c r="AA45" i="39"/>
  <c r="C6" i="12"/>
  <c r="L4" i="83"/>
  <c r="G46" i="39"/>
  <c r="G38" i="39"/>
  <c r="L19" i="83"/>
  <c r="I46" i="39"/>
  <c r="I38" i="39"/>
  <c r="I7" i="39"/>
  <c r="G7" i="39"/>
  <c r="I5" i="39"/>
  <c r="G5" i="39"/>
  <c r="E5" i="39"/>
  <c r="L3" i="83"/>
  <c r="L5" i="83"/>
  <c r="L6" i="83"/>
  <c r="L7" i="83"/>
  <c r="L8" i="83"/>
  <c r="L9" i="83"/>
  <c r="L10" i="83"/>
  <c r="L11" i="83"/>
  <c r="L12" i="83"/>
  <c r="L13" i="83"/>
  <c r="L14" i="83"/>
  <c r="L15" i="83"/>
  <c r="L16" i="83"/>
  <c r="L17" i="83"/>
  <c r="L18" i="83"/>
  <c r="L20" i="83"/>
  <c r="L21" i="83"/>
  <c r="L22" i="83"/>
  <c r="L23" i="83"/>
  <c r="L24" i="83"/>
  <c r="L25" i="83"/>
  <c r="L26" i="83"/>
  <c r="L27" i="83"/>
  <c r="L28" i="83"/>
  <c r="L29" i="83"/>
  <c r="L30" i="83"/>
  <c r="L31" i="83"/>
  <c r="L32" i="83"/>
  <c r="L33" i="83"/>
  <c r="L34" i="83"/>
  <c r="L35" i="83"/>
  <c r="D69" i="33"/>
  <c r="E69" i="33"/>
  <c r="F69" i="33"/>
  <c r="G69" i="3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R47" i="33"/>
  <c r="C7" i="33"/>
  <c r="E7" i="33"/>
  <c r="C58" i="33"/>
  <c r="D58" i="33"/>
  <c r="E58" i="33"/>
  <c r="F58" i="33"/>
  <c r="G58" i="33"/>
  <c r="H58" i="33"/>
  <c r="I58" i="33"/>
  <c r="J58" i="33"/>
  <c r="K58" i="33"/>
  <c r="L58" i="33"/>
  <c r="M58" i="33"/>
  <c r="N58" i="33"/>
  <c r="O58" i="33"/>
  <c r="F7" i="33"/>
  <c r="AA7" i="33"/>
  <c r="F8" i="33"/>
  <c r="AA8" i="33"/>
  <c r="C63" i="33"/>
  <c r="F9" i="33"/>
  <c r="AA9" i="33"/>
  <c r="F10" i="33"/>
  <c r="AA10" i="33"/>
  <c r="B70" i="33"/>
  <c r="F12" i="33"/>
  <c r="AA12" i="33"/>
  <c r="B72" i="33"/>
  <c r="F13" i="33"/>
  <c r="AA13" i="33"/>
  <c r="B74" i="33"/>
  <c r="F14" i="33"/>
  <c r="AA14" i="33"/>
  <c r="D77" i="33"/>
  <c r="F15" i="33"/>
  <c r="AA15" i="33"/>
  <c r="D79" i="33"/>
  <c r="F17" i="33"/>
  <c r="AA17" i="33"/>
  <c r="D81" i="33"/>
  <c r="F19" i="33"/>
  <c r="AA19"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F32" i="33"/>
  <c r="AA32" i="33"/>
  <c r="F34" i="33"/>
  <c r="AA34" i="33"/>
  <c r="F35" i="33"/>
  <c r="AA35" i="33"/>
  <c r="D111" i="33"/>
  <c r="E111" i="33"/>
  <c r="F111" i="33"/>
  <c r="G111" i="33"/>
  <c r="F36" i="33"/>
  <c r="AA36" i="33"/>
  <c r="F37" i="33"/>
  <c r="AA37" i="33"/>
  <c r="F38" i="33"/>
  <c r="AA38" i="33"/>
  <c r="D117" i="33"/>
  <c r="F39" i="33"/>
  <c r="AA39" i="33"/>
  <c r="F40" i="33"/>
  <c r="AA40" i="33"/>
  <c r="F41" i="33"/>
  <c r="AA41" i="33"/>
  <c r="F42" i="33"/>
  <c r="AA42" i="33"/>
  <c r="F43" i="33"/>
  <c r="AA43" i="33"/>
  <c r="B126" i="33"/>
  <c r="F44" i="33"/>
  <c r="AA44" i="33"/>
  <c r="B128" i="33"/>
  <c r="F45" i="33"/>
  <c r="AA45" i="33"/>
  <c r="B130" i="33"/>
  <c r="F46" i="33"/>
  <c r="AA46" i="33"/>
  <c r="G33" i="33"/>
  <c r="T47" i="33"/>
  <c r="G7" i="33"/>
  <c r="H7" i="33"/>
  <c r="AB7" i="33"/>
  <c r="H8" i="33"/>
  <c r="AB8" i="33"/>
  <c r="H9" i="33"/>
  <c r="AB9" i="33"/>
  <c r="H10" i="33"/>
  <c r="AB10"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V47" i="33"/>
  <c r="I7" i="33"/>
  <c r="J7" i="33"/>
  <c r="AC7" i="33"/>
  <c r="J8" i="33"/>
  <c r="AC8" i="33"/>
  <c r="J9" i="33"/>
  <c r="AC9" i="33"/>
  <c r="J10" i="33"/>
  <c r="AC10"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A6" i="1"/>
  <c r="A7" i="1"/>
  <c r="A8" i="1"/>
  <c r="A9" i="1"/>
  <c r="A10" i="1"/>
  <c r="A11" i="1"/>
  <c r="A12" i="1"/>
  <c r="A13" i="1"/>
  <c r="G1" i="82"/>
  <c r="S10" i="1"/>
  <c r="T10" i="1"/>
  <c r="E22" i="6"/>
  <c r="BQ17" i="3"/>
  <c r="BQ18" i="3"/>
  <c r="BQ20" i="3"/>
  <c r="BQ13" i="3"/>
  <c r="BQ14" i="3"/>
  <c r="BQ15" i="3"/>
  <c r="BQ16" i="3"/>
  <c r="BQ19"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7" i="3"/>
  <c r="BS18" i="3"/>
  <c r="BS20" i="3"/>
  <c r="BS13" i="3"/>
  <c r="BS14" i="3"/>
  <c r="BS15" i="3"/>
  <c r="BS16" i="3"/>
  <c r="BS19"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7" i="3"/>
  <c r="BR18" i="3"/>
  <c r="BR20" i="3"/>
  <c r="BR13" i="3"/>
  <c r="BR14" i="3"/>
  <c r="BR15" i="3"/>
  <c r="BR16" i="3"/>
  <c r="BR19"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7" i="3"/>
  <c r="BT18" i="3"/>
  <c r="BT20" i="3"/>
  <c r="BT13" i="3"/>
  <c r="BT14" i="3"/>
  <c r="BT15" i="3"/>
  <c r="BT16" i="3"/>
  <c r="BT19"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E17" i="3"/>
  <c r="BF17" i="3"/>
  <c r="BG17" i="3"/>
  <c r="BH17" i="3"/>
  <c r="BI17" i="3"/>
  <c r="BJ17" i="3"/>
  <c r="BK17" i="3"/>
  <c r="BE18" i="3"/>
  <c r="BF18" i="3"/>
  <c r="BG18" i="3"/>
  <c r="BH18" i="3"/>
  <c r="BI18" i="3"/>
  <c r="BJ18" i="3"/>
  <c r="BK18" i="3"/>
  <c r="BE15" i="3"/>
  <c r="BF15" i="3"/>
  <c r="BG15" i="3"/>
  <c r="BH15" i="3"/>
  <c r="BI15" i="3"/>
  <c r="BJ15" i="3"/>
  <c r="BK15" i="3"/>
  <c r="BE20" i="3"/>
  <c r="BF20" i="3"/>
  <c r="BG20" i="3"/>
  <c r="BH20" i="3"/>
  <c r="BI20" i="3"/>
  <c r="BJ20" i="3"/>
  <c r="BK20" i="3"/>
  <c r="BE16" i="3"/>
  <c r="BF16" i="3"/>
  <c r="BG16" i="3"/>
  <c r="BH16" i="3"/>
  <c r="BI16" i="3"/>
  <c r="BJ16" i="3"/>
  <c r="BK16" i="3"/>
  <c r="BE13" i="3"/>
  <c r="BF13" i="3"/>
  <c r="BG13" i="3"/>
  <c r="BH13" i="3"/>
  <c r="BI13" i="3"/>
  <c r="BJ13" i="3"/>
  <c r="BK13" i="3"/>
  <c r="BE14" i="3"/>
  <c r="BF14" i="3"/>
  <c r="BG14" i="3"/>
  <c r="BH14" i="3"/>
  <c r="BI14" i="3"/>
  <c r="BJ14" i="3"/>
  <c r="BK14" i="3"/>
  <c r="BE19" i="3"/>
  <c r="BF19" i="3"/>
  <c r="BG19" i="3"/>
  <c r="BH19" i="3"/>
  <c r="BI19" i="3"/>
  <c r="BJ19" i="3"/>
  <c r="BK19"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10" i="3"/>
  <c r="BC10" i="3"/>
  <c r="BD10" i="3"/>
  <c r="BE10" i="3"/>
  <c r="BF10" i="3"/>
  <c r="BG10" i="3"/>
  <c r="BH10" i="3"/>
  <c r="BI10" i="3"/>
  <c r="BJ10" i="3"/>
  <c r="BK10" i="3"/>
  <c r="BD5" i="3"/>
  <c r="BE5" i="3"/>
  <c r="BF5" i="3"/>
  <c r="BG5" i="3"/>
  <c r="BH5" i="3"/>
  <c r="BI5" i="3"/>
  <c r="BJ5" i="3"/>
  <c r="BK5" i="3"/>
  <c r="E21" i="6"/>
  <c r="E23" i="6"/>
  <c r="E24" i="6"/>
  <c r="E25" i="6"/>
  <c r="E26" i="6"/>
  <c r="E27" i="6"/>
  <c r="K22" i="6"/>
  <c r="S9" i="1"/>
  <c r="T9" i="1"/>
  <c r="C14" i="82"/>
  <c r="F15" i="82"/>
  <c r="C15" i="82"/>
  <c r="F16" i="82"/>
  <c r="C16" i="82"/>
  <c r="F17" i="82"/>
  <c r="F43" i="82"/>
  <c r="C17" i="82"/>
  <c r="F18" i="82"/>
  <c r="C18" i="82"/>
  <c r="C19" i="82"/>
  <c r="F20" i="82"/>
  <c r="C20" i="82"/>
  <c r="C1" i="73"/>
  <c r="J1" i="73"/>
  <c r="B22" i="1"/>
  <c r="E1" i="73"/>
  <c r="K1" i="73"/>
  <c r="F24" i="82"/>
  <c r="F23" i="82"/>
  <c r="C23" i="82"/>
  <c r="F26" i="82"/>
  <c r="C26" i="82"/>
  <c r="F21" i="82"/>
  <c r="C24" i="82"/>
  <c r="C27" i="82"/>
  <c r="B43" i="1"/>
  <c r="B41" i="1"/>
  <c r="F28" i="82"/>
  <c r="C42" i="1"/>
  <c r="C28" i="82"/>
  <c r="C29" i="82"/>
  <c r="F13" i="82"/>
  <c r="C13" i="82"/>
  <c r="F6" i="82"/>
  <c r="F8" i="82"/>
  <c r="F7" i="82"/>
  <c r="F9" i="82"/>
  <c r="C6" i="82"/>
  <c r="L1" i="73"/>
  <c r="F4" i="73"/>
  <c r="I1" i="73"/>
  <c r="B39" i="1"/>
  <c r="F11" i="82"/>
  <c r="C10" i="82"/>
  <c r="C5" i="82"/>
  <c r="F32" i="82"/>
  <c r="C32" i="82"/>
  <c r="F33" i="82"/>
  <c r="C33" i="82"/>
  <c r="B52" i="1"/>
  <c r="F34" i="82"/>
  <c r="R10" i="1"/>
  <c r="BM17" i="3"/>
  <c r="BN17" i="3"/>
  <c r="BO17" i="3"/>
  <c r="BP17" i="3"/>
  <c r="BL17" i="3"/>
  <c r="BM18" i="3"/>
  <c r="BN18" i="3"/>
  <c r="BO18" i="3"/>
  <c r="BP18" i="3"/>
  <c r="BL18" i="3"/>
  <c r="BM15" i="3"/>
  <c r="BN15" i="3"/>
  <c r="BO15" i="3"/>
  <c r="BP15" i="3"/>
  <c r="BL15" i="3"/>
  <c r="BM20" i="3"/>
  <c r="BN20" i="3"/>
  <c r="BO20" i="3"/>
  <c r="BP20" i="3"/>
  <c r="BL20" i="3"/>
  <c r="BM16" i="3"/>
  <c r="BN16" i="3"/>
  <c r="BO16" i="3"/>
  <c r="BP16" i="3"/>
  <c r="BL16" i="3"/>
  <c r="BM13" i="3"/>
  <c r="BN13" i="3"/>
  <c r="BO13" i="3"/>
  <c r="BP13" i="3"/>
  <c r="BL13" i="3"/>
  <c r="BM14" i="3"/>
  <c r="BN14" i="3"/>
  <c r="BO14" i="3"/>
  <c r="BP14" i="3"/>
  <c r="BL14" i="3"/>
  <c r="BM19" i="3"/>
  <c r="BN19" i="3"/>
  <c r="BO19" i="3"/>
  <c r="BP19" i="3"/>
  <c r="BL19"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Y6" i="3"/>
  <c r="D3" i="6"/>
  <c r="D22" i="6"/>
  <c r="L22" i="6"/>
  <c r="M22" i="6"/>
  <c r="I22" i="6"/>
  <c r="H22" i="6"/>
  <c r="R22" i="6"/>
  <c r="R9" i="1"/>
  <c r="F35" i="82"/>
  <c r="C34" i="82"/>
  <c r="C31" i="82"/>
  <c r="F36" i="82"/>
  <c r="C36" i="82"/>
  <c r="F37" i="82"/>
  <c r="C37" i="82"/>
  <c r="F38" i="82"/>
  <c r="C38" i="82"/>
  <c r="C30" i="82"/>
  <c r="C39" i="82"/>
  <c r="F42" i="82"/>
  <c r="F40" i="82"/>
  <c r="AE10" i="1"/>
  <c r="M47" i="82"/>
  <c r="L48" i="82"/>
  <c r="J50" i="82"/>
  <c r="J51" i="82"/>
  <c r="B24" i="1"/>
  <c r="J53" i="82"/>
  <c r="F1" i="82"/>
  <c r="AE9" i="1"/>
  <c r="F41" i="82"/>
  <c r="C40" i="82"/>
  <c r="C83" i="82"/>
  <c r="C82" i="82"/>
  <c r="C76" i="82"/>
  <c r="C75" i="82"/>
  <c r="C80" i="82"/>
  <c r="C79" i="82"/>
  <c r="M6" i="82"/>
  <c r="M8" i="82"/>
  <c r="M7" i="82"/>
  <c r="M9" i="82"/>
  <c r="J6" i="82"/>
  <c r="M11" i="82"/>
  <c r="J10" i="82"/>
  <c r="J5" i="82"/>
  <c r="J26" i="82"/>
  <c r="J29" i="82"/>
  <c r="Q65" i="82"/>
  <c r="F10" i="1"/>
  <c r="L51" i="82"/>
  <c r="L57" i="82"/>
  <c r="D10" i="1"/>
  <c r="L47" i="82"/>
  <c r="L58" i="82"/>
  <c r="M59" i="82"/>
  <c r="N59" i="82"/>
  <c r="L59" i="82"/>
  <c r="L60" i="82"/>
  <c r="Q66" i="82"/>
  <c r="Q75" i="82"/>
  <c r="Q74" i="82"/>
  <c r="K59" i="82"/>
  <c r="P74"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Q67" i="82"/>
  <c r="Q56" i="82"/>
  <c r="Q57" i="82"/>
  <c r="Q62" i="82"/>
  <c r="Q61" i="82"/>
  <c r="P61" i="82"/>
  <c r="Q60" i="82"/>
  <c r="J57" i="82"/>
  <c r="J55" i="82"/>
  <c r="J58" i="82"/>
  <c r="J59" i="82"/>
  <c r="J60" i="82"/>
  <c r="Q59" i="82"/>
  <c r="F59" i="82"/>
  <c r="Q58" i="82"/>
  <c r="L56" i="82"/>
  <c r="I54" i="82"/>
  <c r="Q47" i="82"/>
  <c r="Q48" i="82"/>
  <c r="Q53" i="82"/>
  <c r="Q52" i="82"/>
  <c r="Q51" i="82"/>
  <c r="Q50" i="82"/>
  <c r="Q49" i="82"/>
  <c r="L46" i="82"/>
  <c r="D46" i="82"/>
  <c r="C46" i="82"/>
  <c r="C43" i="82"/>
  <c r="F31" i="82"/>
  <c r="M29" i="82"/>
  <c r="M28" i="82"/>
  <c r="AG10"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B2" i="82"/>
  <c r="B3" i="82"/>
  <c r="B130" i="80"/>
  <c r="B128" i="80"/>
  <c r="B126" i="80"/>
  <c r="D125" i="80"/>
  <c r="E125" i="80"/>
  <c r="F125" i="80"/>
  <c r="G125" i="80"/>
  <c r="D123" i="80"/>
  <c r="E123" i="80"/>
  <c r="F123" i="80"/>
  <c r="G123" i="80"/>
  <c r="H123" i="80"/>
  <c r="I123" i="80"/>
  <c r="J123" i="80"/>
  <c r="K123" i="80"/>
  <c r="L123" i="80"/>
  <c r="M123" i="80"/>
  <c r="D121" i="80"/>
  <c r="E121" i="80"/>
  <c r="F121" i="80"/>
  <c r="G121" i="80"/>
  <c r="H121" i="80"/>
  <c r="I121" i="80"/>
  <c r="J121" i="80"/>
  <c r="K121" i="80"/>
  <c r="L121" i="80"/>
  <c r="M121" i="80"/>
  <c r="D117" i="80"/>
  <c r="E117" i="80"/>
  <c r="F117" i="80"/>
  <c r="G117" i="80"/>
  <c r="D115" i="80"/>
  <c r="E115" i="80"/>
  <c r="F115" i="80"/>
  <c r="G115" i="80"/>
  <c r="H115" i="80"/>
  <c r="I115" i="80"/>
  <c r="J115" i="80"/>
  <c r="K115" i="80"/>
  <c r="L115" i="80"/>
  <c r="M115" i="80"/>
  <c r="D113" i="80"/>
  <c r="E113" i="80"/>
  <c r="F113" i="80"/>
  <c r="G113" i="80"/>
  <c r="H113" i="80"/>
  <c r="I113" i="80"/>
  <c r="J113" i="80"/>
  <c r="K113" i="80"/>
  <c r="L113" i="80"/>
  <c r="M113" i="80"/>
  <c r="D111" i="80"/>
  <c r="E111" i="80"/>
  <c r="F111" i="80"/>
  <c r="G111" i="80"/>
  <c r="H111" i="80"/>
  <c r="I111" i="80"/>
  <c r="J111" i="80"/>
  <c r="K111" i="80"/>
  <c r="L111" i="80"/>
  <c r="M111" i="80"/>
  <c r="G109" i="80"/>
  <c r="F109" i="80"/>
  <c r="E109" i="80"/>
  <c r="D109" i="80"/>
  <c r="C109"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D91" i="80"/>
  <c r="E91" i="80"/>
  <c r="F91" i="80"/>
  <c r="G91" i="80"/>
  <c r="H91" i="80"/>
  <c r="I91" i="80"/>
  <c r="J91" i="80"/>
  <c r="K91" i="80"/>
  <c r="L91" i="80"/>
  <c r="M91" i="80"/>
  <c r="B90" i="80"/>
  <c r="B88" i="80"/>
  <c r="D87" i="80"/>
  <c r="E87" i="80"/>
  <c r="F87" i="80"/>
  <c r="G87" i="80"/>
  <c r="H87" i="80"/>
  <c r="I87" i="80"/>
  <c r="J87" i="80"/>
  <c r="K87" i="80"/>
  <c r="L87" i="80"/>
  <c r="M87" i="80"/>
  <c r="D85" i="80"/>
  <c r="E85" i="80"/>
  <c r="F85" i="80"/>
  <c r="G85" i="80"/>
  <c r="D83" i="80"/>
  <c r="E83" i="80"/>
  <c r="F83" i="80"/>
  <c r="G83" i="80"/>
  <c r="D81" i="80"/>
  <c r="E81" i="80"/>
  <c r="F81" i="80"/>
  <c r="G81" i="80"/>
  <c r="D79" i="80"/>
  <c r="E79" i="80"/>
  <c r="F79" i="80"/>
  <c r="G79" i="80"/>
  <c r="D77" i="80"/>
  <c r="E77" i="80"/>
  <c r="F77" i="80"/>
  <c r="G77" i="80"/>
  <c r="B74" i="80"/>
  <c r="B72" i="80"/>
  <c r="B70" i="80"/>
  <c r="D69" i="80"/>
  <c r="E69" i="80"/>
  <c r="F69" i="80"/>
  <c r="G69" i="80"/>
  <c r="H69" i="80"/>
  <c r="I69" i="80"/>
  <c r="J69" i="80"/>
  <c r="K69" i="80"/>
  <c r="L69" i="80"/>
  <c r="M69" i="80"/>
  <c r="M67" i="80"/>
  <c r="L67" i="80"/>
  <c r="K67" i="80"/>
  <c r="J67" i="80"/>
  <c r="I67" i="80"/>
  <c r="H67" i="80"/>
  <c r="G67" i="80"/>
  <c r="F67" i="80"/>
  <c r="E67" i="80"/>
  <c r="D67" i="80"/>
  <c r="C67" i="80"/>
  <c r="G66" i="80"/>
  <c r="H66" i="80"/>
  <c r="I66" i="80"/>
  <c r="C63" i="80"/>
  <c r="C7" i="80"/>
  <c r="C58" i="80"/>
  <c r="D58" i="80"/>
  <c r="E58" i="80"/>
  <c r="F58" i="80"/>
  <c r="G58" i="80"/>
  <c r="H58" i="80"/>
  <c r="I58" i="80"/>
  <c r="J58" i="80"/>
  <c r="K58" i="80"/>
  <c r="L58" i="80"/>
  <c r="M58" i="80"/>
  <c r="N58" i="80"/>
  <c r="O58" i="80"/>
  <c r="I54" i="80"/>
  <c r="J54" i="80"/>
  <c r="G54" i="80"/>
  <c r="H54" i="80"/>
  <c r="E54" i="80"/>
  <c r="F54" i="80"/>
  <c r="V47" i="80"/>
  <c r="I7" i="80"/>
  <c r="J7" i="80"/>
  <c r="AC7" i="80"/>
  <c r="J8" i="80"/>
  <c r="AC8" i="80"/>
  <c r="J9" i="80"/>
  <c r="AC9" i="80"/>
  <c r="J10" i="80"/>
  <c r="AC10" i="80"/>
  <c r="C11" i="80"/>
  <c r="J11" i="80"/>
  <c r="AC11"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C33" i="80"/>
  <c r="J33" i="80"/>
  <c r="AC33" i="80"/>
  <c r="J34" i="80"/>
  <c r="AC34" i="80"/>
  <c r="J35" i="80"/>
  <c r="AC35" i="80"/>
  <c r="J36" i="80"/>
  <c r="AC36" i="80"/>
  <c r="J37" i="80"/>
  <c r="AC37" i="80"/>
  <c r="J38" i="80"/>
  <c r="AC38" i="80"/>
  <c r="J39" i="80"/>
  <c r="AC39" i="80"/>
  <c r="J40" i="80"/>
  <c r="AC40" i="80"/>
  <c r="J41" i="80"/>
  <c r="AC41" i="80"/>
  <c r="J42" i="80"/>
  <c r="AC42" i="80"/>
  <c r="J43" i="80"/>
  <c r="AC43" i="80"/>
  <c r="J44" i="80"/>
  <c r="AC44" i="80"/>
  <c r="J45" i="80"/>
  <c r="AC45" i="80"/>
  <c r="J46" i="80"/>
  <c r="AC46" i="80"/>
  <c r="V48" i="80"/>
  <c r="I48" i="80"/>
  <c r="R47" i="80"/>
  <c r="E7" i="80"/>
  <c r="F7" i="80"/>
  <c r="AA7" i="80"/>
  <c r="F8" i="80"/>
  <c r="AA8" i="80"/>
  <c r="F9" i="80"/>
  <c r="AA9" i="80"/>
  <c r="F10" i="80"/>
  <c r="AA10" i="80"/>
  <c r="F11" i="80"/>
  <c r="AA11" i="80"/>
  <c r="F12" i="80"/>
  <c r="AA12" i="80"/>
  <c r="F13" i="80"/>
  <c r="AA13" i="80"/>
  <c r="F14" i="80"/>
  <c r="AA14" i="80"/>
  <c r="F15" i="80"/>
  <c r="AA15" i="80"/>
  <c r="F17" i="80"/>
  <c r="AA17" i="80"/>
  <c r="F19" i="80"/>
  <c r="AA19" i="80"/>
  <c r="F21" i="80"/>
  <c r="AA21" i="80"/>
  <c r="F23" i="80"/>
  <c r="AA23" i="80"/>
  <c r="F25" i="80"/>
  <c r="AA25" i="80"/>
  <c r="F26" i="80"/>
  <c r="AA26" i="80"/>
  <c r="F27" i="80"/>
  <c r="AA27" i="80"/>
  <c r="F28" i="80"/>
  <c r="AA28" i="80"/>
  <c r="F29" i="80"/>
  <c r="AA29" i="80"/>
  <c r="F30" i="80"/>
  <c r="AA30" i="80"/>
  <c r="F31" i="80"/>
  <c r="AA31" i="80"/>
  <c r="F32" i="80"/>
  <c r="AA32" i="80"/>
  <c r="F33" i="80"/>
  <c r="AA33" i="80"/>
  <c r="F34" i="80"/>
  <c r="AA34" i="80"/>
  <c r="F35" i="80"/>
  <c r="AA35" i="80"/>
  <c r="F36" i="80"/>
  <c r="AA36" i="80"/>
  <c r="F37" i="80"/>
  <c r="AA37" i="80"/>
  <c r="F38" i="80"/>
  <c r="AA38" i="80"/>
  <c r="F39" i="80"/>
  <c r="AA39" i="80"/>
  <c r="F40" i="80"/>
  <c r="AA40" i="80"/>
  <c r="F41" i="80"/>
  <c r="AA41" i="80"/>
  <c r="F42" i="80"/>
  <c r="AA42" i="80"/>
  <c r="F43" i="80"/>
  <c r="AA43" i="80"/>
  <c r="F44" i="80"/>
  <c r="AA44" i="80"/>
  <c r="F45" i="80"/>
  <c r="AA45" i="80"/>
  <c r="F46" i="80"/>
  <c r="AA46" i="80"/>
  <c r="R48" i="80"/>
  <c r="E48" i="80"/>
  <c r="I53" i="80"/>
  <c r="J53" i="80"/>
  <c r="T47" i="80"/>
  <c r="G7" i="80"/>
  <c r="H7" i="80"/>
  <c r="AB7" i="80"/>
  <c r="H8" i="80"/>
  <c r="AB8" i="80"/>
  <c r="H9" i="80"/>
  <c r="AB9" i="80"/>
  <c r="H10" i="80"/>
  <c r="AB10" i="80"/>
  <c r="H11" i="80"/>
  <c r="AB11"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T48" i="80"/>
  <c r="G48" i="80"/>
  <c r="G53" i="80"/>
  <c r="H53" i="80"/>
  <c r="E53" i="80"/>
  <c r="F53" i="80"/>
  <c r="I52" i="80"/>
  <c r="J52" i="80"/>
  <c r="G52" i="80"/>
  <c r="H52" i="80"/>
  <c r="E52" i="80"/>
  <c r="F52" i="80"/>
  <c r="R49" i="80"/>
  <c r="P49" i="80"/>
  <c r="C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3" i="80"/>
  <c r="D2" i="80"/>
  <c r="B2" i="80"/>
  <c r="B3" i="80"/>
  <c r="C33" i="21"/>
  <c r="F33" i="21"/>
  <c r="AA33" i="21"/>
  <c r="D123" i="21"/>
  <c r="E123" i="21"/>
  <c r="F123" i="21"/>
  <c r="F42" i="21"/>
  <c r="AA42" i="21"/>
  <c r="C7" i="21"/>
  <c r="E7" i="21"/>
  <c r="C58" i="21"/>
  <c r="D58" i="21"/>
  <c r="E58" i="21"/>
  <c r="F58" i="21"/>
  <c r="G58" i="21"/>
  <c r="H58" i="21"/>
  <c r="I58" i="21"/>
  <c r="J58" i="21"/>
  <c r="K58" i="21"/>
  <c r="L58" i="21"/>
  <c r="M58" i="21"/>
  <c r="N58" i="21"/>
  <c r="O58" i="21"/>
  <c r="F7" i="21"/>
  <c r="AA7" i="21"/>
  <c r="C11" i="21"/>
  <c r="D69" i="21"/>
  <c r="E69" i="21"/>
  <c r="F69" i="21"/>
  <c r="G69" i="21"/>
  <c r="F11" i="21"/>
  <c r="AA11" i="21"/>
  <c r="B126" i="21"/>
  <c r="F44" i="21"/>
  <c r="AA44" i="21"/>
  <c r="D108" i="21"/>
  <c r="F35" i="21"/>
  <c r="AA35" i="21"/>
  <c r="R4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F37" i="21"/>
  <c r="AA37" i="21"/>
  <c r="F38" i="21"/>
  <c r="AA38" i="21"/>
  <c r="F39" i="21"/>
  <c r="AA39" i="21"/>
  <c r="F40" i="21"/>
  <c r="AA40" i="21"/>
  <c r="F41" i="21"/>
  <c r="AA41" i="21"/>
  <c r="F43" i="21"/>
  <c r="AA43" i="21"/>
  <c r="B128" i="21"/>
  <c r="F45" i="21"/>
  <c r="AA45" i="21"/>
  <c r="B130" i="21"/>
  <c r="F46" i="21"/>
  <c r="AA46" i="21"/>
  <c r="R48" i="21"/>
  <c r="H33" i="21"/>
  <c r="AB33" i="21"/>
  <c r="H29" i="21"/>
  <c r="AB29" i="21"/>
  <c r="H42" i="21"/>
  <c r="AB42" i="21"/>
  <c r="G7" i="21"/>
  <c r="H7" i="21"/>
  <c r="AB7" i="21"/>
  <c r="H11" i="21"/>
  <c r="AB11" i="21"/>
  <c r="H44" i="21"/>
  <c r="AB44" i="21"/>
  <c r="H35" i="21"/>
  <c r="AB35"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30" i="21"/>
  <c r="AB30" i="21"/>
  <c r="H31" i="21"/>
  <c r="AB31" i="21"/>
  <c r="H32" i="21"/>
  <c r="AB32" i="21"/>
  <c r="H34" i="21"/>
  <c r="AB34" i="21"/>
  <c r="H36" i="21"/>
  <c r="AB36" i="21"/>
  <c r="H37" i="21"/>
  <c r="AB37" i="21"/>
  <c r="H38" i="21"/>
  <c r="AB38" i="21"/>
  <c r="H39" i="21"/>
  <c r="AB39" i="21"/>
  <c r="H40" i="21"/>
  <c r="AB40" i="21"/>
  <c r="H41" i="21"/>
  <c r="AB41" i="21"/>
  <c r="H43" i="21"/>
  <c r="AB43" i="21"/>
  <c r="H45" i="21"/>
  <c r="AB45" i="21"/>
  <c r="H46" i="21"/>
  <c r="AB46" i="21"/>
  <c r="T48" i="21"/>
  <c r="J33" i="21"/>
  <c r="AC33" i="21"/>
  <c r="J42" i="21"/>
  <c r="AC42" i="21"/>
  <c r="I7" i="21"/>
  <c r="J7" i="21"/>
  <c r="AC7" i="21"/>
  <c r="J11" i="21"/>
  <c r="AC11" i="21"/>
  <c r="J44" i="21"/>
  <c r="AC44" i="21"/>
  <c r="J35" i="21"/>
  <c r="AC35"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6" i="21"/>
  <c r="AC36" i="21"/>
  <c r="J37" i="21"/>
  <c r="AC37" i="21"/>
  <c r="J38" i="21"/>
  <c r="AC38" i="21"/>
  <c r="J39" i="21"/>
  <c r="AC39" i="21"/>
  <c r="J40" i="21"/>
  <c r="AC40" i="21"/>
  <c r="J41" i="21"/>
  <c r="AC41" i="21"/>
  <c r="J43" i="21"/>
  <c r="AC43" i="21"/>
  <c r="J45" i="21"/>
  <c r="AC45" i="21"/>
  <c r="J46" i="21"/>
  <c r="AC46" i="21"/>
  <c r="V48" i="21"/>
  <c r="R49" i="21"/>
  <c r="C49" i="21"/>
  <c r="F20" i="77"/>
  <c r="E24" i="77"/>
  <c r="E8" i="77"/>
  <c r="D15" i="4"/>
  <c r="F6" i="1"/>
  <c r="G1" i="67"/>
  <c r="F8" i="1"/>
  <c r="L48" i="67"/>
  <c r="J50" i="67"/>
  <c r="J51" i="67"/>
  <c r="M47" i="67"/>
  <c r="J53" i="67"/>
  <c r="G1" i="15"/>
  <c r="L48" i="15"/>
  <c r="J50" i="15"/>
  <c r="J51" i="15"/>
  <c r="M47" i="15"/>
  <c r="J53" i="15"/>
  <c r="Q5" i="71"/>
  <c r="P5" i="71"/>
  <c r="O5" i="71"/>
  <c r="N5" i="71"/>
  <c r="F24" i="12"/>
  <c r="F7" i="69"/>
  <c r="F7" i="68"/>
  <c r="M15" i="45"/>
  <c r="L15" i="45"/>
  <c r="K15" i="45"/>
  <c r="J15" i="45"/>
  <c r="I15" i="45"/>
  <c r="H15" i="45"/>
  <c r="G15" i="45"/>
  <c r="F15" i="45"/>
  <c r="E15" i="45"/>
  <c r="D15" i="45"/>
  <c r="C15" i="45"/>
  <c r="B15" i="45"/>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A8" i="71"/>
  <c r="X8" i="71"/>
  <c r="AB8" i="71"/>
  <c r="AA9" i="71"/>
  <c r="Y8" i="71"/>
  <c r="Z8" i="71"/>
  <c r="M19" i="43"/>
  <c r="D12" i="71"/>
  <c r="M19" i="9"/>
  <c r="C118" i="9"/>
  <c r="C14" i="74"/>
  <c r="M18" i="9"/>
  <c r="B118" i="9"/>
  <c r="B14" i="74"/>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F38" i="69"/>
  <c r="E37" i="69"/>
  <c r="F36" i="69"/>
  <c r="F35" i="69"/>
  <c r="F21" i="69"/>
  <c r="C21" i="69"/>
  <c r="F20" i="69"/>
  <c r="E10" i="69"/>
  <c r="E9" i="69"/>
  <c r="C7" i="69"/>
  <c r="AC21" i="37"/>
  <c r="W21" i="37"/>
  <c r="AC21" i="34"/>
  <c r="W21" i="34"/>
  <c r="W21" i="33"/>
  <c r="U21" i="21"/>
  <c r="G83" i="21"/>
  <c r="C40" i="69"/>
  <c r="F38" i="68"/>
  <c r="E37" i="68"/>
  <c r="F36" i="68"/>
  <c r="F35" i="68"/>
  <c r="F21" i="68"/>
  <c r="C21" i="68"/>
  <c r="F20" i="68"/>
  <c r="E10" i="68"/>
  <c r="E9" i="68"/>
  <c r="W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9"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1" i="1"/>
  <c r="F12" i="1"/>
  <c r="F13" i="1"/>
  <c r="D6" i="1"/>
  <c r="D9"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3" i="1"/>
  <c r="D78" i="9"/>
  <c r="F23" i="15"/>
  <c r="D24" i="15"/>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D124" i="39"/>
  <c r="E124" i="39"/>
  <c r="F124" i="39"/>
  <c r="G124" i="39"/>
  <c r="H124" i="39"/>
  <c r="I124" i="39"/>
  <c r="J124" i="39"/>
  <c r="K124" i="39"/>
  <c r="L124" i="39"/>
  <c r="M124" i="39"/>
  <c r="F120" i="39"/>
  <c r="G120" i="39"/>
  <c r="H120" i="39"/>
  <c r="I120" i="39"/>
  <c r="J120" i="39"/>
  <c r="K120" i="39"/>
  <c r="L120" i="39"/>
  <c r="M120" i="39"/>
  <c r="J37" i="39"/>
  <c r="D109"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E122" i="39"/>
  <c r="F122" i="39"/>
  <c r="G122" i="39"/>
  <c r="H122" i="39"/>
  <c r="I122" i="39"/>
  <c r="J122" i="39"/>
  <c r="K122" i="39"/>
  <c r="L122" i="39"/>
  <c r="M122" i="39"/>
  <c r="H35" i="39"/>
  <c r="AB35" i="39"/>
  <c r="D97" i="39"/>
  <c r="J23" i="39"/>
  <c r="AC23" i="39"/>
  <c r="E95" i="39"/>
  <c r="F95" i="39"/>
  <c r="D93" i="39"/>
  <c r="E93" i="39"/>
  <c r="F93" i="39"/>
  <c r="G93" i="39"/>
  <c r="F91" i="39"/>
  <c r="G91"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23"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E85" i="33"/>
  <c r="E81" i="33"/>
  <c r="E79" i="33"/>
  <c r="E77"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E7" i="12"/>
  <c r="G7" i="12"/>
  <c r="G3" i="4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E10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S11" i="21"/>
  <c r="S40" i="21"/>
  <c r="U34" i="21"/>
  <c r="S34" i="21"/>
  <c r="C25" i="39"/>
  <c r="C27" i="39"/>
  <c r="C21" i="39"/>
  <c r="H11" i="39"/>
  <c r="S40" i="39"/>
  <c r="C15" i="39"/>
  <c r="U11" i="21"/>
  <c r="W11" i="21"/>
  <c r="H37" i="40"/>
  <c r="U37" i="40"/>
  <c r="H36" i="40"/>
  <c r="AB36" i="40"/>
  <c r="F35" i="40"/>
  <c r="AA35" i="40"/>
  <c r="H23" i="40"/>
  <c r="AB23" i="40"/>
  <c r="H17" i="40"/>
  <c r="U17" i="40"/>
  <c r="J15" i="40"/>
  <c r="W15" i="40"/>
  <c r="J11" i="40"/>
  <c r="W11" i="40"/>
  <c r="AB8" i="39"/>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13" i="35"/>
  <c r="U31" i="34"/>
  <c r="U46" i="33"/>
  <c r="J36" i="37"/>
  <c r="AC36" i="37"/>
  <c r="G105" i="37"/>
  <c r="AB11" i="36"/>
  <c r="AB11" i="35"/>
  <c r="J10" i="36"/>
  <c r="AC10" i="36"/>
  <c r="AA14" i="37"/>
  <c r="W31" i="34"/>
  <c r="AC13" i="36"/>
  <c r="W13" i="36"/>
  <c r="S11" i="36"/>
  <c r="W11" i="36"/>
  <c r="W11" i="35"/>
  <c r="AB46" i="34"/>
  <c r="AC30" i="34"/>
  <c r="AA14" i="34"/>
  <c r="S45"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17" i="37"/>
  <c r="U17" i="37"/>
  <c r="AB27" i="37"/>
  <c r="U32"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U12" i="21"/>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J11" i="39"/>
  <c r="W11" i="39"/>
  <c r="A12" i="52"/>
  <c r="B56" i="72"/>
  <c r="S11" i="39"/>
  <c r="G4" i="4"/>
  <c r="I4" i="4"/>
  <c r="K5" i="4"/>
  <c r="B47" i="48"/>
  <c r="A2" i="9"/>
  <c r="F59" i="43"/>
  <c r="H62" i="43"/>
  <c r="BO5" i="3"/>
  <c r="BM5" i="3"/>
  <c r="F29" i="6"/>
  <c r="BP5" i="3"/>
  <c r="BN5" i="3"/>
  <c r="U36" i="40"/>
  <c r="F36" i="43"/>
  <c r="F81" i="43"/>
  <c r="H83" i="43"/>
  <c r="H113" i="43"/>
  <c r="F48" i="43"/>
  <c r="H52"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S39" i="39"/>
  <c r="J39" i="39"/>
  <c r="AC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AQ10" i="1"/>
  <c r="B10" i="1"/>
  <c r="E10" i="1"/>
  <c r="D1" i="66"/>
  <c r="E10" i="66"/>
  <c r="S13" i="1"/>
  <c r="AR13" i="1"/>
  <c r="R13" i="1"/>
  <c r="S11" i="1"/>
  <c r="AQ11" i="1"/>
  <c r="R11" i="1"/>
  <c r="AR9" i="1"/>
  <c r="F31"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S39" i="21"/>
  <c r="W15" i="21"/>
  <c r="F77" i="21"/>
  <c r="G77" i="21"/>
  <c r="S23" i="21"/>
  <c r="E85"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AB11"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F1" i="15"/>
  <c r="Q52" i="15"/>
  <c r="S20" i="6"/>
  <c r="I19" i="6"/>
  <c r="M27" i="6"/>
  <c r="M16" i="1"/>
  <c r="F1" i="67"/>
  <c r="Q52" i="67"/>
  <c r="AC11" i="37"/>
  <c r="W11" i="37"/>
  <c r="W11" i="34"/>
  <c r="AC11" i="34"/>
  <c r="H20" i="6"/>
  <c r="B2" i="74"/>
  <c r="E6" i="3"/>
  <c r="D10" i="11"/>
  <c r="C10" i="11"/>
  <c r="D19" i="6"/>
  <c r="D25" i="6"/>
  <c r="D26" i="6"/>
  <c r="D15" i="6"/>
  <c r="C18" i="4"/>
  <c r="D8" i="6"/>
  <c r="D21" i="6"/>
  <c r="D23" i="6"/>
  <c r="D24" i="6"/>
  <c r="D14" i="6"/>
  <c r="D20" i="6"/>
  <c r="R20" i="6"/>
  <c r="R7" i="1"/>
  <c r="D5" i="6"/>
  <c r="D6" i="6"/>
  <c r="D12" i="6"/>
  <c r="D9" i="6"/>
  <c r="D11" i="6"/>
  <c r="D10" i="6"/>
  <c r="D13" i="6"/>
  <c r="L19" i="9"/>
  <c r="D28" i="6"/>
  <c r="D29" i="6"/>
  <c r="E61" i="40"/>
  <c r="H25" i="6"/>
  <c r="R25" i="6"/>
  <c r="H23" i="6"/>
  <c r="H21" i="6"/>
  <c r="H26" i="6"/>
  <c r="H24" i="6"/>
  <c r="H19" i="6"/>
  <c r="S19" i="6"/>
  <c r="S27" i="6"/>
  <c r="I27" i="6"/>
  <c r="F50" i="11"/>
  <c r="F50" i="69"/>
  <c r="F50" i="68"/>
  <c r="L16" i="1"/>
  <c r="R26" i="6"/>
  <c r="R23" i="6"/>
  <c r="R24" i="6"/>
  <c r="R21" i="6"/>
  <c r="R8" i="1"/>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C19" i="68"/>
  <c r="C48" i="68"/>
  <c r="C24" i="12"/>
  <c r="H110" i="9"/>
  <c r="D18" i="53"/>
  <c r="B35" i="72"/>
  <c r="D124" i="9"/>
  <c r="D16" i="53"/>
  <c r="B34" i="72"/>
  <c r="D10" i="52"/>
  <c r="H14" i="74"/>
  <c r="D17" i="53"/>
  <c r="B36" i="72"/>
  <c r="D125" i="9"/>
  <c r="D11" i="52"/>
  <c r="B7" i="74"/>
  <c r="D7" i="74"/>
  <c r="C7" i="74"/>
  <c r="W7" i="33"/>
  <c r="S7"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D34" i="9"/>
  <c r="M8" i="67"/>
  <c r="M23" i="67"/>
  <c r="F8" i="15"/>
  <c r="D2" i="37"/>
  <c r="E9" i="76"/>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B7" i="49"/>
  <c r="E7" i="49"/>
  <c r="B15" i="49"/>
  <c r="AB3" i="71"/>
  <c r="X3" i="71"/>
  <c r="C8" i="71"/>
  <c r="E8" i="71"/>
  <c r="E7" i="71"/>
  <c r="E10" i="49"/>
  <c r="B6" i="49"/>
  <c r="E14" i="49"/>
  <c r="D19" i="69"/>
  <c r="C19" i="69"/>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C27" i="15"/>
  <c r="F51" i="15"/>
  <c r="F64" i="15"/>
  <c r="I54" i="67"/>
  <c r="J57" i="67"/>
  <c r="J55" i="67"/>
  <c r="J58" i="67"/>
  <c r="Q50" i="67"/>
  <c r="L56" i="67"/>
  <c r="C27" i="67"/>
  <c r="B12" i="70"/>
  <c r="B9" i="70"/>
  <c r="D7" i="73"/>
  <c r="C17" i="67"/>
  <c r="D5" i="73"/>
  <c r="D3"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H59" i="34"/>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C7" i="71"/>
  <c r="D8"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R50" i="34"/>
  <c r="E49" i="34"/>
  <c r="U7" i="34"/>
  <c r="AB7" i="34"/>
  <c r="T49" i="34"/>
  <c r="G49" i="34"/>
  <c r="E52" i="21"/>
  <c r="F52" i="21"/>
  <c r="E53" i="21"/>
  <c r="F53" i="21"/>
  <c r="I53" i="34"/>
  <c r="J53" i="34"/>
  <c r="I54" i="34"/>
  <c r="J54" i="34"/>
  <c r="C48"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C13" i="67"/>
  <c r="C37" i="67"/>
  <c r="C30" i="67"/>
  <c r="C39" i="67"/>
  <c r="L51" i="67"/>
  <c r="L57" i="67"/>
  <c r="L60" i="67"/>
  <c r="L46" i="67"/>
  <c r="Q49" i="67"/>
  <c r="Q49" i="15"/>
  <c r="C33" i="15"/>
  <c r="C31" i="15"/>
  <c r="C22" i="11"/>
  <c r="C57" i="15"/>
  <c r="C64" i="15"/>
  <c r="C13" i="15"/>
  <c r="Q70" i="15"/>
  <c r="J59" i="15"/>
  <c r="J60" i="15"/>
  <c r="C36" i="15"/>
  <c r="C37" i="15"/>
  <c r="C30" i="15"/>
  <c r="C39" i="15"/>
  <c r="L51" i="15"/>
  <c r="L57" i="15"/>
  <c r="L60" i="15"/>
  <c r="L46"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Q69" i="67"/>
  <c r="C61" i="15"/>
  <c r="C59" i="15"/>
  <c r="Q48" i="15"/>
  <c r="Q70" i="67"/>
  <c r="J13" i="15"/>
  <c r="J23" i="15"/>
  <c r="J16" i="15"/>
  <c r="J25" i="15"/>
  <c r="C75" i="67"/>
  <c r="C56" i="67"/>
  <c r="C65" i="67"/>
  <c r="C58" i="67"/>
  <c r="C67" i="67"/>
  <c r="C68" i="67"/>
  <c r="C75" i="15"/>
  <c r="C56" i="15"/>
  <c r="C65" i="15"/>
  <c r="I65" i="40"/>
  <c r="J63" i="40"/>
  <c r="E2" i="76"/>
  <c r="B2" i="76"/>
  <c r="B3" i="43"/>
  <c r="J16" i="67"/>
  <c r="J25" i="67"/>
  <c r="C40" i="67"/>
  <c r="C80" i="67"/>
  <c r="C79" i="67"/>
  <c r="C58" i="15"/>
  <c r="C67" i="15"/>
  <c r="C68" i="15"/>
  <c r="C71" i="15"/>
  <c r="Q68" i="67"/>
  <c r="Q69" i="15"/>
  <c r="Q68" i="15"/>
  <c r="C80" i="15"/>
  <c r="C79" i="15"/>
  <c r="C40" i="15"/>
  <c r="B2" i="15"/>
  <c r="B3" i="15"/>
  <c r="K63" i="40"/>
  <c r="J65" i="40"/>
  <c r="B3" i="76"/>
  <c r="Q67" i="67"/>
  <c r="Q67"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J7" i="39"/>
  <c r="H7" i="39"/>
  <c r="E42" i="40"/>
  <c r="I47" i="40"/>
  <c r="J47" i="40"/>
  <c r="R43" i="40"/>
  <c r="I46" i="40"/>
  <c r="J46" i="40"/>
  <c r="U7" i="40"/>
  <c r="AB7" i="40"/>
  <c r="T42" i="40"/>
  <c r="G42" i="40"/>
  <c r="AB7" i="39"/>
  <c r="U7" i="39"/>
  <c r="AC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C8" i="68"/>
  <c r="Q16" i="1"/>
  <c r="F27" i="69"/>
  <c r="C28" i="69"/>
  <c r="C27" i="69"/>
  <c r="C29" i="69"/>
  <c r="D27" i="69"/>
  <c r="C31" i="69"/>
  <c r="C46" i="69"/>
  <c r="C45" i="69"/>
  <c r="C47" i="69"/>
  <c r="D45" i="69"/>
  <c r="C49" i="69"/>
  <c r="C51" i="69"/>
  <c r="C52" i="69"/>
  <c r="B2" i="69"/>
  <c r="B3" i="69"/>
  <c r="F27" i="11"/>
  <c r="C28" i="11"/>
  <c r="C27" i="11"/>
  <c r="C29" i="11"/>
  <c r="D27" i="11"/>
  <c r="C31" i="11"/>
  <c r="N16" i="1"/>
  <c r="F34" i="11"/>
  <c r="C34" i="11"/>
  <c r="C35" i="11"/>
  <c r="C36" i="11"/>
  <c r="C37" i="11"/>
  <c r="C38" i="11"/>
  <c r="C33" i="11"/>
  <c r="C39" i="11"/>
  <c r="C42" i="11"/>
  <c r="C43" i="11"/>
  <c r="C41" i="11"/>
  <c r="C46" i="11"/>
  <c r="C45" i="11"/>
  <c r="C47" i="11"/>
  <c r="D45" i="11"/>
  <c r="C49" i="11"/>
  <c r="C51" i="11"/>
  <c r="C52" i="11"/>
  <c r="B2" i="11"/>
  <c r="B3" i="11"/>
  <c r="C57" i="69"/>
  <c r="C56" i="69"/>
  <c r="C56" i="11"/>
  <c r="C57" i="11"/>
  <c r="F27" i="68"/>
  <c r="C29" i="68"/>
  <c r="D27" i="68"/>
  <c r="F34" i="68"/>
  <c r="C34" i="68"/>
  <c r="C35" i="68"/>
  <c r="C36" i="68"/>
  <c r="C37" i="68"/>
  <c r="C38" i="68"/>
  <c r="C33" i="68"/>
  <c r="C39" i="68"/>
  <c r="C42" i="68"/>
  <c r="C43" i="68"/>
  <c r="C41" i="68"/>
  <c r="C46" i="68"/>
  <c r="C45" i="68"/>
  <c r="C47" i="68"/>
  <c r="D45" i="68"/>
  <c r="C49" i="68"/>
  <c r="C51" i="68"/>
  <c r="F11" i="12"/>
  <c r="C14" i="12"/>
  <c r="C16" i="12"/>
  <c r="C21" i="12"/>
  <c r="C22" i="12"/>
  <c r="C23" i="12"/>
  <c r="C27" i="12"/>
  <c r="C25" i="12"/>
  <c r="F28" i="12"/>
  <c r="C30" i="12"/>
  <c r="C28" i="12"/>
  <c r="C29" i="12"/>
  <c r="D28" i="12"/>
  <c r="C32" i="12"/>
  <c r="B2" i="12"/>
  <c r="D19" i="9"/>
  <c r="B3" i="12"/>
  <c r="D20" i="9"/>
  <c r="D103" i="9"/>
  <c r="D21" i="9"/>
  <c r="D102" i="9"/>
  <c r="C6" i="68"/>
  <c r="C7" i="68"/>
  <c r="C5" i="68"/>
  <c r="C20" i="68"/>
  <c r="C23" i="68"/>
  <c r="C25" i="68"/>
  <c r="C22" i="68"/>
  <c r="C28" i="68"/>
  <c r="C27" i="68"/>
  <c r="C31" i="68"/>
  <c r="C52" i="68"/>
  <c r="B2" i="68"/>
  <c r="C19" i="9"/>
  <c r="G19" i="9"/>
  <c r="C32" i="9"/>
  <c r="H118" i="9"/>
  <c r="D14" i="74"/>
  <c r="D15" i="74"/>
  <c r="B5" i="74"/>
  <c r="D5" i="74"/>
  <c r="C5" i="74"/>
  <c r="H101" i="9"/>
  <c r="H107" i="9"/>
  <c r="D122" i="9"/>
  <c r="G14" i="74"/>
  <c r="B6" i="74"/>
  <c r="C6" i="74"/>
  <c r="D6" i="74"/>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8" i="52"/>
  <c r="D123" i="9"/>
  <c r="D9" i="52"/>
  <c r="D13" i="53"/>
  <c r="B30" i="72"/>
  <c r="D14" i="53"/>
  <c r="B32" i="72"/>
  <c r="C57" i="68"/>
  <c r="C56" i="68"/>
  <c r="D53" i="9"/>
  <c r="D52" i="9"/>
  <c r="C64" i="9"/>
  <c r="C63" i="9"/>
  <c r="C67" i="9"/>
  <c r="C68" i="9"/>
  <c r="D54" i="9"/>
  <c r="H108" i="9"/>
  <c r="D15" i="53"/>
  <c r="B31" i="72"/>
  <c r="D5" i="53"/>
  <c r="D6" i="53"/>
  <c r="B22" i="72"/>
  <c r="B20" i="72"/>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C102" i="9"/>
  <c r="D22" i="9"/>
  <c r="C21" i="9"/>
  <c r="B3" i="68"/>
  <c r="C20" i="9"/>
  <c r="C103" i="9"/>
  <c r="G20" i="9"/>
  <c r="L63" i="9"/>
  <c r="M63" i="9"/>
  <c r="L64" i="9"/>
  <c r="M64" i="9"/>
  <c r="L65" i="9"/>
  <c r="M65" i="9"/>
  <c r="L66" i="9"/>
  <c r="M66" i="9"/>
  <c r="L67" i="9"/>
  <c r="M67" i="9"/>
  <c r="L68" i="9"/>
  <c r="M68" i="9"/>
  <c r="M69" i="9"/>
  <c r="N69" i="9"/>
  <c r="E15" i="74"/>
  <c r="F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<sst xmlns="http://schemas.openxmlformats.org/spreadsheetml/2006/main" count="8524" uniqueCount="3324">
  <si>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</si>
  <si>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</si>
  <si>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</si>
  <si>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</si>
  <si>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</si>
  <si>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</si>
  <si>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</si>
  <si>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</si>
  <si>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</si>
  <si>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</si>
  <si>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</si>
  <si>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</si>
  <si>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</si>
  <si>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</si>
  <si>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</si>
  <si>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</si>
  <si>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</si>
  <si>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</si>
  <si>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</si>
  <si>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</si>
  <si>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</si>
  <si>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</si>
  <si>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</si>
  <si>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</si>
  <si>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</si>
  <si>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</si>
  <si>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</si>
  <si>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</si>
  <si>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</si>
  <si>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</si>
  <si>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</si>
  <si>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</si>
  <si>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</si>
  <si>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</si>
  <si>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</si>
  <si>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</si>
  <si>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</si>
  <si>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</si>
  <si>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</si>
  <si>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</si>
  <si>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</si>
  <si>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</si>
  <si>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</si>
  <si>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</si>
  <si>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</si>
  <si>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</si>
  <si>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</si>
  <si>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</si>
  <si>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</si>
  <si>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</si>
  <si>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</si>
  <si>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</si>
  <si>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</si>
  <si>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</si>
  <si>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</si>
  <si>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</si>
  <si>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</si>
  <si>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</si>
  <si>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</si>
  <si>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</si>
  <si>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</si>
  <si>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</si>
  <si>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</si>
  <si>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</si>
  <si>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</si>
  <si>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</si>
  <si>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</si>
  <si>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</si>
  <si>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</si>
  <si>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</si>
  <si>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</si>
  <si>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</si>
  <si>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</si>
  <si>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</si>
  <si>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</si>
  <si>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</si>
  <si>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</si>
  <si>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</si>
  <si>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</si>
  <si>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</si>
  <si>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</si>
  <si>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</si>
  <si>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</si>
  <si>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</si>
  <si>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</si>
  <si>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</si>
  <si>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</si>
  <si>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</si>
  <si>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</si>
  <si>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</si>
  <si>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</si>
  <si>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</si>
  <si>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</si>
  <si>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</si>
  <si>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</si>
  <si>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</si>
  <si>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</si>
  <si>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</si>
  <si>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</si>
  <si>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</si>
  <si>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</si>
  <si>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</si>
  <si>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</si>
  <si>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</si>
  <si>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</si>
  <si>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</si>
  <si>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</si>
  <si>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</si>
  <si>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</si>
  <si>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</si>
  <si>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</si>
  <si>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</si>
  <si>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</si>
  <si>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</si>
  <si>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</si>
  <si>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</si>
  <si>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</si>
  <si>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</si>
  <si>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</si>
  <si>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</si>
  <si>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</si>
  <si>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</si>
  <si>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</si>
  <si>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</si>
  <si>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</si>
  <si>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</si>
  <si>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</si>
  <si>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</si>
  <si>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</si>
  <si>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</si>
  <si>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</si>
  <si>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</si>
  <si>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</si>
  <si>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</si>
  <si>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</si>
  <si>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</si>
  <si>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</si>
  <si>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</si>
  <si>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</si>
  <si>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</si>
  <si>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</si>
  <si>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</si>
  <si>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</si>
  <si>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</si>
  <si>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</si>
  <si>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</si>
  <si>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</si>
  <si>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</si>
  <si>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</si>
  <si>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</si>
  <si>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</si>
  <si>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</si>
  <si>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</si>
  <si>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</si>
  <si>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</si>
  <si>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</si>
  <si>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</si>
  <si>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</si>
  <si>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</si>
  <si>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</si>
  <si>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</si>
  <si>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</si>
  <si>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</si>
  <si>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</si>
  <si>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</si>
  <si>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</si>
  <si>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</si>
  <si>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</si>
  <si>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</si>
  <si>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</si>
  <si>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</si>
  <si>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</si>
  <si>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</si>
  <si>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</si>
  <si>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</si>
  <si>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</si>
  <si>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</si>
  <si>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</si>
  <si>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</si>
  <si>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</si>
  <si>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</si>
  <si>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</si>
  <si>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</si>
  <si>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</si>
  <si>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</si>
  <si>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</si>
  <si>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</si>
  <si>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</si>
  <si>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</si>
  <si>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</si>
  <si>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</si>
  <si>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</si>
  <si>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</si>
  <si>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</si>
  <si>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</si>
  <si>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</si>
  <si>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</si>
  <si>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</si>
  <si>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</si>
  <si>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</si>
  <si>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</si>
  <si>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</si>
  <si>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</si>
  <si>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</si>
  <si>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</si>
  <si>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</si>
  <si>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</si>
  <si>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</si>
  <si>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</si>
  <si>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</si>
  <si>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</si>
  <si>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</si>
  <si>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</si>
  <si>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</si>
  <si>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</si>
  <si>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</si>
  <si>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</si>
  <si>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</si>
  <si>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</si>
  <si>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</si>
  <si>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</si>
  <si>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</si>
  <si>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</si>
  <si>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</si>
  <si>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</si>
  <si>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</si>
  <si>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</si>
  <si>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</si>
  <si>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</si>
  <si>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</si>
  <si>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</si>
  <si>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</si>
  <si>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</si>
  <si>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</si>
  <si>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</si>
  <si>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</si>
  <si>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</si>
  <si>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</si>
  <si>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</si>
  <si>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</si>
  <si>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</si>
  <si>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</si>
  <si>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</si>
  <si>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</si>
  <si>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</si>
  <si>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</si>
  <si>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</si>
  <si>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</si>
  <si>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</si>
  <si>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</si>
  <si>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</si>
  <si>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</si>
  <si>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</si>
  <si>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</si>
  <si>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</si>
  <si>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</si>
  <si>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</si>
  <si>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</si>
  <si>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</si>
  <si>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</si>
  <si>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</si>
  <si>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</si>
  <si>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</si>
  <si>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</si>
  <si>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</si>
  <si>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</si>
  <si>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</si>
  <si>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</si>
  <si>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</si>
  <si>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</si>
  <si>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</si>
  <si>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</si>
  <si>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</si>
  <si>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</si>
  <si>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</si>
  <si>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</si>
  <si>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</si>
  <si>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</si>
  <si>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</si>
  <si>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</si>
  <si>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</si>
  <si>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</si>
  <si>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</si>
  <si>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</si>
  <si>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</si>
  <si>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</si>
  <si>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</si>
  <si>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</si>
  <si>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</si>
  <si>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</si>
  <si>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</si>
  <si>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</si>
  <si>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</si>
  <si>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</si>
  <si>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</si>
  <si>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</si>
  <si>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</si>
  <si>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</si>
  <si>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</si>
  <si>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</si>
  <si>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</si>
  <si>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</si>
  <si>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</si>
  <si>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</si>
  <si>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</si>
  <si>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</si>
  <si>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</si>
  <si>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</si>
  <si>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</si>
  <si>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</si>
  <si>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</si>
  <si>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</si>
  <si>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</si>
  <si>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</si>
  <si>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</si>
  <si>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</si>
  <si>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</si>
  <si>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</si>
  <si>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</si>
  <si>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</si>
  <si>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</si>
  <si>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</si>
  <si>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</si>
  <si>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</si>
  <si>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</si>
  <si>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</si>
  <si>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</si>
  <si>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</si>
  <si>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</si>
  <si>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</si>
  <si>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</si>
  <si>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</si>
  <si>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</si>
  <si>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</si>
  <si>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</si>
  <si>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</si>
  <si>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</si>
  <si>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</si>
  <si>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</si>
  <si>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</si>
  <si>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</si>
  <si>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</si>
  <si>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</si>
  <si>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</si>
  <si>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</si>
  <si>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</si>
  <si>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</si>
  <si>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</si>
  <si>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</si>
  <si>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</si>
  <si>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</si>
  <si>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</si>
  <si>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</si>
  <si>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</si>
  <si>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</si>
  <si>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</si>
  <si>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</si>
  <si>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</si>
  <si>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</si>
  <si>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</si>
  <si>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</si>
  <si>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</si>
  <si>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</si>
  <si>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</si>
  <si>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</si>
  <si>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</si>
  <si>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</si>
  <si>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</si>
  <si>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</si>
  <si>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</si>
  <si>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</si>
  <si>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</si>
  <si>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</si>
  <si>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</si>
  <si>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</si>
  <si>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</si>
  <si>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</si>
  <si>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</si>
  <si>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</si>
  <si>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</si>
  <si>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</si>
  <si>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</si>
  <si>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</si>
  <si>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</si>
  <si>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</si>
  <si>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</si>
  <si>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</si>
  <si>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</si>
  <si>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</si>
  <si>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</si>
  <si>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</si>
  <si>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</si>
  <si>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</si>
  <si>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</si>
  <si>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</si>
  <si>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</si>
  <si>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</si>
  <si>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</si>
  <si>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</si>
  <si>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</si>
  <si>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</si>
  <si>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</si>
  <si>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</si>
  <si>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</si>
  <si>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</si>
  <si>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</si>
  <si>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</si>
  <si>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</si>
  <si>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</si>
  <si>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</si>
  <si>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</si>
  <si>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</si>
  <si>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</si>
  <si>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</si>
  <si>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</si>
  <si>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</si>
  <si>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</si>
  <si>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</si>
  <si>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</si>
  <si>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</si>
  <si>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</si>
  <si>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</si>
  <si>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</si>
  <si>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</si>
  <si>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</si>
  <si>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</si>
  <si>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</si>
  <si>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</si>
  <si>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</si>
  <si>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</si>
  <si>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</si>
  <si>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</si>
  <si>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</si>
  <si>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</si>
  <si>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</si>
  <si>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</si>
  <si>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</si>
  <si>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</si>
  <si>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</si>
  <si>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</si>
  <si>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</si>
  <si>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</si>
  <si>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</si>
  <si>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</si>
  <si>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</si>
  <si>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</si>
  <si>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</si>
  <si>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</si>
  <si>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</si>
  <si>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</si>
  <si>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</si>
  <si>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</si>
  <si>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</si>
  <si>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</si>
  <si>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</si>
  <si>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</si>
  <si>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</si>
  <si>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</si>
  <si>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</si>
  <si>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</si>
  <si>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</si>
  <si>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</si>
  <si>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</si>
  <si>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</si>
  <si>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</si>
  <si>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</si>
  <si>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</si>
  <si>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</si>
  <si>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</si>
  <si>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</si>
  <si>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</si>
  <si>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</si>
  <si>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</si>
  <si>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</si>
  <si>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</si>
  <si>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</si>
  <si>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</si>
  <si>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</si>
  <si>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</si>
  <si>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</si>
  <si>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</si>
  <si>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</si>
  <si>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</si>
  <si>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</si>
  <si>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</si>
  <si>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</si>
  <si>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</si>
  <si>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</si>
  <si>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</si>
  <si>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</si>
  <si>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</si>
  <si>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</si>
  <si>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</si>
  <si>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</si>
  <si>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</si>
  <si>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</si>
  <si>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</si>
  <si>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</si>
  <si>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</si>
  <si>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</si>
  <si>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</si>
  <si>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</si>
  <si>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</si>
  <si>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</si>
  <si>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</si>
  <si>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</si>
  <si>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</si>
  <si>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</si>
  <si>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</si>
  <si>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</si>
  <si>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</si>
  <si>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</si>
  <si>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</si>
  <si>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</si>
  <si>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</si>
  <si>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</si>
  <si>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</si>
  <si>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</si>
  <si>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</si>
  <si>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</si>
  <si>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</si>
  <si>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</si>
  <si>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</si>
  <si>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</si>
  <si>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</si>
  <si>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</si>
  <si>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</si>
  <si>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</si>
  <si>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</si>
  <si>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</si>
  <si>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</si>
  <si>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</si>
  <si>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</si>
  <si>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</si>
  <si>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</si>
  <si>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</si>
  <si>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</si>
  <si>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</si>
  <si>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</si>
  <si>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</si>
  <si>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</si>
  <si>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</si>
  <si>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</si>
  <si>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</si>
  <si>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</si>
  <si>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</si>
  <si>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</si>
  <si>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</si>
  <si>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</si>
  <si>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</si>
  <si>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</si>
  <si>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</si>
  <si>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</si>
  <si>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</si>
  <si>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</si>
  <si>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</si>
  <si>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</si>
  <si>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</si>
  <si>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</si>
  <si>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</si>
  <si>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</si>
  <si>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</si>
  <si>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</si>
  <si>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</si>
  <si>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</si>
  <si>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</si>
  <si>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</si>
  <si>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</si>
  <si>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</si>
  <si>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</si>
  <si>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</si>
  <si>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</si>
  <si>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</si>
  <si>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</si>
  <si>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</si>
  <si>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</si>
  <si>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</si>
  <si>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</si>
  <si>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</si>
  <si>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</si>
  <si>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</si>
  <si>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</si>
  <si>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</si>
  <si>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</si>
  <si>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</si>
  <si>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</si>
  <si>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</si>
  <si>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</si>
  <si>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</si>
  <si>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</si>
  <si>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</si>
  <si>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</si>
  <si>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</si>
  <si>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</si>
  <si>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</si>
  <si>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</si>
  <si>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</si>
  <si>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</si>
  <si>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</si>
  <si>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</si>
  <si>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</si>
  <si>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</si>
  <si>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</si>
  <si>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</si>
  <si>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</si>
  <si>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</si>
  <si>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</si>
  <si>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</si>
  <si>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</si>
  <si>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</si>
  <si>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</si>
  <si>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</si>
  <si>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</si>
  <si>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</si>
  <si>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</si>
  <si>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</si>
  <si>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</si>
  <si>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</si>
  <si>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</si>
  <si>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</si>
  <si>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</si>
  <si>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</si>
  <si>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</si>
  <si>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</si>
  <si>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</si>
  <si>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</si>
  <si>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</si>
  <si>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</si>
  <si>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</si>
  <si>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</si>
  <si>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</si>
  <si>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</si>
  <si>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</si>
  <si>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</si>
  <si>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</si>
  <si>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</si>
  <si>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</si>
  <si>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</si>
  <si>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</si>
  <si>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</si>
  <si>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</si>
  <si>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</si>
  <si>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</si>
  <si>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</si>
  <si>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</si>
  <si>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</si>
  <si>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</si>
  <si>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</si>
  <si>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</si>
  <si>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</si>
  <si>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</si>
  <si>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</si>
  <si>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</si>
  <si>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</si>
  <si>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</si>
  <si>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</si>
  <si>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</si>
  <si>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</si>
  <si>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</si>
  <si>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</si>
  <si>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</si>
  <si>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</si>
  <si>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</si>
  <si>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</si>
  <si>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</si>
  <si>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</si>
  <si>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</si>
  <si>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</si>
  <si>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</si>
  <si>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</si>
  <si>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</si>
  <si>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</si>
  <si>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</si>
  <si>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</si>
  <si>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</si>
  <si>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</si>
  <si>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</si>
  <si>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</si>
  <si>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</si>
  <si>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</si>
  <si>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</si>
  <si>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</si>
  <si>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</si>
  <si>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</si>
  <si>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</si>
  <si>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</si>
  <si>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</si>
  <si>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</si>
  <si>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</si>
  <si>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</si>
  <si>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</si>
  <si>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</si>
  <si>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</si>
  <si>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</si>
  <si>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</si>
  <si>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</si>
  <si>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</si>
  <si>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</si>
  <si>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</si>
  <si>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</si>
  <si>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</si>
  <si>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</si>
  <si>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</si>
  <si>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</si>
  <si>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</si>
  <si>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</si>
  <si>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</si>
  <si>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</si>
  <si>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</si>
  <si>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</si>
  <si>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</si>
  <si>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</si>
  <si>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</si>
  <si>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</si>
  <si>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</si>
  <si>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</si>
  <si>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</si>
  <si>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</si>
  <si>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</si>
  <si>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</si>
  <si>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</si>
  <si>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</si>
  <si>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</si>
  <si>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</si>
  <si>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</si>
  <si>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</si>
  <si>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</si>
  <si>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</si>
  <si>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</si>
  <si>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</si>
  <si>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</si>
  <si>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</si>
  <si>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</si>
  <si>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</si>
  <si>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</si>
  <si>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</si>
  <si>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</si>
  <si>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</si>
  <si>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</si>
  <si>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</si>
  <si>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</si>
  <si>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</si>
  <si>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</si>
  <si>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</si>
  <si>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</si>
  <si>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</si>
  <si>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</si>
  <si>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</si>
  <si>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</si>
  <si>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</si>
  <si>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</si>
  <si>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</si>
  <si>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</si>
  <si>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</si>
  <si>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</si>
  <si>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</si>
  <si>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</si>
  <si>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</si>
  <si>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</si>
  <si>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</si>
  <si>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</si>
  <si>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</si>
  <si>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</si>
  <si>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</si>
  <si>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</si>
  <si>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</si>
  <si>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</si>
  <si>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</si>
  <si>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</si>
  <si>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</si>
  <si>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</si>
  <si>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</si>
  <si>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</si>
  <si>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</si>
  <si>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</si>
  <si>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</si>
  <si>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</si>
  <si>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</si>
  <si>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</si>
  <si>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</si>
  <si>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</si>
  <si>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</si>
  <si>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</si>
  <si>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</si>
  <si>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</si>
  <si>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</si>
  <si>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</si>
  <si>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</si>
  <si>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</si>
  <si>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</si>
  <si>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</si>
  <si>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</si>
  <si>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</si>
  <si>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</si>
  <si>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</si>
  <si>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</si>
  <si>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</si>
  <si>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</si>
  <si>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</si>
  <si>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</si>
  <si>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</si>
  <si>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</si>
  <si>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</si>
  <si>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</si>
  <si>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</si>
  <si>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</si>
  <si>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</si>
  <si>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</si>
  <si>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</si>
  <si>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</si>
  <si>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</si>
  <si>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</si>
  <si>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</si>
  <si>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</si>
  <si>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</si>
  <si>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</si>
  <si>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</si>
  <si>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</si>
  <si>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</si>
  <si>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</si>
  <si>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</si>
  <si>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</si>
  <si>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</si>
  <si>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</si>
  <si>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</si>
  <si>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</si>
  <si>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</si>
  <si>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</si>
  <si>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</si>
  <si>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</si>
  <si>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</si>
  <si>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</si>
  <si>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</si>
  <si>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</si>
  <si>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</si>
  <si>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</si>
  <si>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</si>
  <si>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</si>
  <si>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</si>
  <si>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</si>
  <si>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</si>
  <si>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</si>
  <si>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</si>
  <si>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</si>
  <si>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</si>
  <si>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</si>
  <si>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</si>
  <si>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</si>
  <si>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</si>
  <si>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</si>
  <si>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</si>
  <si>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</si>
  <si>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</si>
  <si>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</si>
  <si>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</si>
  <si>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</si>
  <si>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</si>
  <si>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</si>
  <si>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</si>
  <si>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</si>
  <si>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</si>
  <si>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</si>
  <si>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</si>
  <si>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</si>
  <si>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</si>
  <si>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</si>
  <si>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</si>
  <si>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</si>
  <si>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</si>
  <si>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</si>
  <si>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</si>
  <si>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</si>
  <si>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</si>
  <si>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</si>
  <si>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</si>
  <si>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</si>
  <si>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</si>
  <si>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</si>
  <si>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</si>
  <si>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</si>
  <si>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</si>
  <si>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</si>
  <si>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</si>
  <si>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</si>
  <si>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</si>
  <si>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</si>
  <si>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</si>
  <si>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</si>
  <si>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</si>
  <si>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</si>
  <si>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</si>
  <si>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</si>
  <si>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</si>
  <si>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</si>
  <si>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</si>
  <si>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</si>
  <si>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</si>
  <si>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</si>
  <si>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</si>
  <si>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</si>
  <si>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</si>
  <si>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</si>
  <si>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</si>
  <si>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</si>
  <si>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</si>
  <si>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</si>
  <si>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</si>
  <si>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</si>
  <si>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</si>
  <si>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</si>
  <si>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</si>
  <si>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</si>
  <si>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</si>
  <si>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</si>
  <si>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</si>
  <si>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</si>
  <si>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</si>
  <si>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</si>
  <si>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</si>
  <si>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</si>
  <si>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</si>
  <si>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</si>
  <si>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</si>
  <si>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</si>
  <si>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</si>
  <si>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</si>
  <si>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</si>
  <si>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</si>
  <si>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</si>
  <si>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</si>
  <si>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</si>
  <si>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</si>
  <si>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</si>
  <si>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</si>
  <si>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</si>
  <si>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</si>
  <si>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</si>
  <si>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</si>
  <si>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</si>
  <si>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</si>
  <si>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</si>
  <si>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</si>
  <si>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</si>
  <si>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</si>
  <si>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</si>
  <si>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</si>
  <si>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</si>
  <si>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</si>
  <si>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</si>
  <si>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</si>
  <si>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</si>
  <si>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</si>
  <si>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</si>
  <si>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</si>
  <si>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</si>
  <si>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</si>
  <si>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</si>
  <si>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</si>
  <si>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</si>
  <si>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</si>
  <si>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</si>
  <si>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</si>
  <si>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</si>
  <si>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</si>
  <si>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</si>
  <si>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</si>
  <si>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</si>
  <si>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</si>
  <si>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</si>
  <si>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</si>
  <si>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</si>
  <si>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</si>
  <si>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</si>
  <si>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</si>
  <si>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</si>
  <si>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</si>
  <si>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</si>
  <si>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</si>
  <si>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</si>
  <si>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</si>
  <si>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</si>
  <si>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</si>
  <si>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</si>
  <si>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</si>
  <si>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</si>
  <si>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</si>
  <si>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</si>
  <si>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</si>
  <si>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</si>
  <si>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</si>
  <si>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</si>
  <si>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</si>
  <si>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</si>
  <si>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</si>
  <si>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</si>
  <si>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</si>
  <si>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</si>
  <si>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</si>
  <si>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</si>
  <si>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</si>
  <si>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</si>
  <si>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</si>
  <si>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</si>
  <si>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</si>
  <si>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</si>
  <si>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</si>
  <si>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</si>
  <si>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</si>
  <si>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</si>
  <si>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</si>
  <si>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</si>
  <si>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</si>
  <si>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</si>
  <si>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</si>
  <si>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</si>
  <si>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</si>
  <si>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</si>
  <si>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</si>
  <si>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</si>
  <si>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</si>
  <si>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</si>
  <si>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</si>
  <si>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</si>
  <si>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</si>
  <si>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</si>
  <si>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</si>
  <si>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</si>
  <si>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</si>
  <si>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</si>
  <si>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</si>
  <si>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</si>
  <si>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</si>
  <si>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</si>
  <si>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</si>
  <si>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</si>
  <si>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</si>
  <si>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</si>
  <si>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</si>
  <si>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</si>
  <si>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</si>
  <si>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</si>
  <si>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</si>
  <si>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</si>
  <si>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</si>
  <si>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</si>
  <si>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</si>
  <si>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</si>
  <si>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</si>
  <si>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</si>
  <si>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</si>
  <si>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</si>
  <si>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</si>
  <si>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</si>
  <si>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</si>
  <si>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</si>
  <si>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</si>
  <si>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</si>
  <si>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</si>
  <si>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</si>
  <si>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</si>
  <si>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</si>
  <si>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</si>
  <si>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</si>
  <si>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</si>
  <si>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</si>
  <si>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</si>
  <si>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</si>
  <si>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</si>
  <si>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</si>
  <si>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</si>
  <si>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</si>
  <si>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</si>
  <si>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</si>
  <si>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</si>
  <si>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</si>
  <si>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</si>
  <si>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</si>
  <si>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</si>
  <si>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</si>
  <si>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</si>
  <si>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</si>
  <si>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</si>
  <si>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</si>
  <si>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</si>
  <si>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</si>
  <si>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</si>
  <si>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</si>
  <si>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</si>
  <si>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</si>
  <si>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</si>
  <si>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</si>
  <si>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</si>
  <si>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</si>
  <si>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</si>
  <si>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</si>
  <si>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</si>
  <si>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</si>
  <si>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</si>
  <si>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</si>
  <si>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</si>
  <si>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</si>
  <si>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</si>
  <si>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</si>
  <si>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</si>
  <si>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</si>
  <si>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</si>
  <si>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</si>
  <si>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</si>
  <si>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</si>
  <si>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</si>
  <si>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</si>
  <si>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</si>
  <si>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</si>
  <si>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</si>
  <si>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</si>
  <si>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</si>
  <si>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</si>
  <si>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</si>
  <si>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</si>
  <si>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</si>
  <si>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</si>
  <si>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</si>
  <si>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</si>
  <si>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</si>
  <si>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</si>
  <si>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</si>
  <si>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</si>
  <si>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</si>
  <si>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</si>
  <si>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</si>
  <si>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</si>
  <si>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</si>
  <si>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</si>
  <si>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</si>
  <si>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</si>
  <si>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</si>
  <si>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</si>
  <si>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</si>
  <si>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</si>
  <si>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</si>
  <si>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</si>
  <si>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</si>
  <si>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</si>
  <si>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</si>
  <si>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</si>
  <si>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</si>
  <si>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</si>
  <si>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</si>
  <si>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</si>
  <si>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</si>
  <si>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</si>
  <si>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</si>
  <si>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</si>
  <si>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</si>
  <si>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</si>
  <si>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</si>
  <si>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</si>
  <si>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</si>
  <si>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</si>
  <si>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</si>
  <si>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</si>
  <si>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</si>
  <si>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</si>
  <si>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</si>
  <si>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</si>
  <si>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</si>
  <si>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</si>
  <si>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</si>
  <si>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</si>
  <si>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</si>
  <si>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</si>
  <si>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</si>
  <si>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</si>
  <si>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</si>
  <si>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</si>
  <si>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</si>
  <si>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</si>
  <si>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</si>
  <si>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</si>
  <si>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</si>
  <si>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</si>
  <si>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</si>
  <si>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</si>
  <si>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</si>
  <si>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</si>
  <si>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</si>
  <si>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</si>
  <si>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</si>
  <si>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</si>
  <si>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</si>
  <si>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</si>
  <si>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</si>
  <si>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</si>
  <si>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</si>
  <si>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</si>
  <si>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</si>
  <si>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</si>
  <si>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</si>
  <si>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</si>
  <si>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</si>
  <si>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</si>
  <si>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</si>
  <si>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</si>
  <si>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</si>
  <si>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</si>
  <si>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</si>
  <si>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</si>
  <si>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</si>
  <si>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</si>
  <si>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</si>
  <si>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</si>
  <si>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</si>
  <si>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</si>
  <si>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</si>
  <si>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</si>
  <si>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</si>
  <si>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</si>
  <si>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</si>
  <si>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</si>
  <si>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</si>
  <si>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</si>
  <si>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</si>
  <si>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</si>
  <si>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</si>
  <si>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</si>
  <si>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</si>
  <si>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</si>
  <si>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</si>
  <si>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</si>
  <si>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</si>
  <si>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</si>
  <si>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</si>
  <si>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</si>
  <si>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</si>
  <si>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</si>
  <si>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</si>
  <si>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</si>
  <si>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</si>
  <si>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</si>
  <si>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</si>
  <si>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</si>
  <si>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</si>
  <si>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</si>
  <si>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</si>
  <si>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</si>
  <si>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</si>
  <si>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</si>
  <si>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</si>
  <si>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</si>
  <si>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</si>
  <si>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</si>
  <si>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</si>
  <si>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</si>
  <si>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</si>
  <si>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</si>
  <si>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</si>
  <si>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</si>
  <si>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</si>
  <si>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</si>
  <si>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</si>
  <si>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</si>
  <si>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</si>
  <si>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</si>
  <si>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</si>
  <si>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</si>
  <si>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</si>
  <si>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</si>
  <si>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</si>
  <si>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</si>
  <si>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</si>
  <si>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</si>
  <si>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</si>
  <si>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</si>
  <si>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</si>
  <si>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</si>
  <si>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</si>
  <si>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</si>
  <si>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</si>
  <si>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</si>
  <si>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</si>
  <si>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</si>
  <si>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</si>
  <si>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</si>
  <si>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</si>
  <si>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</si>
  <si>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</si>
  <si>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</si>
  <si>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</si>
  <si>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</si>
  <si>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</si>
  <si>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</si>
  <si>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</si>
  <si>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</si>
  <si>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</si>
  <si>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</si>
  <si>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</si>
  <si>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</si>
  <si>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</si>
  <si>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</si>
  <si>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</si>
  <si>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</si>
  <si>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</si>
  <si>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</si>
  <si>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</si>
  <si>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</si>
  <si>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</si>
  <si>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</si>
  <si>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</si>
  <si>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</si>
  <si>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</si>
  <si>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</si>
  <si>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</si>
  <si>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</si>
  <si>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</si>
  <si>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</si>
  <si>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</si>
  <si>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</si>
  <si>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</si>
  <si>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</si>
  <si>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</si>
  <si>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</si>
  <si>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</si>
  <si>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</si>
  <si>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</si>
  <si>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</si>
  <si>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</si>
  <si>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</si>
  <si>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</si>
  <si>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</si>
  <si>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</si>
  <si>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</si>
  <si>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</si>
  <si>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</si>
  <si>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</si>
  <si>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</si>
  <si>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</si>
  <si>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</si>
  <si>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</si>
  <si>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</si>
  <si>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</si>
  <si>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</si>
  <si>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</si>
  <si>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</si>
  <si>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</si>
  <si>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</si>
  <si>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</si>
  <si>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</si>
  <si>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</si>
  <si>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</si>
  <si>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</si>
  <si>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</si>
  <si>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</si>
  <si>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</si>
  <si>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</si>
  <si>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</si>
  <si>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</si>
  <si>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</si>
  <si>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</si>
  <si>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</si>
  <si>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</si>
  <si>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</si>
  <si>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</si>
  <si>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</si>
  <si>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</si>
  <si>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</si>
  <si>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</si>
  <si>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</si>
  <si>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</si>
  <si>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</si>
  <si>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</si>
  <si>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</si>
  <si>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</si>
  <si>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</si>
  <si>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</si>
  <si>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</si>
  <si>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</si>
  <si>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</si>
  <si>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</si>
  <si>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</si>
  <si>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</si>
  <si>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</si>
  <si>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</si>
  <si>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</si>
  <si>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</si>
  <si>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</si>
  <si>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</si>
  <si>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</si>
  <si>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</si>
  <si>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</si>
  <si>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</si>
  <si>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</si>
  <si>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</si>
  <si>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</si>
  <si>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</si>
  <si>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</si>
  <si>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</si>
  <si>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</si>
  <si>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</si>
  <si>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</si>
  <si>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</si>
  <si>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</si>
  <si>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</si>
  <si>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</si>
  <si>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</si>
  <si>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</si>
  <si>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</si>
  <si>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</si>
  <si>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</si>
  <si>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</si>
  <si>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</si>
  <si>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</si>
  <si>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</si>
  <si>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</si>
  <si>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</si>
  <si>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</si>
  <si>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</si>
  <si>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</si>
  <si>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</si>
  <si>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</si>
  <si>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</si>
  <si>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</si>
  <si>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</si>
  <si>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</si>
  <si>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</si>
  <si>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</si>
  <si>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</si>
  <si>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</si>
  <si>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</si>
  <si>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</si>
  <si>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</si>
  <si>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</si>
  <si>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</si>
  <si>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</si>
  <si>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</si>
  <si>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</si>
  <si>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</si>
  <si>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</si>
  <si>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</si>
  <si>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</si>
  <si>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</si>
  <si>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</si>
  <si>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</si>
  <si>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</si>
  <si>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</si>
  <si>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</si>
  <si>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</si>
  <si>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</si>
  <si>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</si>
  <si>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</si>
  <si>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</si>
  <si>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</si>
  <si>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</si>
  <si>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</si>
  <si>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</si>
  <si>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</si>
  <si>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</si>
  <si>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</si>
  <si>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</si>
  <si>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</si>
  <si>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</si>
  <si>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</si>
  <si>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</si>
  <si>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</si>
  <si>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</si>
  <si>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</si>
  <si>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</si>
  <si>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</si>
  <si>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</si>
  <si>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</si>
  <si>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</si>
  <si>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</si>
  <si>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</si>
  <si>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</si>
  <si>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</si>
  <si>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</si>
  <si>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</si>
  <si>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</si>
  <si>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</si>
  <si>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</si>
  <si>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</si>
  <si>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</si>
  <si>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</si>
  <si>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</si>
  <si>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</si>
  <si>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</si>
  <si>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</si>
  <si>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</si>
  <si>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</si>
  <si>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</si>
  <si>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</si>
  <si>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</si>
  <si>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</si>
  <si>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</si>
  <si>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</si>
  <si>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</si>
  <si>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</si>
  <si>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</si>
  <si>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</si>
  <si>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</si>
  <si>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</si>
  <si>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</si>
  <si>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</si>
  <si>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</si>
  <si>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</si>
  <si>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</si>
  <si>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</si>
  <si>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</si>
  <si>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</si>
  <si>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</si>
  <si>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</si>
  <si>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</si>
  <si>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</si>
  <si>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</si>
  <si>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</si>
  <si>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</si>
  <si>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</si>
  <si>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</si>
  <si>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</si>
  <si>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</si>
  <si>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</si>
  <si>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</si>
  <si>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</si>
  <si>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</si>
  <si>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</si>
  <si>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</si>
  <si>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</si>
  <si>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</si>
  <si>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</si>
  <si>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</si>
  <si>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</si>
  <si>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</si>
  <si>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</si>
  <si>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</si>
  <si>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</si>
  <si>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</si>
  <si>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</si>
  <si>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</si>
  <si>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</si>
  <si>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</si>
  <si>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</si>
  <si>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</si>
  <si>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</si>
  <si>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</si>
  <si>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</si>
  <si>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</si>
  <si>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</si>
  <si>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</si>
  <si>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</si>
  <si>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</si>
  <si>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</si>
  <si>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</si>
  <si>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</si>
  <si>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</si>
  <si>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</si>
  <si>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</si>
  <si>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</si>
  <si>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</si>
  <si>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</si>
  <si>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</si>
  <si>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</si>
  <si>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</si>
  <si>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</si>
  <si>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</si>
  <si>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</si>
  <si>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</si>
  <si>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</si>
  <si>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</si>
  <si>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</si>
  <si>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</si>
  <si>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</si>
  <si>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</si>
  <si>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</si>
  <si>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</si>
  <si>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</si>
  <si>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</si>
  <si>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</si>
  <si>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</si>
  <si>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</si>
  <si>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</si>
  <si>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</si>
  <si>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</si>
  <si>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</si>
  <si>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</si>
  <si>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</si>
  <si>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</si>
  <si>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</si>
  <si>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</si>
  <si>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</si>
  <si>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</si>
  <si>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</si>
  <si>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</si>
  <si>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</si>
  <si>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</si>
  <si>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</si>
  <si>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</si>
  <si>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</si>
  <si>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</si>
  <si>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</si>
  <si>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</si>
  <si>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</si>
  <si>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</si>
  <si>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</si>
  <si>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</si>
  <si>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</si>
  <si>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</si>
  <si>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</si>
  <si>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</si>
  <si>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</si>
  <si>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</si>
  <si>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</si>
  <si>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</si>
  <si>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</si>
  <si>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</si>
  <si>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</si>
  <si>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</si>
  <si>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</si>
  <si>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</si>
  <si>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</si>
  <si>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</si>
  <si>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</si>
  <si>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</si>
  <si>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</si>
  <si>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</si>
  <si>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</si>
  <si>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</si>
  <si>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</si>
  <si>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</si>
  <si>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</si>
  <si>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</si>
  <si>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</si>
  <si>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</si>
  <si>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</si>
  <si>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</si>
  <si>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</si>
  <si>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</si>
  <si>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</si>
  <si>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</si>
  <si>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</si>
  <si>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</si>
  <si>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</si>
  <si>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</si>
  <si>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</si>
  <si>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</si>
  <si>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</si>
  <si>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</si>
  <si>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</si>
  <si>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</si>
  <si>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</si>
  <si>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</si>
  <si>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</si>
  <si>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</si>
  <si>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</si>
  <si>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</si>
  <si>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</si>
  <si>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</si>
  <si>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</si>
  <si>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</si>
  <si>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</si>
  <si>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</si>
  <si>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</si>
  <si>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</si>
  <si>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</si>
  <si>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</si>
  <si>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</si>
  <si>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</si>
  <si>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</si>
  <si>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</si>
  <si>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</si>
  <si>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</si>
  <si>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</si>
  <si>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</si>
  <si>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</si>
  <si>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</si>
  <si>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</si>
  <si>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</si>
  <si>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</si>
  <si>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</si>
  <si>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</si>
  <si>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</si>
  <si>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</si>
  <si>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</si>
  <si>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</si>
  <si>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</si>
  <si>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</si>
  <si>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</si>
  <si>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</si>
  <si>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</si>
  <si>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</si>
  <si>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</si>
  <si>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</si>
  <si>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</si>
  <si>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</si>
  <si>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</si>
  <si>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</si>
  <si>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</si>
  <si>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</si>
  <si>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</si>
  <si>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</si>
  <si>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</si>
  <si>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</si>
  <si>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</si>
  <si>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</si>
  <si>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</si>
  <si>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</si>
  <si>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</si>
  <si>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</si>
  <si>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</si>
  <si>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</si>
  <si>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</si>
  <si>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</si>
  <si>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</si>
  <si>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</si>
  <si>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</si>
  <si>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</si>
  <si>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</si>
  <si>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</si>
  <si>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</si>
  <si>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</si>
  <si>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</si>
  <si>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</si>
  <si>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</si>
  <si>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</si>
  <si>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</si>
  <si>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</si>
  <si>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</si>
  <si>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</si>
  <si>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</si>
  <si>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</si>
  <si>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</si>
  <si>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</si>
  <si>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</si>
  <si>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</si>
  <si>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</si>
  <si>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</si>
  <si>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</si>
  <si>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</si>
  <si>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</si>
  <si>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</si>
  <si>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</si>
  <si>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</si>
  <si>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</si>
  <si>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</si>
  <si>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</si>
  <si>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</si>
  <si>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</si>
  <si>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</si>
  <si>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</si>
  <si>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</si>
  <si>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</si>
  <si>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</si>
  <si>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</si>
  <si>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</si>
  <si>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</si>
  <si>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</si>
  <si>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</si>
  <si>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</si>
  <si>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</si>
  <si>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</si>
  <si>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</si>
  <si>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</si>
  <si>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</si>
  <si>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</si>
  <si>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</si>
  <si>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</si>
  <si>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</si>
  <si>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</si>
  <si>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</si>
  <si>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</si>
  <si>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</si>
  <si>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</si>
  <si>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</si>
  <si>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</si>
  <si>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</si>
  <si>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</si>
  <si>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</si>
  <si>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</si>
  <si>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</si>
  <si>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</si>
  <si>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</si>
  <si>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</si>
  <si>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</si>
  <si>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</si>
  <si>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</si>
  <si>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</si>
  <si>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</si>
  <si>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</si>
  <si>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</si>
  <si>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</si>
  <si>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</si>
  <si>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</si>
  <si>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</si>
  <si>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</si>
  <si>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</si>
  <si>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</si>
  <si>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</si>
  <si>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</si>
  <si>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</si>
  <si>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</si>
  <si>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</si>
  <si>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</si>
  <si>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</si>
  <si>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</si>
  <si>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</si>
  <si>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</si>
  <si>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</si>
  <si>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</si>
  <si>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</si>
  <si>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</si>
  <si>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</si>
  <si>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</si>
  <si>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</si>
  <si>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</si>
  <si>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</si>
  <si>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</si>
  <si>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</si>
  <si>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</si>
  <si>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</si>
  <si>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</si>
  <si>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</si>
  <si>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</si>
  <si>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</si>
  <si>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</si>
  <si>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</si>
  <si>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</si>
  <si>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</si>
  <si>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</si>
  <si>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</si>
  <si>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</si>
  <si>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</si>
  <si>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</si>
  <si>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</si>
  <si>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</si>
  <si>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</si>
  <si>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</si>
  <si>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</si>
  <si>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</si>
  <si>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</si>
  <si>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</si>
  <si>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</si>
  <si>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</si>
  <si>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</si>
  <si>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</si>
  <si>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</si>
  <si>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</si>
  <si>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</si>
  <si>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</si>
  <si>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</si>
  <si>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</si>
  <si>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</si>
  <si>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</si>
  <si>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</si>
  <si>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</si>
  <si>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</si>
  <si>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</si>
  <si>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</si>
  <si>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</si>
  <si>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</si>
  <si>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</si>
  <si>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</si>
  <si>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</si>
  <si>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</si>
  <si>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</si>
  <si>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</si>
  <si>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</si>
  <si>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</si>
  <si>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</si>
  <si>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</si>
  <si>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</si>
  <si>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</si>
  <si>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</si>
  <si>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</si>
  <si>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</si>
  <si>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</si>
  <si>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</si>
  <si>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</si>
  <si>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</si>
  <si>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</si>
  <si>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</si>
  <si>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</si>
  <si>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</si>
  <si>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</si>
  <si>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</si>
  <si>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</si>
  <si>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</si>
  <si>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</si>
  <si>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</si>
  <si>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</si>
  <si>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</si>
  <si>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</si>
  <si>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</si>
  <si>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</si>
  <si>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</si>
  <si>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</si>
  <si>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</si>
  <si>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</si>
  <si>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</si>
  <si>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</si>
  <si>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</si>
  <si>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</si>
  <si>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</si>
  <si>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</si>
  <si>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</si>
  <si>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</si>
  <si>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</si>
  <si>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</si>
  <si>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</si>
  <si>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</si>
  <si>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</si>
  <si>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</si>
  <si>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</si>
  <si>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</si>
  <si>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</si>
  <si>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</si>
  <si>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</si>
  <si>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</si>
  <si>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</si>
  <si>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</si>
  <si>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</si>
  <si>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</si>
  <si>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</si>
  <si>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</si>
  <si>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</si>
  <si>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</si>
  <si>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</si>
  <si>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</si>
  <si>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</si>
  <si>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</si>
  <si>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</si>
  <si>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</si>
  <si>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</si>
  <si>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</si>
  <si>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</si>
  <si>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</si>
  <si>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</si>
  <si>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</si>
  <si>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</si>
  <si>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</si>
  <si>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</si>
  <si>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</si>
  <si>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</si>
  <si>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</si>
  <si>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</si>
  <si>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</si>
  <si>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</si>
  <si>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</si>
  <si>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</si>
  <si>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</si>
  <si>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</si>
  <si>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</si>
  <si>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</si>
  <si>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</si>
  <si>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</si>
  <si>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</si>
  <si>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</si>
  <si>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</si>
  <si>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</si>
  <si>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</si>
  <si>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</si>
  <si>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</si>
  <si>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</si>
  <si>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</si>
  <si>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</si>
  <si>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</si>
  <si>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</si>
  <si>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</si>
  <si>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</si>
  <si>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</si>
  <si>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</si>
  <si>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</si>
  <si>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</si>
  <si>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</si>
  <si>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</si>
  <si>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</si>
  <si>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</si>
  <si>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</si>
  <si>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</si>
  <si>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</si>
  <si>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</si>
  <si>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</si>
  <si>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</si>
  <si>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</si>
  <si>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</si>
  <si>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</si>
  <si>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</si>
  <si>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</si>
  <si>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</si>
  <si>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</si>
  <si>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</si>
  <si>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</si>
  <si>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</si>
  <si>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</si>
  <si>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</si>
  <si>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</si>
  <si>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</si>
  <si>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</si>
  <si>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</si>
  <si>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</si>
  <si>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</si>
  <si>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</si>
  <si>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</si>
  <si>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</si>
  <si>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</si>
  <si>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</si>
  <si>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</si>
  <si>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</si>
  <si>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</si>
  <si>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</si>
  <si>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</si>
  <si>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</si>
  <si>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</si>
  <si>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</si>
  <si>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</si>
  <si>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</si>
  <si>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</si>
  <si>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</si>
  <si>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</si>
  <si>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</si>
  <si>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</si>
  <si>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</si>
  <si>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</si>
  <si>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</si>
  <si>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</si>
  <si>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</si>
  <si>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</si>
  <si>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</si>
  <si>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</si>
  <si>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</si>
  <si>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</si>
  <si>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</si>
  <si>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</si>
  <si>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</si>
  <si>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</si>
  <si>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</si>
  <si>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</si>
  <si>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</si>
  <si>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</si>
  <si>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</si>
  <si>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</si>
  <si>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</si>
  <si>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</si>
  <si>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</si>
  <si>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</si>
  <si>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</si>
  <si>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</si>
  <si>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</si>
  <si>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</si>
  <si>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</si>
  <si>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</si>
  <si>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</si>
  <si>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</si>
  <si>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</si>
  <si>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</si>
  <si>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</si>
  <si>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</si>
  <si>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</si>
  <si>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</si>
  <si>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</si>
  <si>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</si>
  <si>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</si>
  <si>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</si>
  <si>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</si>
  <si>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</si>
  <si>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</si>
  <si>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</si>
  <si>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</si>
  <si>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</si>
  <si>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</si>
  <si>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</si>
  <si>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</si>
  <si>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</si>
  <si>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</si>
  <si>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</si>
  <si>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</si>
  <si>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</si>
  <si>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</si>
  <si>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</si>
  <si>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</si>
  <si>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</si>
  <si>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</si>
  <si>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</si>
  <si>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</si>
  <si>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</si>
  <si>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</si>
  <si>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</si>
  <si>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</si>
  <si>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</si>
  <si>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</si>
  <si>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</si>
  <si>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</si>
  <si>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</si>
  <si>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</si>
  <si>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</si>
  <si>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</si>
  <si>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</si>
  <si>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</si>
  <si>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</si>
  <si>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</si>
  <si>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</si>
  <si>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</si>
  <si>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</si>
  <si>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</si>
  <si>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</si>
  <si>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</si>
  <si>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</si>
  <si>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</si>
  <si>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</si>
  <si>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</si>
  <si>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</si>
  <si>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</si>
  <si>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</si>
  <si>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</si>
  <si>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</si>
  <si>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</si>
  <si>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</si>
  <si>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</si>
  <si>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</si>
  <si>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</si>
  <si>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</si>
  <si>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</si>
  <si>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</si>
  <si>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</si>
  <si>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</si>
  <si>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</si>
  <si>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</si>
  <si>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</si>
  <si>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</si>
  <si>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</si>
  <si>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</si>
  <si>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</si>
  <si>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</si>
  <si>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</si>
  <si>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</si>
  <si>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</si>
  <si>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</si>
  <si>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</si>
  <si>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</si>
  <si>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</si>
  <si>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</si>
  <si>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</si>
  <si>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</si>
  <si>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</si>
  <si>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</si>
  <si>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</si>
  <si>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</si>
  <si>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</si>
  <si>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</si>
  <si>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</si>
  <si>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</si>
  <si>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</si>
  <si>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</si>
  <si>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</si>
  <si>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</si>
  <si>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</si>
  <si>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</si>
  <si>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</si>
  <si>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</si>
  <si>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</si>
  <si>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</si>
  <si>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</si>
  <si>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</si>
  <si>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</si>
  <si>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</si>
  <si>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</si>
  <si>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</si>
  <si>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</si>
  <si>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</si>
  <si>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</si>
  <si>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</si>
  <si>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</si>
  <si>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</si>
  <si>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</si>
  <si>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</si>
  <si>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</si>
  <si>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</si>
  <si>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</si>
  <si>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</si>
  <si>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</si>
  <si>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</si>
  <si>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</si>
  <si>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</si>
  <si>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</si>
  <si>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</si>
  <si>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</si>
  <si>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</si>
  <si>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</si>
  <si>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</si>
  <si>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</si>
  <si>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</si>
  <si>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</si>
  <si>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</si>
  <si>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</si>
  <si>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</si>
  <si>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</si>
  <si>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</si>
  <si>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</si>
  <si>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</si>
  <si>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</si>
  <si>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</si>
  <si>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</si>
  <si>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</si>
  <si>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</si>
  <si>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</si>
  <si>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</si>
  <si>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</si>
  <si>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</si>
  <si>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</si>
  <si>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</si>
  <si>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</si>
  <si>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</si>
  <si>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</si>
  <si>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</si>
  <si>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</si>
  <si>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</si>
  <si>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</si>
  <si>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</si>
  <si>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</si>
  <si>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</si>
  <si>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</si>
  <si>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</si>
  <si>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</si>
  <si>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</si>
  <si>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</si>
  <si>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</si>
  <si>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</si>
  <si>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</si>
  <si>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</si>
  <si>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</si>
  <si>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</si>
  <si>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</si>
  <si>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</si>
  <si>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</si>
  <si>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</si>
  <si>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</si>
  <si>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</si>
  <si>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</si>
  <si>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</si>
  <si>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</si>
  <si>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</si>
  <si>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</si>
  <si>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</si>
  <si>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</si>
  <si>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</si>
  <si>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</si>
  <si>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</si>
  <si>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</si>
  <si>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</si>
  <si>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</si>
  <si>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</si>
  <si>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</si>
  <si>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</si>
  <si>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</si>
  <si>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</si>
  <si>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</si>
  <si>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</si>
  <si>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</si>
  <si>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</si>
  <si>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</si>
  <si>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</si>
  <si>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</si>
  <si>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</si>
  <si>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</si>
  <si>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</si>
  <si>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</si>
  <si>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</si>
  <si>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</si>
  <si>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</si>
  <si>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</si>
  <si>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</si>
  <si>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</si>
  <si>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</si>
  <si>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</si>
  <si>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</si>
  <si>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</si>
  <si>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</si>
  <si>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</si>
  <si>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</si>
  <si>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</si>
  <si>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</si>
  <si>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</si>
  <si>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</si>
  <si>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</si>
  <si>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</si>
  <si>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</si>
  <si>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</si>
  <si>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</si>
  <si>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</si>
  <si>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</si>
  <si>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</si>
  <si>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</si>
  <si>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</si>
  <si>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</si>
  <si>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</si>
  <si>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</si>
  <si>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</si>
  <si>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</si>
  <si>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</si>
  <si>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</si>
  <si>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</si>
  <si>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</si>
  <si>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</si>
  <si>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</si>
  <si>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</si>
  <si>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</si>
  <si>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</si>
  <si>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</si>
  <si>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</si>
  <si>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</si>
  <si>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</si>
  <si>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</si>
  <si>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</si>
  <si>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</si>
  <si>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</si>
  <si>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</si>
  <si>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</si>
  <si>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</si>
  <si>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</si>
  <si>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</si>
  <si>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</si>
  <si>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</si>
  <si>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</si>
  <si>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</si>
  <si>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</si>
  <si>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</si>
  <si>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</si>
  <si>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</si>
  <si>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</si>
  <si>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</si>
  <si>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</si>
  <si>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</si>
  <si>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</si>
  <si>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</si>
  <si>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</si>
  <si>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</si>
  <si>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</si>
  <si>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</si>
  <si>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</si>
  <si>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</si>
  <si>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</si>
  <si>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</si>
  <si>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</si>
  <si>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</si>
  <si>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</si>
  <si>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</si>
  <si>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</si>
  <si>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</si>
  <si>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</si>
  <si>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</si>
  <si>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</si>
  <si>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</si>
  <si>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</si>
  <si>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</si>
  <si>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</si>
  <si>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</si>
  <si>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</si>
  <si>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</si>
  <si>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</si>
  <si>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</si>
  <si>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</si>
  <si>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</si>
  <si>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</si>
  <si>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</si>
  <si>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</si>
  <si>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</si>
  <si>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</si>
  <si>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</si>
  <si>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</si>
  <si>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</si>
  <si>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</si>
  <si>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</si>
  <si>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</si>
  <si>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</si>
  <si>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</si>
  <si>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</si>
  <si>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</si>
  <si>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</si>
  <si>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</si>
  <si>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</si>
  <si>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</si>
  <si>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</si>
  <si>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</si>
  <si>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</si>
  <si>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</si>
  <si>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</si>
  <si>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</si>
  <si>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</si>
  <si>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</si>
  <si>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</si>
  <si>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</si>
  <si>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</si>
  <si>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</si>
  <si>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</si>
  <si>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</si>
  <si>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</si>
  <si>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</si>
  <si>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</si>
  <si>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</si>
  <si>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</si>
  <si>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</si>
  <si>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</si>
  <si>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</si>
  <si>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</si>
  <si>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</si>
  <si>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</si>
  <si>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</si>
  <si>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</si>
  <si>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</si>
  <si>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</si>
  <si>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</si>
  <si>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</si>
  <si>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</si>
  <si>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</si>
  <si>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</si>
  <si>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</si>
  <si>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</si>
  <si>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</si>
  <si>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</si>
  <si>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</si>
  <si>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</si>
  <si>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</si>
  <si>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</si>
  <si>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</si>
  <si>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</si>
  <si>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</si>
  <si>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</si>
  <si>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</si>
  <si>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</si>
  <si>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</si>
  <si>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</si>
  <si>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</si>
  <si>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</si>
  <si>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</si>
  <si>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</si>
  <si>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</si>
  <si>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</si>
  <si>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</si>
  <si>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</si>
  <si>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</si>
  <si>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</si>
  <si>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</si>
  <si>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</si>
  <si>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</si>
  <si>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</si>
  <si>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</si>
  <si>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</si>
  <si>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</si>
  <si>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</si>
  <si>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</si>
  <si>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</si>
  <si>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</si>
  <si>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</si>
  <si>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</si>
  <si>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</si>
  <si>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</si>
  <si>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</si>
  <si>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</si>
  <si>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</si>
  <si>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</si>
  <si>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</si>
  <si>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</si>
  <si>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</si>
  <si>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</si>
  <si>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</si>
  <si>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</si>
  <si>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</si>
  <si>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</si>
  <si>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</si>
  <si>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</si>
  <si>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</si>
  <si>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</si>
  <si>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</si>
  <si>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</si>
  <si>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</si>
  <si>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</si>
  <si>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</si>
  <si>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</si>
  <si>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</si>
  <si>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</si>
  <si>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</si>
  <si>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</si>
  <si>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</si>
  <si>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</si>
  <si>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</si>
  <si>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</si>
  <si>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</si>
  <si>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</si>
  <si>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</si>
  <si>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</si>
  <si>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</si>
  <si>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</si>
  <si>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</si>
  <si>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</si>
  <si>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</si>
  <si>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</si>
  <si>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</si>
  <si>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</si>
  <si>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</si>
  <si>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</si>
  <si>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</si>
  <si>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</si>
  <si>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</si>
  <si>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</si>
  <si>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</si>
  <si>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</si>
  <si>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</si>
  <si>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</si>
  <si>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</si>
  <si>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</si>
  <si>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</si>
  <si>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</si>
  <si>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</si>
  <si>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</si>
  <si>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</si>
  <si>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</si>
  <si>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</si>
  <si>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</si>
  <si>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</si>
  <si>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</si>
  <si>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</si>
  <si>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</si>
  <si>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</si>
  <si>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</si>
  <si>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</si>
  <si>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</si>
  <si>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</si>
  <si>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</si>
  <si>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</si>
  <si>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</si>
  <si>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</si>
  <si>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</si>
  <si>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</si>
  <si>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</si>
  <si>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</si>
  <si>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</si>
  <si>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</si>
  <si>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</si>
  <si>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</si>
  <si>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</si>
  <si>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</si>
  <si>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</si>
  <si>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</si>
  <si>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</si>
  <si>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</si>
  <si>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</si>
  <si>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</si>
  <si>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</si>
  <si>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</si>
  <si>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</si>
  <si>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</si>
  <si>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</si>
  <si>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</si>
  <si>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</si>
  <si>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</si>
  <si>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</si>
  <si>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</si>
  <si>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</si>
  <si>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</si>
  <si>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</si>
  <si>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</si>
  <si>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</si>
  <si>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</si>
  <si>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</si>
  <si>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</si>
  <si>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</si>
  <si>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</si>
  <si>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</si>
  <si>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</si>
  <si>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</si>
  <si>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</si>
  <si>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</si>
  <si>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</si>
  <si>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</si>
  <si>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</si>
  <si>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</si>
  <si>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</si>
  <si>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</si>
  <si>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</si>
  <si>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</si>
  <si>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</si>
  <si>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</si>
  <si>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</si>
  <si>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</si>
  <si>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</si>
  <si>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</si>
  <si>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</si>
  <si>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</si>
  <si>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</si>
  <si>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</si>
  <si>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</si>
  <si>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</si>
  <si>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</si>
  <si>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</si>
  <si>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</si>
  <si>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</si>
  <si>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</si>
  <si>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</si>
  <si>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</si>
  <si>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</si>
  <si>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</si>
  <si>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</si>
  <si>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</si>
  <si>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</si>
  <si>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</si>
  <si>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</si>
  <si>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</si>
  <si>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</si>
  <si>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</si>
  <si>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</si>
  <si>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</si>
  <si>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</si>
  <si>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</si>
  <si>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</si>
  <si>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</si>
  <si>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</si>
  <si>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</si>
  <si>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</si>
  <si>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</si>
  <si>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</si>
  <si>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</si>
  <si>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</si>
  <si>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</si>
  <si>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</si>
  <si>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</si>
  <si>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</si>
  <si>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</si>
  <si>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</si>
  <si>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</si>
  <si>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</si>
  <si>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</si>
  <si>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</si>
  <si>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</si>
  <si>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</si>
  <si>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</si>
  <si>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</si>
  <si>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</si>
  <si>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</si>
  <si>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</si>
  <si>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</si>
  <si>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</si>
  <si>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</si>
  <si>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</si>
  <si>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</si>
  <si>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</si>
  <si>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</si>
  <si>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</si>
  <si>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</si>
  <si>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</si>
  <si>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</si>
  <si>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</si>
  <si>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</si>
  <si>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</si>
  <si>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</si>
  <si>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</si>
  <si>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</si>
  <si>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</si>
  <si>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</si>
  <si>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</si>
  <si>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</si>
  <si>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</si>
  <si>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</si>
  <si>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</si>
  <si>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</si>
  <si>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</si>
  <si>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</si>
  <si>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</si>
  <si>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</si>
  <si>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</si>
  <si>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</si>
  <si>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</si>
  <si>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</si>
  <si>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</si>
  <si>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</si>
  <si>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</si>
  <si>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</si>
  <si>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</si>
  <si>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</si>
  <si>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</si>
  <si>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</si>
  <si>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</si>
  <si>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</si>
  <si>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</si>
  <si>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</si>
  <si>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</si>
  <si>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</si>
  <si>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</si>
  <si>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</si>
  <si>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</si>
  <si>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</si>
  <si>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</si>
  <si>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</si>
  <si>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</si>
  <si>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</si>
  <si>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</si>
  <si>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</si>
  <si>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</si>
  <si>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</si>
  <si>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</si>
  <si>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</si>
  <si>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</si>
  <si>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</si>
  <si>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</si>
  <si>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</si>
  <si>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</si>
  <si>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</si>
  <si>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</si>
  <si>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</si>
  <si>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</si>
  <si>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</si>
  <si>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</si>
  <si>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</si>
  <si>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</si>
  <si>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</si>
  <si>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</si>
  <si>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</si>
  <si>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</si>
  <si>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</si>
  <si>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</si>
  <si>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</si>
  <si>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</si>
  <si>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</si>
  <si>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</si>
  <si>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</si>
  <si>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</si>
  <si>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</si>
  <si>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</si>
  <si>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</si>
  <si>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</si>
  <si>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</si>
  <si>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</si>
  <si>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</si>
  <si>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</si>
  <si>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</si>
  <si>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</si>
  <si>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</si>
  <si>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</si>
  <si>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</si>
  <si>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</si>
  <si>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</si>
  <si>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</si>
  <si>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</si>
  <si>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</si>
  <si>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</si>
  <si>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</si>
  <si>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</si>
  <si>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</si>
  <si>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</si>
  <si>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</si>
  <si>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</si>
  <si>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</si>
  <si>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</si>
  <si>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</si>
  <si>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</si>
  <si>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</si>
  <si>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</si>
  <si>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</si>
  <si>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</si>
  <si>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</si>
  <si>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</si>
  <si>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</si>
  <si>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</si>
  <si>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</si>
  <si>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</si>
  <si>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</si>
  <si>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</si>
  <si>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</si>
  <si>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</si>
  <si>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</si>
  <si>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</si>
  <si>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</si>
  <si>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</si>
  <si>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</si>
  <si>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</si>
  <si>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</si>
  <si>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</si>
  <si>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</si>
  <si>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</si>
  <si>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</si>
  <si>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</si>
  <si>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</si>
  <si>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</si>
  <si>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</si>
  <si>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</si>
  <si>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</si>
  <si>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</si>
  <si>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</si>
  <si>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</si>
  <si>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</si>
  <si>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</si>
  <si>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</si>
  <si>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</si>
  <si>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</si>
  <si>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</si>
  <si>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</si>
  <si>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</si>
  <si>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</si>
  <si>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</si>
  <si>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</si>
  <si>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</si>
  <si>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</si>
  <si>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</si>
  <si>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</si>
  <si>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</si>
  <si>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</si>
  <si>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</si>
  <si>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</si>
  <si>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</si>
  <si>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</si>
  <si>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</si>
  <si>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</si>
  <si>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</si>
  <si>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</si>
  <si>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</si>
  <si>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</si>
  <si>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</si>
  <si>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</si>
  <si>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</si>
  <si>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</si>
  <si>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</si>
  <si>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</si>
  <si>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</si>
  <si>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</si>
  <si>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</si>
  <si>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</si>
  <si>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</si>
  <si>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</si>
  <si>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</si>
  <si>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</si>
  <si>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</si>
  <si>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</si>
  <si>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</si>
  <si>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</si>
  <si>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</si>
  <si>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</si>
  <si>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</si>
  <si>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</si>
  <si>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</si>
  <si>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</si>
  <si>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</si>
  <si>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</si>
  <si>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</si>
  <si>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</si>
  <si>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</si>
  <si>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</si>
  <si>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</si>
  <si>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</si>
  <si>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</si>
  <si>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</si>
  <si>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</si>
  <si>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</si>
  <si>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</si>
  <si>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</si>
  <si>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</si>
  <si>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</si>
  <si>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</si>
  <si>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</si>
  <si>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</si>
  <si>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</si>
  <si>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</si>
  <si>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</si>
  <si>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</si>
  <si>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</si>
  <si>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</si>
  <si>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</si>
  <si>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</si>
  <si>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</si>
  <si>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</si>
  <si>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</si>
  <si>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</si>
  <si>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</si>
  <si>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</si>
  <si>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</si>
  <si>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</si>
  <si>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</si>
  <si>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</si>
  <si>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</si>
  <si>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</si>
  <si>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</si>
  <si>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</si>
  <si>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</si>
  <si>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</si>
  <si>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</si>
  <si>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</si>
  <si>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</si>
  <si>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</si>
  <si>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</si>
  <si>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</si>
  <si>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</si>
  <si>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</si>
  <si>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</si>
  <si>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</si>
  <si>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</si>
  <si>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</si>
  <si>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</si>
  <si>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</si>
  <si>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</si>
  <si>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</si>
  <si>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</si>
  <si>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</si>
  <si>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</si>
  <si>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</si>
  <si>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</si>
  <si>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</si>
  <si>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</si>
  <si>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</si>
  <si>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</si>
  <si>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</si>
  <si>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</si>
  <si>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</si>
  <si>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</si>
  <si>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</si>
  <si>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</si>
  <si>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</si>
  <si>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</si>
  <si>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</si>
  <si>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</si>
  <si>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</si>
  <si>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</si>
  <si>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</si>
  <si>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</si>
  <si>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</si>
  <si>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</si>
  <si>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</si>
  <si>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</si>
  <si>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</si>
  <si>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</si>
  <si>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</si>
  <si>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</si>
  <si>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</si>
  <si>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</si>
  <si>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</si>
  <si>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</si>
  <si>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</si>
  <si>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</si>
  <si>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</si>
  <si>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</si>
  <si>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</si>
  <si>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</si>
  <si>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</si>
  <si>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</si>
  <si>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</si>
  <si>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</si>
  <si>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</si>
  <si>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</si>
  <si>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</si>
  <si>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</si>
  <si>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</si>
  <si>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</si>
  <si>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</si>
  <si>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</si>
  <si>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</si>
  <si>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</si>
  <si>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</si>
  <si>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</si>
  <si>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</si>
  <si>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</si>
  <si>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</si>
  <si>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</si>
  <si>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</si>
  <si>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</si>
  <si>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</si>
  <si>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</si>
  <si>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</si>
  <si>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</si>
  <si>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</si>
  <si>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</si>
  <si>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</si>
  <si>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</si>
  <si>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</si>
  <si>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</si>
  <si>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</si>
  <si>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</si>
  <si>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</si>
  <si>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</si>
  <si>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</si>
  <si>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</si>
  <si>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</si>
  <si>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</si>
  <si>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</si>
  <si>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</si>
  <si>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</si>
  <si>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</si>
  <si>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</si>
  <si>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</si>
  <si>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</si>
  <si>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</si>
  <si>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</si>
  <si>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</si>
  <si>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</si>
  <si>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</si>
  <si>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</si>
  <si>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</si>
  <si>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</si>
  <si>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</si>
  <si>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</si>
  <si>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</si>
  <si>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</si>
  <si>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</si>
  <si>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</si>
  <si>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</si>
  <si>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</si>
  <si>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</si>
  <si>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</si>
  <si>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</si>
  <si>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</si>
  <si>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</si>
  <si>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</si>
  <si>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</si>
  <si>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</si>
  <si>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</si>
  <si>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</si>
  <si>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</si>
  <si>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</si>
  <si>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</si>
  <si>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</si>
  <si>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</si>
  <si>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</si>
  <si>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</si>
  <si>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</si>
  <si>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</si>
  <si>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</si>
  <si>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</si>
  <si>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</si>
  <si>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</si>
  <si>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</si>
  <si>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</si>
  <si>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</si>
  <si>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</si>
  <si>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</si>
  <si>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</si>
  <si>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</si>
  <si>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</si>
  <si>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</si>
  <si>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</si>
  <si>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</si>
  <si>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</si>
  <si>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</si>
  <si>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</si>
  <si>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</si>
  <si>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</si>
  <si>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</si>
  <si>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</si>
  <si>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</si>
  <si>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</si>
  <si>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</si>
  <si>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</si>
  <si>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</si>
  <si>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</si>
  <si>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</si>
  <si>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</si>
  <si>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</si>
  <si>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</si>
  <si>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</si>
  <si>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</si>
  <si>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</si>
  <si>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</si>
  <si>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</si>
  <si>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</si>
  <si>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</si>
  <si>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</si>
  <si>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</si>
  <si>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</si>
  <si>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</si>
  <si>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住宅</t>
  </si>
  <si>
    <t>住宅</t>
    <phoneticPr fontId="143" type="noConversion"/>
  </si>
  <si>
    <t>用途</t>
    <phoneticPr fontId="143" type="noConversion"/>
  </si>
  <si>
    <t>建筑面积</t>
    <phoneticPr fontId="143" type="noConversion"/>
  </si>
  <si>
    <t>序号</t>
    <phoneticPr fontId="143" type="noConversion"/>
  </si>
  <si>
    <t>商业</t>
    <phoneticPr fontId="143" type="noConversion"/>
  </si>
  <si>
    <t>公寓</t>
    <phoneticPr fontId="143" type="noConversion"/>
  </si>
  <si>
    <t>地下</t>
  </si>
  <si>
    <t>地下</t>
    <phoneticPr fontId="143" type="noConversion"/>
  </si>
  <si>
    <t>合计</t>
    <phoneticPr fontId="143" type="noConversion"/>
  </si>
  <si>
    <t>建筑面积</t>
    <phoneticPr fontId="143" type="noConversion"/>
  </si>
  <si>
    <t>楼号</t>
    <phoneticPr fontId="143" type="noConversion"/>
  </si>
  <si>
    <r>
      <t>A</t>
    </r>
    <r>
      <rPr>
        <sz val="11"/>
        <color theme="1"/>
        <rFont val="宋体"/>
        <family val="3"/>
        <charset val="134"/>
        <scheme val="minor"/>
      </rPr>
      <t>8</t>
    </r>
    <phoneticPr fontId="143" type="noConversion"/>
  </si>
  <si>
    <t>住宅</t>
    <phoneticPr fontId="143" type="noConversion"/>
  </si>
  <si>
    <r>
      <t>A</t>
    </r>
    <r>
      <rPr>
        <sz val="11"/>
        <color theme="1"/>
        <rFont val="宋体"/>
        <family val="3"/>
        <charset val="134"/>
        <scheme val="minor"/>
      </rPr>
      <t>9</t>
    </r>
    <phoneticPr fontId="143" type="noConversion"/>
  </si>
  <si>
    <t>A4</t>
    <phoneticPr fontId="143" type="noConversion"/>
  </si>
  <si>
    <t>A4</t>
    <phoneticPr fontId="143" type="noConversion"/>
  </si>
  <si>
    <t>B3</t>
    <phoneticPr fontId="143" type="noConversion"/>
  </si>
  <si>
    <t>A5</t>
    <phoneticPr fontId="143" type="noConversion"/>
  </si>
  <si>
    <t>A5</t>
    <phoneticPr fontId="143" type="noConversion"/>
  </si>
  <si>
    <t>地下车库</t>
    <phoneticPr fontId="143" type="noConversion"/>
  </si>
  <si>
    <t>用途</t>
    <phoneticPr fontId="143" type="noConversion"/>
  </si>
  <si>
    <t>土地面积</t>
    <phoneticPr fontId="143" type="noConversion"/>
  </si>
  <si>
    <t>城镇住宅用地</t>
    <phoneticPr fontId="143" type="noConversion"/>
  </si>
  <si>
    <t>商务金融用地</t>
    <phoneticPr fontId="143" type="noConversion"/>
  </si>
  <si>
    <t>合计</t>
    <phoneticPr fontId="143" type="noConversion"/>
  </si>
  <si>
    <t>地上住宅可抵押</t>
    <phoneticPr fontId="3" type="noConversion"/>
  </si>
  <si>
    <t>地上住宅不可抵押</t>
    <phoneticPr fontId="3" type="noConversion"/>
  </si>
  <si>
    <t>地上商业不可抵押</t>
    <phoneticPr fontId="3" type="noConversion"/>
  </si>
  <si>
    <t>地上</t>
  </si>
  <si>
    <t>是</t>
  </si>
  <si>
    <t>否</t>
  </si>
  <si>
    <t>地上公寓可抵押</t>
    <phoneticPr fontId="3" type="noConversion"/>
  </si>
  <si>
    <t>总面积</t>
    <phoneticPr fontId="143" type="noConversion"/>
  </si>
  <si>
    <t>可抵押面积</t>
    <phoneticPr fontId="143" type="noConversion"/>
  </si>
  <si>
    <t>小计</t>
    <phoneticPr fontId="143" type="noConversion"/>
  </si>
  <si>
    <t>小计</t>
    <phoneticPr fontId="143" type="noConversion"/>
  </si>
  <si>
    <t>车库</t>
  </si>
  <si>
    <t>地下车库可抵押</t>
    <phoneticPr fontId="3" type="noConversion"/>
  </si>
  <si>
    <t>地下车库不可抵押</t>
    <phoneticPr fontId="3" type="noConversion"/>
  </si>
  <si>
    <t>地下室</t>
    <phoneticPr fontId="143" type="noConversion"/>
  </si>
  <si>
    <t>人防</t>
    <phoneticPr fontId="143" type="noConversion"/>
  </si>
  <si>
    <t>住宅</t>
    <phoneticPr fontId="7" type="noConversion"/>
  </si>
  <si>
    <t>商业</t>
    <phoneticPr fontId="7" type="noConversion"/>
  </si>
  <si>
    <t>公寓</t>
  </si>
  <si>
    <t>枫丹唐悦</t>
    <phoneticPr fontId="3" type="noConversion"/>
  </si>
  <si>
    <t>正常</t>
  </si>
  <si>
    <t>住宅</t>
    <phoneticPr fontId="25" type="noConversion"/>
  </si>
  <si>
    <t>60-70（含）</t>
  </si>
  <si>
    <t>较好</t>
  </si>
  <si>
    <t>碧桂园珑悦</t>
    <phoneticPr fontId="3" type="noConversion"/>
  </si>
  <si>
    <t>七通</t>
  </si>
  <si>
    <t>高层</t>
  </si>
  <si>
    <t>高层</t>
    <phoneticPr fontId="25" type="noConversion"/>
  </si>
  <si>
    <t>钢混</t>
  </si>
  <si>
    <t>钢混</t>
    <phoneticPr fontId="25" type="noConversion"/>
  </si>
  <si>
    <t>精装修</t>
  </si>
  <si>
    <t>精装修</t>
    <phoneticPr fontId="25" type="noConversion"/>
  </si>
  <si>
    <t>毛坯</t>
  </si>
  <si>
    <t>毛坯</t>
    <phoneticPr fontId="25" type="noConversion"/>
  </si>
  <si>
    <t>售价</t>
  </si>
  <si>
    <t>商业</t>
    <phoneticPr fontId="31" type="noConversion"/>
  </si>
  <si>
    <t>30-40（含）</t>
  </si>
  <si>
    <t>凤凰城</t>
    <phoneticPr fontId="3" type="noConversion"/>
  </si>
  <si>
    <t>枫丹唐悦</t>
    <phoneticPr fontId="3" type="noConversion"/>
  </si>
  <si>
    <t>华远辰悦</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</si>
  <si>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</si>
  <si>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</si>
  <si>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</si>
  <si>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</si>
  <si>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</si>
  <si>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</si>
  <si>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</si>
  <si>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住宅底商</t>
  </si>
  <si>
    <t>住宅底商</t>
    <phoneticPr fontId="31" type="noConversion"/>
  </si>
  <si>
    <t>钢混</t>
    <phoneticPr fontId="31" type="noConversion"/>
  </si>
  <si>
    <t>普通装修</t>
    <phoneticPr fontId="31" type="noConversion"/>
  </si>
  <si>
    <t>全业态</t>
  </si>
  <si>
    <t>全业态</t>
    <phoneticPr fontId="31" type="noConversion"/>
  </si>
  <si>
    <t>不可餐饮</t>
  </si>
  <si>
    <t>不可餐饮</t>
    <phoneticPr fontId="31" type="noConversion"/>
  </si>
  <si>
    <t>超高层高</t>
  </si>
  <si>
    <t>超高层高</t>
    <phoneticPr fontId="31" type="noConversion"/>
  </si>
  <si>
    <t>标准层高</t>
  </si>
  <si>
    <t>标准层高</t>
    <phoneticPr fontId="31" type="noConversion"/>
  </si>
  <si>
    <t>精装修</t>
    <phoneticPr fontId="31" type="noConversion"/>
  </si>
  <si>
    <t>毛坯</t>
    <phoneticPr fontId="31" type="noConversion"/>
  </si>
  <si>
    <t>颐和府</t>
    <phoneticPr fontId="3" type="noConversion"/>
  </si>
  <si>
    <t>文景天下</t>
    <phoneticPr fontId="3" type="noConversion"/>
  </si>
  <si>
    <t>青秀城</t>
    <phoneticPr fontId="3" type="noConversion"/>
  </si>
  <si>
    <t>钛茂</t>
    <phoneticPr fontId="3" type="noConversion"/>
  </si>
  <si>
    <t>公寓</t>
    <phoneticPr fontId="31" type="noConversion"/>
  </si>
  <si>
    <t>收益法-车库</t>
  </si>
  <si>
    <t>在建（套用方法）</t>
  </si>
  <si>
    <t>按租金收入计税</t>
  </si>
  <si>
    <t>非生产用房</t>
  </si>
  <si>
    <t>楼层</t>
    <phoneticPr fontId="143" type="noConversion"/>
  </si>
  <si>
    <t>售价</t>
    <phoneticPr fontId="143" type="noConversion"/>
  </si>
  <si>
    <t>比例</t>
    <phoneticPr fontId="143" type="noConversion"/>
  </si>
  <si>
    <t>地上商业可抵押A4+B3</t>
    <phoneticPr fontId="3" type="noConversion"/>
  </si>
  <si>
    <r>
      <rPr>
        <sz val="11"/>
        <color indexed="8"/>
        <rFont val="宋体"/>
        <family val="3"/>
        <charset val="134"/>
      </rPr>
      <t>地上</t>
    </r>
    <r>
      <rPr>
        <sz val="11"/>
        <color indexed="8"/>
        <rFont val="Arial"/>
        <family val="2"/>
      </rPr>
      <t>A5</t>
    </r>
    <r>
      <rPr>
        <sz val="11"/>
        <color indexed="8"/>
        <rFont val="宋体"/>
        <family val="3"/>
        <charset val="134"/>
      </rPr>
      <t>商业</t>
    </r>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</si>
  <si>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</si>
  <si>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</si>
  <si>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</si>
  <si>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</si>
  <si>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</si>
  <si>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</si>
  <si>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</si>
  <si>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</si>
  <si>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</si>
  <si>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</si>
  <si>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</si>
  <si>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</si>
  <si>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</si>
  <si>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</si>
  <si>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未央区元朔路以东、郑西铁路以南、西铜路以西</t>
  </si>
  <si>
    <t>西安市</t>
  </si>
  <si>
    <t>综合用地(含住宅)</t>
  </si>
  <si>
    <t>≥1.2且≤3.32</t>
  </si>
  <si>
    <t>拍卖</t>
  </si>
  <si>
    <t>2019-06-12</t>
  </si>
  <si>
    <t>西安杨林房地产开发有限公司</t>
  </si>
  <si>
    <t>4星</t>
  </si>
  <si>
    <t>≥1.2且≤3.66</t>
  </si>
  <si>
    <t>≥1.2且≤3.5</t>
  </si>
  <si>
    <t>西安曲江大明宫遗址区</t>
  </si>
  <si>
    <t>≤2.196</t>
  </si>
  <si>
    <t>2019-01-29</t>
  </si>
  <si>
    <t>西安正荣置业发展有限公司</t>
  </si>
  <si>
    <t>5星</t>
  </si>
  <si>
    <t>西安曲江大明宫遗址区凤城四路以南、红旗铁路专用线以西</t>
  </si>
  <si>
    <t>≤3.5</t>
  </si>
  <si>
    <t>2019-01-17</t>
  </si>
  <si>
    <t>西安莱嘉置业有限公司</t>
  </si>
  <si>
    <t>西安曲江大明宫遗址区凤城五路以南、红旗铁路专用线以西</t>
  </si>
  <si>
    <t>≤3.227</t>
  </si>
  <si>
    <t>西安莱恒置业有限公司</t>
  </si>
  <si>
    <t>西安曲江大明宫遗址区凤城三路以北、红旗铁路专用线以西</t>
  </si>
  <si>
    <t>≤3.9</t>
  </si>
  <si>
    <t>西安莱鼎置业有限公司</t>
  </si>
  <si>
    <t>西安曲江大明宫遗址区,北临环园中路、西临恒大御景项目、南临凤城四路</t>
  </si>
  <si>
    <t>≤2.8</t>
  </si>
  <si>
    <t>≤7.5</t>
  </si>
  <si>
    <t>2018-10-12</t>
  </si>
  <si>
    <t>陕西克力房地产开发有限责任公司</t>
  </si>
  <si>
    <t>住宅用地</t>
  </si>
  <si>
    <t>≤4.81</t>
  </si>
  <si>
    <t>2018-09-26</t>
  </si>
  <si>
    <t>西安君惠房地产开发有限公司</t>
  </si>
  <si>
    <t>红光路以北,西户铁路以南,石家村城改安置地块以东</t>
  </si>
  <si>
    <t>≥2,≤3</t>
  </si>
  <si>
    <t>2018-08-03</t>
  </si>
  <si>
    <t>西安嘉宝摩码置业有限公司</t>
  </si>
  <si>
    <t>未央区徐家湾同建路6号</t>
  </si>
  <si>
    <t>≤3</t>
  </si>
  <si>
    <t>2018-02-02</t>
  </si>
  <si>
    <t>陕西科为房地产开发有限公司</t>
  </si>
  <si>
    <t>西安曲江大明宫遗址区,北临凤城三路,西临华远锦悦项目</t>
  </si>
  <si>
    <t>2017-11-14</t>
  </si>
  <si>
    <t>西安荣科置业有限公司(旭辉)</t>
  </si>
  <si>
    <t>西安曲江大明宫遗址区,北临凤城四路,南临西安珠江投资有限公司</t>
  </si>
  <si>
    <t>万科</t>
  </si>
  <si>
    <t>住宅≤2.8,商服≤4</t>
  </si>
  <si>
    <t>挂牌</t>
  </si>
  <si>
    <t>2017-09-30</t>
  </si>
  <si>
    <t>西安唐悦置业有限公司</t>
  </si>
  <si>
    <t>≤3.91</t>
  </si>
  <si>
    <t>2017-08-29</t>
  </si>
  <si>
    <t>陕西荣锦房地产开发有限公司</t>
  </si>
  <si>
    <t>≤4.34</t>
  </si>
  <si>
    <t>陕西天和实业发展有限责任公司</t>
  </si>
  <si>
    <t>西安曲江大明宫遗址区凤城四路以南、御井路以东</t>
  </si>
  <si>
    <t>地块一≤2.8;地块二≤0.78</t>
  </si>
  <si>
    <t>2017-08-03</t>
  </si>
  <si>
    <t>绿地集团西安盛都置业有限公司</t>
  </si>
  <si>
    <t>未央区凤城八路以南、经九路以东、环园北路以北</t>
  </si>
  <si>
    <t>≤3.7</t>
  </si>
  <si>
    <t>西安源鑫置业有限公司</t>
  </si>
  <si>
    <t>未央区西安煜星置业有限公司以西、代征路以东、以北</t>
  </si>
  <si>
    <t>＞1且≤4.92</t>
  </si>
  <si>
    <t>2017-07-18</t>
  </si>
  <si>
    <t>陕西旅游集团西安旅游文化产业有限公司</t>
  </si>
  <si>
    <t>未央区曹家庙村以南、代征路以西、代征绿地以北</t>
  </si>
  <si>
    <t>＞1且≤3.5</t>
  </si>
  <si>
    <t>恒大地产</t>
  </si>
  <si>
    <t>大兴新区,西安惠风置业有限公司用地以北、以东</t>
  </si>
  <si>
    <t>2017-06-26</t>
  </si>
  <si>
    <t>西安惠风置业有限公司</t>
  </si>
  <si>
    <t>大兴新区西安融逸房地产开发有限公司用地以北、代征道路以东、以西</t>
  </si>
  <si>
    <t>西安融逸房地产开发有限公司</t>
  </si>
  <si>
    <t>西安曲江大明宫遗址区北二环以北,红旗铁路线以西</t>
  </si>
  <si>
    <t>＞1且≤3.3</t>
  </si>
  <si>
    <t>2017-05-17</t>
  </si>
  <si>
    <t>西安景齐房地产开发有限公司</t>
  </si>
  <si>
    <t>2017-04-28</t>
  </si>
  <si>
    <t>陕西中机腾达置业有限公司</t>
  </si>
  <si>
    <t>西安曲江大明宫遗址区,凤城三路以南,红旗铁路线以西</t>
  </si>
  <si>
    <t>＞1且≤2.8</t>
  </si>
  <si>
    <t>2017-03-20</t>
  </si>
  <si>
    <t>中海地产集团有限公司</t>
  </si>
  <si>
    <t>西安曲江大明宫遗址区,北临凤城二路,东临红旗铁路线</t>
  </si>
  <si>
    <t>＞1且≤2.95</t>
  </si>
  <si>
    <t>2017-01-19</t>
  </si>
  <si>
    <t>西安曲江瑞和房地产开发有限公司</t>
  </si>
  <si>
    <t>＞1且≤4.29</t>
  </si>
  <si>
    <t>2016-11-16</t>
  </si>
  <si>
    <t>西安奥达房地产开发有限责任公司</t>
  </si>
  <si>
    <t>3星</t>
  </si>
  <si>
    <t>未央区尚贤路以东、尚苑路以南</t>
  </si>
  <si>
    <t>＞1且≤4.68</t>
  </si>
  <si>
    <t>西安曲江大明宫遗址区,红庙坡路以南、肉联厂以东、兴中路以北</t>
  </si>
  <si>
    <t>2016-09-19</t>
  </si>
  <si>
    <t>西安前进房地产开发有限公司</t>
  </si>
  <si>
    <t>未央区尚新路东段韩家湾村</t>
  </si>
  <si>
    <t>＞1且≤3.32</t>
  </si>
  <si>
    <t>沣东新城武警学院北侧、双拥路以东</t>
  </si>
  <si>
    <t>＞1且≤5.8</t>
  </si>
  <si>
    <t>2016-09-18</t>
  </si>
  <si>
    <t>西安持盈地产有限责任公司</t>
  </si>
  <si>
    <t>未央区北客站以南、尚贤路以西、北三环以北、明光路以东</t>
    <phoneticPr fontId="143" type="noConversion"/>
  </si>
  <si>
    <t>地面价</t>
    <phoneticPr fontId="143" type="noConversion"/>
  </si>
  <si>
    <t>未央区元朔路以东、郑西铁路以南、西铜路以西</t>
    <phoneticPr fontId="143" type="noConversion"/>
  </si>
  <si>
    <t>大兴新区利君集团有限责任公司以南、市国土局大兴新区管理办公室用地以北,西安利君精华制药有限责任公司用地、西安金辉融宇房地产开发有限公司用地以西,西安利君精华药业有限责任公司用地以东</t>
    <phoneticPr fontId="143" type="noConversion"/>
  </si>
  <si>
    <t>未央区新行政中心以东、太华路北延伸线西侧</t>
    <phoneticPr fontId="143" type="noConversion"/>
  </si>
  <si>
    <t>大白杨东路以南,陕西金叶万润置业有限公司用地以北,陕西省送便电工程公司用地以东,陕西克力房地产开发有限责任公司用地以西</t>
    <phoneticPr fontId="143" type="noConversion"/>
  </si>
  <si>
    <r>
      <t>地块1、地块</t>
    </r>
    <r>
      <rPr>
        <sz val="11"/>
        <color theme="1"/>
        <rFont val="宋体"/>
        <family val="3"/>
        <charset val="134"/>
        <scheme val="minor"/>
      </rPr>
      <t>2</t>
    </r>
    <phoneticPr fontId="143" type="noConversion"/>
  </si>
  <si>
    <t>未央区凤城八路以南、西安核设备有限公司以西</t>
    <phoneticPr fontId="143" type="noConversion"/>
  </si>
  <si>
    <t>未央区尚华路以西、尚苑路以南</t>
    <phoneticPr fontId="143" type="noConversion"/>
  </si>
  <si>
    <t>住宅、商业</t>
  </si>
  <si>
    <t>住宅、商业</t>
    <phoneticPr fontId="31" type="noConversion"/>
  </si>
  <si>
    <t>主干道</t>
    <phoneticPr fontId="31" type="noConversion"/>
  </si>
  <si>
    <t>次干道</t>
  </si>
  <si>
    <t>次干道</t>
    <phoneticPr fontId="31" type="noConversion"/>
  </si>
  <si>
    <t>支路</t>
  </si>
  <si>
    <t>支路</t>
    <phoneticPr fontId="31" type="noConversion"/>
  </si>
  <si>
    <t>规则</t>
    <phoneticPr fontId="31" type="noConversion"/>
  </si>
  <si>
    <t>较规则</t>
  </si>
  <si>
    <t>较规则</t>
    <phoneticPr fontId="31" type="noConversion"/>
  </si>
  <si>
    <t>不规则</t>
  </si>
  <si>
    <t>不规则</t>
    <phoneticPr fontId="31" type="noConversion"/>
  </si>
  <si>
    <t>七通</t>
    <phoneticPr fontId="31" type="noConversion"/>
  </si>
  <si>
    <t>六通</t>
    <phoneticPr fontId="31" type="noConversion"/>
  </si>
  <si>
    <t>五通</t>
    <phoneticPr fontId="31" type="noConversion"/>
  </si>
  <si>
    <t>好</t>
    <phoneticPr fontId="31" type="noConversion"/>
  </si>
  <si>
    <t>好</t>
    <phoneticPr fontId="31" type="noConversion"/>
  </si>
  <si>
    <t>较好</t>
    <phoneticPr fontId="31" type="noConversion"/>
  </si>
  <si>
    <t>一般</t>
  </si>
  <si>
    <t>一般</t>
    <phoneticPr fontId="31" type="noConversion"/>
  </si>
  <si>
    <t>双面临街</t>
  </si>
  <si>
    <t>学府环路</t>
    <phoneticPr fontId="31" type="noConversion"/>
  </si>
  <si>
    <t>市政道路</t>
    <phoneticPr fontId="31" type="noConversion"/>
  </si>
  <si>
    <t>市政道路</t>
    <phoneticPr fontId="31" type="noConversion"/>
  </si>
  <si>
    <t>崇文路</t>
    <phoneticPr fontId="31" type="noConversion"/>
  </si>
  <si>
    <t>不临街</t>
  </si>
  <si>
    <t>成本法</t>
  </si>
  <si>
    <t>假设开发法</t>
  </si>
  <si>
    <t>板楼</t>
    <phoneticPr fontId="25" type="noConversion"/>
  </si>
  <si>
    <t>塔楼</t>
    <phoneticPr fontId="25" type="noConversion"/>
  </si>
  <si>
    <t>好</t>
  </si>
  <si>
    <t>好</t>
    <phoneticPr fontId="25" type="noConversion"/>
  </si>
  <si>
    <t>一般</t>
    <phoneticPr fontId="25"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</si>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</sst>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333333"/>
      <name val="Hiragino Sans GB"/>
      <family val="2"/>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1" xfId="0" applyFont="1" applyBorder="1">
      <alignment vertical="center"/>
    </xf>
    <xf numFmtId="0" fontId="0" fillId="0" borderId="1" xfId="0" applyBorder="1">
      <alignment vertical="center"/>
    </xf>
    <xf numFmtId="0" fontId="137" fillId="0" borderId="2" xfId="0" applyFont="1" applyBorder="1" applyAlignment="1" applyProtection="1">
      <alignment horizontal="center" vertical="center" wrapText="1"/>
      <protection locked="0"/>
    </xf>
    <xf numFmtId="0" fontId="99" fillId="0" borderId="1" xfId="0" applyFont="1" applyFill="1" applyBorder="1">
      <alignment vertical="center"/>
    </xf>
    <xf numFmtId="0" fontId="0" fillId="5" borderId="1" xfId="0" applyFill="1" applyBorder="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9" fontId="0" fillId="0" borderId="0" xfId="0" applyNumberFormat="1">
      <alignment vertical="center"/>
    </xf>
    <xf numFmtId="9" fontId="0" fillId="0" borderId="0" xfId="0" applyNumberFormat="1" applyFill="1" applyBorder="1">
      <alignment vertical="center"/>
    </xf>
    <xf numFmtId="10"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3" fontId="47" fillId="0" borderId="23" xfId="0" applyNumberFormat="1" applyFont="1" applyFill="1" applyBorder="1" applyAlignment="1" applyProtection="1">
      <alignment horizontal="center" vertical="center" wrapText="1"/>
      <protection locked="0"/>
    </xf>
    <xf numFmtId="3" fontId="47" fillId="0" borderId="3" xfId="0" applyNumberFormat="1" applyFont="1" applyFill="1" applyBorder="1" applyAlignment="1" applyProtection="1">
      <alignment horizontal="center" vertical="center" wrapText="1"/>
      <protection locked="0"/>
    </xf>
    <xf numFmtId="177" fontId="0" fillId="0" borderId="0" xfId="0" applyNumberFormat="1">
      <alignment vertical="center"/>
    </xf>
    <xf numFmtId="0" fontId="0" fillId="0" borderId="0" xfId="0" applyAlignment="1">
      <alignment horizontal="left"/>
    </xf>
    <xf numFmtId="0" fontId="99" fillId="0" borderId="0" xfId="0" applyFont="1" applyAlignment="1"/>
    <xf numFmtId="0" fontId="0" fillId="0" borderId="0" xfId="0" applyFont="1" applyAlignment="1"/>
    <xf numFmtId="0" fontId="0" fillId="5" borderId="0" xfId="0" applyFill="1" applyAlignment="1"/>
    <xf numFmtId="0" fontId="0" fillId="5" borderId="0" xfId="0" applyFill="1" applyAlignment="1">
      <alignment horizontal="left"/>
    </xf>
    <xf numFmtId="0" fontId="99" fillId="5" borderId="0" xfId="0" applyFont="1" applyFill="1" applyAlignment="1"/>
    <xf numFmtId="0" fontId="99" fillId="0" borderId="0" xfId="0" applyFont="1" applyFill="1" applyAlignment="1"/>
    <xf numFmtId="0" fontId="0" fillId="0" borderId="0" xfId="0" applyFill="1" applyAlignment="1"/>
    <xf numFmtId="0" fontId="0" fillId="0" borderId="0" xfId="0" applyFill="1" applyAlignment="1">
      <alignment horizontal="left"/>
    </xf>
    <xf numFmtId="0" fontId="99" fillId="5" borderId="0" xfId="0" applyFont="1" applyFill="1" applyAlignment="1">
      <alignment horizontal="left"/>
    </xf>
    <xf numFmtId="0" fontId="99" fillId="0" borderId="0" xfId="0" applyFont="1" applyFill="1" applyAlignment="1">
      <alignment horizontal="left"/>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86" fontId="53" fillId="18" borderId="52" xfId="0" applyNumberFormat="1" applyFont="1" applyFill="1" applyBorder="1" applyAlignment="1" applyProtection="1">
      <alignment vertical="center" wrapText="1"/>
    </xf>
    <xf numFmtId="177" fontId="56" fillId="18" borderId="1" xfId="1" applyNumberFormat="1" applyFont="1" applyFill="1" applyBorder="1" applyAlignment="1" applyProtection="1">
      <alignment horizontal="center"/>
      <protection locked="0"/>
    </xf>
    <xf numFmtId="0" fontId="57" fillId="18" borderId="24" xfId="1" applyFont="1" applyFill="1" applyBorder="1" applyAlignment="1" applyProtection="1">
      <alignment horizontal="left" vertical="center"/>
      <protection locked="0"/>
    </xf>
    <xf numFmtId="0" fontId="254" fillId="0" borderId="0" xfId="0" applyNumberFormat="1" applyFont="1">
      <alignment vertical="center"/>
    </xf>
    <xf numFmtId="0" fontId="47" fillId="18" borderId="5" xfId="0" applyFont="1" applyFill="1" applyBorder="1" applyAlignment="1" applyProtection="1">
      <alignment horizontal="center" vertical="center" wrapText="1"/>
    </xf>
    <xf numFmtId="186" fontId="105" fillId="18" borderId="13"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56" fillId="0" borderId="49" xfId="1" applyNumberFormat="1" applyFont="1" applyFill="1" applyBorder="1" applyAlignment="1" applyProtection="1">
      <alignment horizontal="center" vertical="center"/>
      <protection locked="0"/>
    </xf>
    <xf numFmtId="0" fontId="50" fillId="0"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8"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8" borderId="13" xfId="0" applyFont="1" applyFill="1" applyBorder="1" applyAlignment="1" applyProtection="1">
      <alignment horizontal="center" vertical="center"/>
      <protection locked="0"/>
    </xf>
    <xf numFmtId="0" fontId="47" fillId="18" borderId="15" xfId="0" applyFont="1" applyFill="1" applyBorder="1" applyAlignment="1" applyProtection="1">
      <alignment horizontal="center" vertical="center"/>
      <protection locked="0"/>
    </xf>
    <xf numFmtId="0" fontId="47" fillId="18"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56" xfId="0" applyFont="1" applyBorder="1" applyAlignment="1">
      <alignment horizontal="justify" vertical="center"/>
    </xf>
    <xf numFmtId="0" fontId="255" fillId="0" borderId="157" xfId="0" applyFont="1" applyBorder="1" applyAlignment="1">
      <alignment horizontal="justify"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36</xdr:row>
      <xdr:rowOff>133350</xdr:rowOff>
    </xdr:from>
    <xdr:to>
      <xdr:col>10</xdr:col>
      <xdr:colOff>198764</xdr:colOff>
      <xdr:row>69</xdr:row>
      <xdr:rowOff>142167</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 y="6305550"/>
          <a:ext cx="10095239" cy="5666667"/>
        </a:xfrm>
        <a:prstGeom prst="rect">
          <a:avLst/>
        </a:prstGeom>
      </xdr:spPr>
    </xdr:pic>
    <xdr:clientData/>
  </xdr:twoCellAnchor>
  <xdr:twoCellAnchor editAs="oneCell">
    <xdr:from>
      <xdr:col>0</xdr:col>
      <xdr:colOff>685800</xdr:colOff>
      <xdr:row>71</xdr:row>
      <xdr:rowOff>76200</xdr:rowOff>
    </xdr:from>
    <xdr:to>
      <xdr:col>10</xdr:col>
      <xdr:colOff>598771</xdr:colOff>
      <xdr:row>104</xdr:row>
      <xdr:rowOff>132636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2249150"/>
          <a:ext cx="10438096" cy="5714286"/>
        </a:xfrm>
        <a:prstGeom prst="rect">
          <a:avLst/>
        </a:prstGeom>
      </xdr:spPr>
    </xdr:pic>
    <xdr:clientData/>
  </xdr:twoCellAnchor>
  <xdr:twoCellAnchor editAs="oneCell">
    <xdr:from>
      <xdr:col>10</xdr:col>
      <xdr:colOff>1162050</xdr:colOff>
      <xdr:row>49</xdr:row>
      <xdr:rowOff>38100</xdr:rowOff>
    </xdr:from>
    <xdr:to>
      <xdr:col>16</xdr:col>
      <xdr:colOff>57150</xdr:colOff>
      <xdr:row>76</xdr:row>
      <xdr:rowOff>142875</xdr:rowOff>
    </xdr:to>
    <xdr:pic>
      <xdr:nvPicPr>
        <xdr:cNvPr id="4" name="图片 3" descr="http://5b0988e595225.cdn.sohucs.com/images/20190612/c426ee735b834cf4a295e3b1fb091cd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87175" y="8439150"/>
          <a:ext cx="5905500"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571500</xdr:colOff>
      <xdr:row>92</xdr:row>
      <xdr:rowOff>9525</xdr:rowOff>
    </xdr:from>
    <xdr:to>
      <xdr:col>20</xdr:col>
      <xdr:colOff>503791</xdr:colOff>
      <xdr:row>130</xdr:row>
      <xdr:rowOff>37283</xdr:rowOff>
    </xdr:to>
    <xdr:pic>
      <xdr:nvPicPr>
        <xdr:cNvPr id="5" name="图片 4"/>
        <xdr:cNvPicPr>
          <a:picLocks noChangeAspect="1"/>
        </xdr:cNvPicPr>
      </xdr:nvPicPr>
      <xdr:blipFill>
        <a:blip xmlns:r="http://schemas.openxmlformats.org/officeDocument/2006/relationships" r:embed="rId4"/>
        <a:stretch>
          <a:fillRect/>
        </a:stretch>
      </xdr:blipFill>
      <xdr:spPr>
        <a:xfrm>
          <a:off x="12506325" y="15782925"/>
          <a:ext cx="8276191" cy="6542858"/>
        </a:xfrm>
        <a:prstGeom prst="rect">
          <a:avLst/>
        </a:prstGeom>
      </xdr:spPr>
    </xdr:pic>
    <xdr:clientData/>
  </xdr:twoCellAnchor>
  <xdr:twoCellAnchor editAs="oneCell">
    <xdr:from>
      <xdr:col>0</xdr:col>
      <xdr:colOff>790575</xdr:colOff>
      <xdr:row>106</xdr:row>
      <xdr:rowOff>66675</xdr:rowOff>
    </xdr:from>
    <xdr:to>
      <xdr:col>10</xdr:col>
      <xdr:colOff>665451</xdr:colOff>
      <xdr:row>139</xdr:row>
      <xdr:rowOff>85016</xdr:rowOff>
    </xdr:to>
    <xdr:pic>
      <xdr:nvPicPr>
        <xdr:cNvPr id="6" name="图片 5"/>
        <xdr:cNvPicPr>
          <a:picLocks noChangeAspect="1"/>
        </xdr:cNvPicPr>
      </xdr:nvPicPr>
      <xdr:blipFill>
        <a:blip xmlns:r="http://schemas.openxmlformats.org/officeDocument/2006/relationships" r:embed="rId5"/>
        <a:stretch>
          <a:fillRect/>
        </a:stretch>
      </xdr:blipFill>
      <xdr:spPr>
        <a:xfrm>
          <a:off x="790575" y="18240375"/>
          <a:ext cx="10400001" cy="5676191"/>
        </a:xfrm>
        <a:prstGeom prst="rect">
          <a:avLst/>
        </a:prstGeom>
      </xdr:spPr>
    </xdr:pic>
    <xdr:clientData/>
  </xdr:twoCellAnchor>
  <xdr:twoCellAnchor editAs="oneCell">
    <xdr:from>
      <xdr:col>10</xdr:col>
      <xdr:colOff>1000125</xdr:colOff>
      <xdr:row>36</xdr:row>
      <xdr:rowOff>161925</xdr:rowOff>
    </xdr:from>
    <xdr:to>
      <xdr:col>16</xdr:col>
      <xdr:colOff>246868</xdr:colOff>
      <xdr:row>47</xdr:row>
      <xdr:rowOff>133118</xdr:rowOff>
    </xdr:to>
    <xdr:pic>
      <xdr:nvPicPr>
        <xdr:cNvPr id="7" name="图片 6"/>
        <xdr:cNvPicPr>
          <a:picLocks noChangeAspect="1"/>
        </xdr:cNvPicPr>
      </xdr:nvPicPr>
      <xdr:blipFill>
        <a:blip xmlns:r="http://schemas.openxmlformats.org/officeDocument/2006/relationships" r:embed="rId6"/>
        <a:stretch>
          <a:fillRect/>
        </a:stretch>
      </xdr:blipFill>
      <xdr:spPr>
        <a:xfrm>
          <a:off x="11525250" y="6334125"/>
          <a:ext cx="6257143" cy="1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85725</xdr:rowOff>
    </xdr:from>
    <xdr:to>
      <xdr:col>9</xdr:col>
      <xdr:colOff>637416</xdr:colOff>
      <xdr:row>29</xdr:row>
      <xdr:rowOff>142268</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57175"/>
          <a:ext cx="6076191"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1</xdr:row>
      <xdr:rowOff>57150</xdr:rowOff>
    </xdr:from>
    <xdr:to>
      <xdr:col>9</xdr:col>
      <xdr:colOff>332654</xdr:colOff>
      <xdr:row>32</xdr:row>
      <xdr:rowOff>123153</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28600"/>
          <a:ext cx="5771429" cy="53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1</xdr:row>
      <xdr:rowOff>133350</xdr:rowOff>
    </xdr:from>
    <xdr:to>
      <xdr:col>13</xdr:col>
      <xdr:colOff>170409</xdr:colOff>
      <xdr:row>38</xdr:row>
      <xdr:rowOff>103986</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304800"/>
          <a:ext cx="8333334" cy="6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199;&#23433;&#21271;&#21306;&#26410;&#23436;&#240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19.9/&#39044;&#35780;/&#35199;&#23433;&#40857;&#35760;/&#36807;&#31243;/&#21335;&#21306;/&#23545;&#20844;&#20107;&#19994;&#37096;&#8212;&#30005;&#31639;&#34920;-&#25151;&#22320;&#20135;-&#40857;&#35760;&#21335;&#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成本法"/>
      <sheetName val="成本法 (元)"/>
      <sheetName val="结果表"/>
      <sheetName val="土地比较法-住宅、综合"/>
      <sheetName val="土地案例"/>
      <sheetName val="假设开发法"/>
      <sheetName val="收益法"/>
      <sheetName val="收益法 (元)"/>
      <sheetName val="收益法（汇总）"/>
      <sheetName val="酒店收入计算"/>
      <sheetName val="比较法-住宅"/>
      <sheetName val="住宅案例"/>
      <sheetName val="比较法-商业"/>
      <sheetName val="比较法-办公"/>
      <sheetName val="比较法-工业"/>
      <sheetName val="比较法-车位"/>
      <sheetName val="比较法-仓储"/>
      <sheetName val="商业案例"/>
      <sheetName val="比较法-公寓"/>
      <sheetName val="公寓案例"/>
      <sheetName val="收益法-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E5">
            <v>33595</v>
          </cell>
        </row>
        <row r="6">
          <cell r="E6">
            <v>19200</v>
          </cell>
        </row>
        <row r="17">
          <cell r="E17">
            <v>8691.91</v>
          </cell>
        </row>
        <row r="18">
          <cell r="E18">
            <v>8568.81</v>
          </cell>
        </row>
        <row r="19">
          <cell r="E19">
            <v>5789.62</v>
          </cell>
        </row>
        <row r="20">
          <cell r="E20">
            <v>23050.34</v>
          </cell>
        </row>
        <row r="22">
          <cell r="E22">
            <v>20200.23</v>
          </cell>
        </row>
      </sheetData>
      <sheetData sheetId="14"/>
      <sheetData sheetId="15"/>
      <sheetData sheetId="16"/>
      <sheetData sheetId="17">
        <row r="14">
          <cell r="B14">
            <v>28898.789999999997</v>
          </cell>
          <cell r="C14">
            <v>5507</v>
          </cell>
          <cell r="D14">
            <v>14257</v>
          </cell>
        </row>
      </sheetData>
      <sheetData sheetId="18"/>
      <sheetData sheetId="19"/>
      <sheetData sheetId="20"/>
      <sheetData sheetId="21">
        <row r="48">
          <cell r="C48">
            <v>4114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高层"/>
      <sheetName val="比较法-洋房"/>
      <sheetName val="比较法-联排"/>
      <sheetName val="比较法-商业 (2)"/>
      <sheetName val="比较法-商业"/>
      <sheetName val="比较法-办公"/>
      <sheetName val="比较法-工业"/>
      <sheetName val="比较法-车位"/>
      <sheetName val="比较法-仓储"/>
      <sheetName val="商业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
          <cell r="E6">
            <v>9893.5612272382405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估价对象为出让国有建设用地使用权及在建建筑物房地产，为所有。根据《国有土地使用证》[]，估价对象（分摊）出让国有建设用地使用权面积为3519.75平方米，建筑面积为18470.39平方米。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3519.75平方米，规划建筑面积为18470.39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2019年9月6日（评估专业人员实地查勘之日）</v>
      </c>
    </row>
    <row r="13" spans="1:2" s="1591" customFormat="1">
      <c r="A13" s="1589" t="s">
        <v>1223</v>
      </c>
      <c r="B13" s="1590" t="str">
        <f>'预评函-1'!A18</f>
        <v>本次估价的“房地产价值”是指在正常市场情况下，在价值时点2019年9月6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23793</v>
      </c>
    </row>
    <row r="21" spans="1:2" s="1591" customFormat="1">
      <c r="A21" s="1589" t="s">
        <v>1231</v>
      </c>
      <c r="B21" s="1590">
        <f ca="1">'预评函-2'!D7</f>
        <v>12882</v>
      </c>
    </row>
    <row r="22" spans="1:2" s="1591" customFormat="1">
      <c r="A22" s="1589" t="s">
        <v>1232</v>
      </c>
      <c r="B22" s="1590" t="str">
        <f ca="1">'预评函-2'!D6</f>
        <v>贰亿叁仟柒佰玖拾叁万元整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23793</v>
      </c>
    </row>
    <row r="31" spans="1:2" s="1591" customFormat="1">
      <c r="A31" s="1589" t="s">
        <v>1270</v>
      </c>
      <c r="B31" s="1590">
        <f ca="1">'预评函-2'!D15</f>
        <v>12882</v>
      </c>
    </row>
    <row r="32" spans="1:2" s="1591" customFormat="1">
      <c r="A32" s="1589" t="s">
        <v>1237</v>
      </c>
      <c r="B32" s="1590" t="str">
        <f ca="1">'预评函-2'!D14</f>
        <v>贰亿叁仟柒佰玖拾叁万元整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18470.39</v>
      </c>
    </row>
    <row r="44" spans="1:2" s="1591" customFormat="1">
      <c r="A44" s="1589" t="s">
        <v>1269</v>
      </c>
      <c r="B44" s="1590" t="str">
        <f>'预评函-3'!C2</f>
        <v>(分摊)土地面积</v>
      </c>
    </row>
    <row r="45" spans="1:2" s="1591" customFormat="1">
      <c r="A45" s="1589" t="s">
        <v>1241</v>
      </c>
      <c r="B45" s="1590">
        <f>'预评函-3'!C4</f>
        <v>3519.75</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3153</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6"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6"/>
      <c r="B54" s="2019" t="s">
        <v>861</v>
      </c>
      <c r="C54" s="2016" t="s">
        <v>1277</v>
      </c>
    </row>
    <row r="55" spans="1:4">
      <c r="A55" s="3056"/>
      <c r="B55" s="2019" t="s">
        <v>862</v>
      </c>
      <c r="C55" s="2016" t="s">
        <v>1278</v>
      </c>
    </row>
    <row r="56" spans="1:4">
      <c r="A56" s="3056"/>
      <c r="B56" s="2019" t="s">
        <v>863</v>
      </c>
      <c r="C56" s="2016" t="s">
        <v>1282</v>
      </c>
    </row>
    <row r="57" spans="1:4">
      <c r="A57" s="3056"/>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3" sqref="F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57" t="str">
        <f>IF(B10="北京市","北京市",C10)&amp;F10&amp;IF(结果表!G1="在建","出让国有建设用地使用权及在建建筑物",IF(结果表!G1="土地","出让国有建设用地使用权",))&amp;B9&amp;"预评估"</f>
        <v>出让国有建设用地使用权及在建建筑物房地产抵押价值预评估</v>
      </c>
      <c r="C1" s="3058"/>
      <c r="D1" s="3058"/>
      <c r="E1" s="3058"/>
      <c r="F1" s="3058"/>
      <c r="G1" s="3058"/>
      <c r="H1" s="3058"/>
      <c r="I1" s="3059"/>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1773</v>
      </c>
      <c r="B3" s="2033">
        <v>43714</v>
      </c>
      <c r="C3" s="2034" t="s">
        <v>1774</v>
      </c>
      <c r="D3" s="2033">
        <f>B3</f>
        <v>43714</v>
      </c>
      <c r="E3" s="2023"/>
      <c r="F3" s="2023"/>
      <c r="G3" s="2023"/>
      <c r="H3" s="2023"/>
      <c r="I3" s="2023"/>
      <c r="J3" s="2023"/>
      <c r="K3" s="2024"/>
      <c r="L3" s="2025"/>
      <c r="M3" s="2025"/>
      <c r="N3" s="2026"/>
      <c r="O3" s="2027"/>
      <c r="P3" s="2026"/>
      <c r="Q3" s="2026"/>
      <c r="R3" s="2026"/>
      <c r="S3" s="2028"/>
    </row>
    <row r="4" spans="1:19" ht="18" customHeight="1" thickBot="1">
      <c r="A4" s="2035" t="s">
        <v>1775</v>
      </c>
      <c r="B4" s="2036"/>
      <c r="C4" s="1036">
        <f>SUMIF(注册房地产估价师,B4,估价师及机构信息!B3:B24)</f>
        <v>0</v>
      </c>
      <c r="D4" s="2036"/>
      <c r="E4" s="1037">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3056</v>
      </c>
      <c r="C8" s="2053"/>
      <c r="D8" s="3060" t="s">
        <v>1780</v>
      </c>
      <c r="E8" s="2054" t="s">
        <v>3057</v>
      </c>
      <c r="F8" s="2055"/>
      <c r="G8" s="2023"/>
      <c r="H8" s="2023"/>
      <c r="I8" s="2023"/>
      <c r="J8" s="2039"/>
      <c r="K8" s="2040"/>
      <c r="L8" s="2025"/>
      <c r="M8" s="2025"/>
      <c r="N8" s="2026"/>
      <c r="O8" s="2027"/>
      <c r="P8" s="2026"/>
      <c r="Q8" s="2026"/>
      <c r="R8" s="2026"/>
    </row>
    <row r="9" spans="1:19" ht="18" customHeight="1" thickBot="1">
      <c r="A9" s="2037" t="s">
        <v>1781</v>
      </c>
      <c r="B9" s="2056" t="s">
        <v>3057</v>
      </c>
      <c r="C9" s="2057"/>
      <c r="D9" s="3061"/>
      <c r="E9" s="2056"/>
      <c r="F9" s="2058"/>
      <c r="G9" s="2059"/>
      <c r="H9" s="2059"/>
      <c r="I9" s="2059"/>
      <c r="J9" s="2039"/>
      <c r="K9" s="2051"/>
      <c r="L9" s="2025"/>
      <c r="M9" s="2025"/>
      <c r="N9" s="2026"/>
      <c r="O9" s="2027"/>
      <c r="P9" s="2026"/>
      <c r="Q9" s="2026"/>
      <c r="R9" s="2026"/>
    </row>
    <row r="10" spans="1:19" ht="18" customHeight="1" thickTop="1">
      <c r="A10" s="2060" t="s">
        <v>1782</v>
      </c>
      <c r="B10" s="2061" t="s">
        <v>3058</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3060</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v>67463</v>
      </c>
      <c r="E13" s="2077">
        <v>56505</v>
      </c>
      <c r="F13" s="2077"/>
      <c r="G13" s="2077"/>
      <c r="H13" s="2077"/>
      <c r="I13" s="1046"/>
      <c r="J13" s="2039"/>
      <c r="K13" s="2051"/>
      <c r="L13" s="2025"/>
      <c r="M13" s="2025"/>
      <c r="N13" s="2026"/>
      <c r="O13" s="2027"/>
      <c r="P13" s="2026"/>
      <c r="Q13" s="2026"/>
      <c r="R13" s="2026"/>
    </row>
    <row r="14" spans="1:19" ht="18" customHeight="1">
      <c r="A14" s="2074"/>
      <c r="B14" s="2075"/>
      <c r="C14" s="2076" t="s">
        <v>1794</v>
      </c>
      <c r="D14" s="1049">
        <v>70</v>
      </c>
      <c r="E14" s="1049">
        <v>40</v>
      </c>
      <c r="F14" s="1049"/>
      <c r="G14" s="1049"/>
      <c r="H14" s="1049"/>
      <c r="I14" s="1049"/>
      <c r="J14" s="2039"/>
      <c r="K14" s="2078"/>
      <c r="L14" s="2025"/>
      <c r="M14" s="2025"/>
      <c r="N14" s="2026"/>
      <c r="O14" s="2027"/>
      <c r="P14" s="2026"/>
      <c r="Q14" s="2026"/>
      <c r="R14" s="2026"/>
    </row>
    <row r="15" spans="1:19" ht="18" customHeight="1">
      <c r="A15" s="2060"/>
      <c r="B15" s="2079"/>
      <c r="C15" s="2076" t="s">
        <v>1795</v>
      </c>
      <c r="D15" s="1048">
        <f>IF(B12="出让",IF(D13="","",ROUNDDOWN(MIN((D13-$D$3)/365,D14),2)),D14)</f>
        <v>65.06</v>
      </c>
      <c r="E15" s="1048">
        <f>IF(B12="出让",IF(E13="","",ROUNDDOWN(MIN((E13-$D$3)/365,E14),2)),E14)</f>
        <v>35.04</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80"/>
      <c r="L15" s="2081"/>
      <c r="M15" s="2081"/>
      <c r="N15" s="2082"/>
      <c r="O15" s="2081"/>
      <c r="P15" s="2082"/>
      <c r="Q15" s="2026"/>
      <c r="R15" s="2026"/>
    </row>
    <row r="16" spans="1:19" ht="30.75" customHeight="1">
      <c r="A16" s="2063" t="s">
        <v>1796</v>
      </c>
      <c r="B16" s="3067"/>
      <c r="C16" s="3068"/>
      <c r="D16" s="3069"/>
      <c r="E16" s="2083" t="s">
        <v>1797</v>
      </c>
      <c r="F16" s="3070"/>
      <c r="G16" s="3071"/>
      <c r="H16" s="3071"/>
      <c r="I16" s="3072"/>
      <c r="J16" s="2026"/>
      <c r="K16" s="2080"/>
      <c r="L16" s="2081"/>
      <c r="M16" s="2081"/>
      <c r="N16" s="2082"/>
      <c r="O16" s="2081"/>
      <c r="P16" s="2082"/>
      <c r="Q16" s="2026"/>
      <c r="R16" s="2026"/>
    </row>
    <row r="17" spans="1:22" ht="18" customHeight="1">
      <c r="A17" s="2084" t="s">
        <v>1798</v>
      </c>
      <c r="B17" s="2032" t="s">
        <v>1799</v>
      </c>
      <c r="C17" s="1053">
        <f>'数据-汇总表'!E3</f>
        <v>18470.39</v>
      </c>
      <c r="D17" s="2085" t="s">
        <v>1800</v>
      </c>
      <c r="E17" s="3073" t="s">
        <v>1801</v>
      </c>
      <c r="F17" s="3074"/>
      <c r="G17" s="3074"/>
      <c r="H17" s="3074"/>
      <c r="I17" s="3075"/>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3519.75</v>
      </c>
      <c r="D18" s="2088" t="s">
        <v>1800</v>
      </c>
      <c r="E18" s="3076" t="s">
        <v>1804</v>
      </c>
      <c r="F18" s="3077"/>
      <c r="G18" s="3077"/>
      <c r="H18" s="3077"/>
      <c r="I18" s="3078"/>
      <c r="J18" s="2026"/>
      <c r="K18" s="2086"/>
      <c r="L18" s="2081"/>
      <c r="M18" s="2081"/>
      <c r="N18" s="2082"/>
      <c r="O18" s="2081"/>
      <c r="P18" s="2082"/>
      <c r="Q18" s="2026"/>
      <c r="R18" s="2026"/>
      <c r="S18" s="2026"/>
      <c r="T18" s="2026"/>
      <c r="U18" s="2026"/>
      <c r="V18" s="2026"/>
    </row>
    <row r="19" spans="1:22" ht="37.5" customHeight="1" thickTop="1" thickBot="1">
      <c r="A19" s="372" t="s">
        <v>1805</v>
      </c>
      <c r="B19" s="351"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63" t="s">
        <v>1809</v>
      </c>
      <c r="C20" s="3064"/>
      <c r="D20" s="3065" t="s">
        <v>1810</v>
      </c>
      <c r="E20" s="3066"/>
      <c r="F20" s="2095" t="s">
        <v>1811</v>
      </c>
      <c r="G20" s="2039"/>
      <c r="H20" s="2039"/>
      <c r="I20" s="2039"/>
      <c r="J20" s="2039"/>
      <c r="K20" s="3062"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6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6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2" t="s">
        <v>1819</v>
      </c>
      <c r="C23" s="2104"/>
      <c r="D23" s="2105" t="s">
        <v>1819</v>
      </c>
      <c r="E23" s="2106"/>
      <c r="F23" s="2102"/>
      <c r="G23" s="2039"/>
      <c r="H23" s="2039"/>
      <c r="I23" s="2039"/>
      <c r="J23" s="2039"/>
      <c r="K23" s="2107"/>
      <c r="L23" s="747"/>
      <c r="M23" s="2025"/>
      <c r="N23" s="2082"/>
      <c r="O23" s="2081"/>
      <c r="P23" s="2082"/>
      <c r="Q23" s="2026"/>
      <c r="R23" s="2026"/>
      <c r="S23" s="2026"/>
      <c r="T23" s="2026"/>
      <c r="U23" s="2026"/>
      <c r="V23" s="2026"/>
    </row>
    <row r="24" spans="1:22" ht="18" customHeight="1">
      <c r="A24" s="2108"/>
      <c r="B24" s="182" t="s">
        <v>1820</v>
      </c>
      <c r="C24" s="2109"/>
      <c r="D24" s="2103" t="s">
        <v>1820</v>
      </c>
      <c r="E24" s="2110"/>
      <c r="F24" s="2102"/>
      <c r="G24" s="2039"/>
      <c r="H24" s="2039"/>
      <c r="I24" s="2039"/>
      <c r="J24" s="2039"/>
      <c r="K24" s="2107"/>
      <c r="L24" s="747"/>
      <c r="M24" s="2025"/>
      <c r="N24" s="2082"/>
      <c r="O24" s="2081"/>
      <c r="P24" s="2082"/>
      <c r="Q24" s="2026"/>
      <c r="R24" s="2026"/>
      <c r="S24" s="2026"/>
      <c r="T24" s="2026"/>
      <c r="U24" s="2026"/>
      <c r="V24" s="2026"/>
    </row>
    <row r="25" spans="1:22" ht="18" customHeight="1">
      <c r="A25" s="2108"/>
      <c r="B25" s="182"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80"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80"/>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80"/>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81"/>
      <c r="B30" s="2032" t="s">
        <v>1828</v>
      </c>
      <c r="C30" s="3082"/>
      <c r="D30" s="3083"/>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84"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85"/>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85"/>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79" t="s">
        <v>1838</v>
      </c>
      <c r="T34" s="2132" t="str">
        <f>NUMBERSTRING(7-K34,1)&amp;"通"</f>
        <v>七通</v>
      </c>
      <c r="U34" s="2026"/>
      <c r="V34" s="2026"/>
    </row>
    <row r="35" spans="1:22" ht="18" customHeight="1">
      <c r="A35" s="2133"/>
      <c r="B35" s="3086" t="s">
        <v>1839</v>
      </c>
      <c r="C35" s="3086"/>
      <c r="D35" s="3086"/>
      <c r="E35" s="3086"/>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9"/>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5"/>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hidden="1" customWidth="1"/>
    <col min="11" max="11" width="11" style="2157" customWidth="1"/>
    <col min="12" max="12" width="9.5" style="2157" hidden="1" customWidth="1"/>
    <col min="13" max="13" width="9.5" style="2157" customWidth="1"/>
    <col min="14" max="14" width="9.5" style="2157" hidden="1" customWidth="1"/>
    <col min="15" max="15" width="9.875" style="2157" customWidth="1"/>
    <col min="16" max="16" width="9.75" style="2157" hidden="1"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面积表!J6</f>
        <v>48643.89</v>
      </c>
      <c r="B3" s="14">
        <f>IF(C3="否",G5-AT5,G5)</f>
        <v>255265.94</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255265.94</v>
      </c>
      <c r="H5" s="16">
        <f t="shared" ref="H5:AT5" si="0">SUM(H13:H656)</f>
        <v>255265.94</v>
      </c>
      <c r="I5" s="16">
        <f t="shared" si="0"/>
        <v>147850</v>
      </c>
      <c r="J5" s="16">
        <f t="shared" si="0"/>
        <v>0</v>
      </c>
      <c r="K5" s="16">
        <f t="shared" si="0"/>
        <v>52795.000000000007</v>
      </c>
      <c r="L5" s="16">
        <f t="shared" si="0"/>
        <v>0</v>
      </c>
      <c r="M5" s="16">
        <f t="shared" si="0"/>
        <v>54620.94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18470.39</v>
      </c>
      <c r="BA5" s="18">
        <f t="shared" si="1"/>
        <v>18470.39</v>
      </c>
      <c r="BB5" s="18">
        <f t="shared" si="1"/>
        <v>1209.67</v>
      </c>
      <c r="BC5" s="18">
        <f t="shared" si="1"/>
        <v>17260.72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48643.88</v>
      </c>
      <c r="F6" s="16" t="s">
        <v>1</v>
      </c>
      <c r="G6" s="16" t="s">
        <v>2</v>
      </c>
      <c r="H6" s="20">
        <f>SUMIF(I$12:AB$12,"总值",I6:AB6)</f>
        <v>48643.88</v>
      </c>
      <c r="I6" s="16">
        <f t="shared" ref="I6:AB6" si="2">ROUND($A$3*I5/$B$3,2)</f>
        <v>28174.53</v>
      </c>
      <c r="J6" s="16">
        <f t="shared" si="2"/>
        <v>0</v>
      </c>
      <c r="K6" s="16">
        <f t="shared" si="2"/>
        <v>10060.700000000001</v>
      </c>
      <c r="L6" s="16">
        <f t="shared" si="2"/>
        <v>0</v>
      </c>
      <c r="M6" s="16">
        <f t="shared" si="2"/>
        <v>10408.65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3519.75</v>
      </c>
      <c r="AZ6" s="16" t="s">
        <v>3</v>
      </c>
      <c r="BA6" s="16">
        <f>ROUND($AY$6*BA5/$AZ$5,2)</f>
        <v>3519.75</v>
      </c>
      <c r="BB6" s="16">
        <f>ROUND($AY$6*BB5/$AZ$5,2)</f>
        <v>230.52</v>
      </c>
      <c r="BC6" s="16">
        <f t="shared" ref="BC6:BH6" si="4">ROUND($AY$6*BC5/$AZ$5,2)</f>
        <v>3289.23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80" t="s">
        <v>1890</v>
      </c>
      <c r="AD8" s="2186"/>
      <c r="AE8" s="2178"/>
      <c r="AF8" s="1816"/>
      <c r="AG8" s="1816"/>
      <c r="AH8" s="1816"/>
      <c r="AI8" s="1816"/>
      <c r="AJ8" s="1816"/>
      <c r="AK8" s="1816"/>
      <c r="AL8" s="1816"/>
      <c r="AM8" s="1816"/>
      <c r="AN8" s="1816"/>
      <c r="AO8" s="1816"/>
      <c r="AP8" s="1816"/>
      <c r="AQ8" s="1816"/>
      <c r="AR8" s="1816"/>
      <c r="AS8" s="1816"/>
      <c r="AT8" s="1291" t="s">
        <v>1891</v>
      </c>
      <c r="AU8" s="2180" t="s">
        <v>1892</v>
      </c>
      <c r="AV8" s="1291"/>
      <c r="AW8" s="2163"/>
      <c r="AX8" s="1291"/>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1"/>
      <c r="H9" s="2188" t="s">
        <v>1895</v>
      </c>
      <c r="I9" s="2189" t="s">
        <v>3090</v>
      </c>
      <c r="J9" s="980"/>
      <c r="K9" s="2189" t="s">
        <v>3090</v>
      </c>
      <c r="L9" s="980"/>
      <c r="M9" s="2189" t="s">
        <v>3068</v>
      </c>
      <c r="N9" s="980"/>
      <c r="O9" s="2189"/>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6"/>
      <c r="BN9" s="2183"/>
      <c r="BO9" s="1816"/>
      <c r="BP9" s="1816"/>
      <c r="BQ9" s="1816"/>
      <c r="BR9" s="1816"/>
      <c r="BS9" s="1816"/>
      <c r="BT9" s="26"/>
    </row>
    <row r="10" spans="1:72" s="2187" customFormat="1" ht="12.75">
      <c r="A10" s="2180"/>
      <c r="B10" s="2180"/>
      <c r="C10" s="2180"/>
      <c r="D10" s="2180"/>
      <c r="E10" s="2180"/>
      <c r="F10" s="2180"/>
      <c r="G10" s="1291"/>
      <c r="H10" s="28"/>
      <c r="I10" s="2189" t="s">
        <v>3061</v>
      </c>
      <c r="J10" s="980"/>
      <c r="K10" s="2195" t="s">
        <v>1373</v>
      </c>
      <c r="L10" s="980"/>
      <c r="M10" s="2195" t="s">
        <v>3098</v>
      </c>
      <c r="N10" s="980"/>
      <c r="O10" s="2195"/>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1"/>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1"/>
      <c r="AW11" s="2163"/>
      <c r="AX11" s="1291"/>
      <c r="AY11" s="28"/>
      <c r="AZ11" s="28"/>
      <c r="BA11" s="28"/>
      <c r="BB11" s="2185" t="str">
        <f>I10</f>
        <v>住宅</v>
      </c>
      <c r="BC11" s="2185" t="str">
        <f>K10</f>
        <v>商业</v>
      </c>
      <c r="BD11" s="2185" t="str">
        <f>M10</f>
        <v>车库</v>
      </c>
      <c r="BE11" s="2185">
        <f>O10</f>
        <v>0</v>
      </c>
      <c r="BF11" s="2185">
        <f>Q10</f>
        <v>0</v>
      </c>
      <c r="BG11" s="2185">
        <f>S10</f>
        <v>0</v>
      </c>
      <c r="BH11" s="2185">
        <f>U10</f>
        <v>0</v>
      </c>
      <c r="BI11" s="2185">
        <f>W10</f>
        <v>0</v>
      </c>
      <c r="BJ11" s="2185">
        <f>Y10</f>
        <v>0</v>
      </c>
      <c r="BK11" s="2185">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25.5">
      <c r="A13" s="1271"/>
      <c r="B13" s="1271"/>
      <c r="C13" s="2954" t="s">
        <v>3087</v>
      </c>
      <c r="D13" s="2211" t="s">
        <v>3091</v>
      </c>
      <c r="E13" s="16">
        <f>IF($C$3="是",ROUND($A$3*G13/$B$3,2),ROUND($A$3*(G13-AT13)/$B$3,2))</f>
        <v>230.52</v>
      </c>
      <c r="F13" s="32"/>
      <c r="G13" s="33">
        <f>H13+AC13+AT13</f>
        <v>1209.67</v>
      </c>
      <c r="H13" s="20">
        <f>SUMIF(I$12:AB$12,"总值",I13:AB13)</f>
        <v>1209.67</v>
      </c>
      <c r="I13" s="2212">
        <f>面积表!E16</f>
        <v>1209.67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地上住宅可抵押</v>
      </c>
      <c r="AY13" s="1804">
        <f>ROUND($AY$6*AZ13/$AZ$5,2)</f>
        <v>230.52</v>
      </c>
      <c r="AZ13" s="16">
        <f>BA13+BL13</f>
        <v>1209.67</v>
      </c>
      <c r="BA13" s="16">
        <f>SUM(BB13:BK13)</f>
        <v>1209.67</v>
      </c>
      <c r="BB13" s="16">
        <f>IF($D13="是",I13-J13,0)</f>
        <v>1209.67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5.5">
      <c r="A14" s="1271"/>
      <c r="B14" s="1271"/>
      <c r="C14" s="2955" t="s">
        <v>3088</v>
      </c>
      <c r="D14" s="2211" t="s">
        <v>3092</v>
      </c>
      <c r="E14" s="16">
        <f>IF($C$3="是",ROUND($A$3*G14/$B$3,2),ROUND($A$3*(G14-AT14)/$B$3,2))</f>
        <v>27944.02</v>
      </c>
      <c r="F14" s="32"/>
      <c r="G14" s="33">
        <f>H14+AC14+AT14</f>
        <v>146640.32999999999</v>
      </c>
      <c r="H14" s="20">
        <f>SUMIF(I$12:AB$12,"总值",I14:AB14)</f>
        <v>146640.32999999999</v>
      </c>
      <c r="I14" s="2212">
        <f>面积表!E4-面积表!E16</f>
        <v>146640.32999999999</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地上住宅不可抵押</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25.5">
      <c r="A15" s="1271"/>
      <c r="B15" s="1271"/>
      <c r="C15" s="2955" t="s">
        <v>3160</v>
      </c>
      <c r="D15" s="2211" t="s">
        <v>3091</v>
      </c>
      <c r="E15" s="16">
        <f>IF($C$3="是",ROUND($A$3*G15/$B$3,2),ROUND($A$3*(G15-AT15)/$B$3,2))</f>
        <v>3289.23</v>
      </c>
      <c r="F15" s="32"/>
      <c r="G15" s="33">
        <f>H15+AC15+AT15</f>
        <v>17260.72</v>
      </c>
      <c r="H15" s="20">
        <f>SUMIF(I$12:AB$12,"总值",I15:AB15)</f>
        <v>17260.72</v>
      </c>
      <c r="I15" s="2212"/>
      <c r="J15" s="2212"/>
      <c r="K15" s="2212">
        <f>[1]面积表!E17+[1]面积表!E18</f>
        <v>17260.72</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地上商业可抵押A4+B3</v>
      </c>
      <c r="AY15" s="1804">
        <f>ROUND($AY$6*AZ15/$AZ$5,2)</f>
        <v>3289.23</v>
      </c>
      <c r="AZ15" s="16">
        <f>BA15+BL15</f>
        <v>17260.72</v>
      </c>
      <c r="BA15" s="16">
        <f>SUM(BB15:BK15)</f>
        <v>17260.72</v>
      </c>
      <c r="BB15" s="16">
        <f>IF($D15="是",I15-J15,0)</f>
        <v>0</v>
      </c>
      <c r="BC15" s="16">
        <f>IF($D15="是",K15-L15,0)</f>
        <v>17260.72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25.5">
      <c r="A16" s="1271"/>
      <c r="B16" s="1271"/>
      <c r="C16" s="2955" t="s">
        <v>3089</v>
      </c>
      <c r="D16" s="2211" t="s">
        <v>3092</v>
      </c>
      <c r="E16" s="16">
        <f>IF($C$3="是",ROUND($A$3*G16/$B$3,2),ROUND($A$3*(G16-AT16)/$B$3,2))</f>
        <v>1818.8</v>
      </c>
      <c r="F16" s="32"/>
      <c r="G16" s="33">
        <f>H16+AC16+AT16</f>
        <v>9544.43</v>
      </c>
      <c r="H16" s="20">
        <f>SUMIF(I$12:AB$12,"总值",I16:AB16)</f>
        <v>9544.43</v>
      </c>
      <c r="I16" s="2212"/>
      <c r="J16" s="2212"/>
      <c r="K16" s="2212">
        <f>[1]面积表!E5+[1]面积表!E6-[1]面积表!E20-[1]面积表!E22</f>
        <v>9544.43</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地上商业不可抵押</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25.5">
      <c r="A17" s="1271"/>
      <c r="B17" s="1271"/>
      <c r="C17" s="2955" t="s">
        <v>3093</v>
      </c>
      <c r="D17" s="2211" t="s">
        <v>3092</v>
      </c>
      <c r="E17" s="16">
        <f>IF($C$3="是",ROUND($A$3*G17/$B$3,2),ROUND($A$3*(G17-AT17)/$B$3,2))</f>
        <v>3849.39</v>
      </c>
      <c r="F17" s="32"/>
      <c r="G17" s="33">
        <f>H17+AC17+AT17</f>
        <v>20200.23</v>
      </c>
      <c r="H17" s="20">
        <f>SUMIF(I$12:AB$12,"总值",I17:AB17)</f>
        <v>20200.23</v>
      </c>
      <c r="I17" s="2212"/>
      <c r="J17" s="2212"/>
      <c r="K17" s="2212">
        <f>[1]面积表!E22</f>
        <v>20200.23</v>
      </c>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地上公寓可抵押</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8" t="s">
        <v>3099</v>
      </c>
      <c r="D18" s="2216" t="s">
        <v>3092</v>
      </c>
      <c r="E18" s="35">
        <f t="shared" ref="E18:E112" si="7">IF($C$3="是",ROUND($A$3*G18/$B$3,2),ROUND($A$3*(G18-AT18)/$B$3,2))</f>
        <v>554.33000000000004</v>
      </c>
      <c r="F18" s="36"/>
      <c r="G18" s="37">
        <f t="shared" ref="G18:G109" si="8">H18+AC18+AT18</f>
        <v>2908.94</v>
      </c>
      <c r="H18" s="38">
        <f t="shared" ref="H18:H109" si="9">SUMIF(I$12:AB$12,"总值",I18:AB18)</f>
        <v>2908.94</v>
      </c>
      <c r="I18" s="39"/>
      <c r="J18" s="39"/>
      <c r="K18" s="39"/>
      <c r="L18" s="39"/>
      <c r="M18" s="39">
        <v>2908.94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t="str">
        <f t="shared" ref="AX18:AX112" si="13">C18</f>
        <v>地下车库可抵押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8" t="s">
        <v>3100</v>
      </c>
      <c r="D19" s="2216" t="s">
        <v>3092</v>
      </c>
      <c r="E19" s="35">
        <f t="shared" si="7"/>
        <v>9854.32</v>
      </c>
      <c r="F19" s="36"/>
      <c r="G19" s="37">
        <f t="shared" si="8"/>
        <v>51712</v>
      </c>
      <c r="H19" s="38">
        <f t="shared" si="9"/>
        <v>51712</v>
      </c>
      <c r="I19" s="39"/>
      <c r="J19" s="39"/>
      <c r="K19" s="39"/>
      <c r="L19" s="39"/>
      <c r="M19" s="39">
        <v>51712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t="str">
        <f t="shared" si="13"/>
        <v>地下车库不可抵押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3161</v>
      </c>
      <c r="D20" s="2216" t="s">
        <v>3092</v>
      </c>
      <c r="E20" s="35">
        <f t="shared" si="7"/>
        <v>1103.28</v>
      </c>
      <c r="F20" s="36"/>
      <c r="G20" s="37">
        <f t="shared" si="8"/>
        <v>5789.62</v>
      </c>
      <c r="H20" s="38">
        <f t="shared" si="9"/>
        <v>5789.62</v>
      </c>
      <c r="I20" s="39"/>
      <c r="J20" s="39"/>
      <c r="K20" s="39">
        <f>[1]面积表!E19</f>
        <v>5789.62</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t="str">
        <f t="shared" si="13"/>
        <v>地上A5商业</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5"/>
  <sheetViews>
    <sheetView workbookViewId="0">
      <selection activeCell="E17" sqref="E17:E18"/>
    </sheetView>
  </sheetViews>
  <sheetFormatPr defaultRowHeight="13.5"/>
  <cols>
    <col min="2" max="2" width="11" bestFit="1" customWidth="1"/>
    <col min="9" max="9" width="13" bestFit="1" customWidth="1"/>
  </cols>
  <sheetData>
    <row r="3" spans="2:10">
      <c r="B3" s="3089" t="s">
        <v>3094</v>
      </c>
      <c r="C3" s="2956" t="s">
        <v>3065</v>
      </c>
      <c r="D3" s="2956" t="s">
        <v>3063</v>
      </c>
      <c r="E3" s="2956" t="s">
        <v>3064</v>
      </c>
      <c r="H3" s="2953" t="s">
        <v>3065</v>
      </c>
      <c r="I3" s="2953" t="s">
        <v>3082</v>
      </c>
      <c r="J3" s="2953" t="s">
        <v>3083</v>
      </c>
    </row>
    <row r="4" spans="2:10">
      <c r="B4" s="3090"/>
      <c r="C4" s="2957">
        <v>1</v>
      </c>
      <c r="D4" s="2956" t="s">
        <v>3062</v>
      </c>
      <c r="E4" s="2957">
        <v>147850</v>
      </c>
      <c r="H4">
        <v>1</v>
      </c>
      <c r="I4" s="2953" t="s">
        <v>3084</v>
      </c>
      <c r="J4">
        <v>35607.58</v>
      </c>
    </row>
    <row r="5" spans="2:10">
      <c r="B5" s="3090"/>
      <c r="C5" s="2957">
        <v>2</v>
      </c>
      <c r="D5" s="2956" t="s">
        <v>3066</v>
      </c>
      <c r="E5" s="2957">
        <v>33595</v>
      </c>
      <c r="H5">
        <v>2</v>
      </c>
      <c r="I5" s="2953" t="s">
        <v>3085</v>
      </c>
      <c r="J5">
        <v>13036.31</v>
      </c>
    </row>
    <row r="6" spans="2:10">
      <c r="B6" s="3090"/>
      <c r="C6" s="2957">
        <v>3</v>
      </c>
      <c r="D6" s="2956" t="s">
        <v>3067</v>
      </c>
      <c r="E6" s="2957">
        <v>19200</v>
      </c>
      <c r="H6" s="2953" t="s">
        <v>3086</v>
      </c>
      <c r="J6">
        <f>SUM(J4:J5)</f>
        <v>48643.89</v>
      </c>
    </row>
    <row r="7" spans="2:10">
      <c r="B7" s="3090"/>
      <c r="C7" s="2957">
        <v>4</v>
      </c>
      <c r="D7" s="2956" t="s">
        <v>3069</v>
      </c>
      <c r="E7" s="2957">
        <v>76100</v>
      </c>
    </row>
    <row r="8" spans="2:10">
      <c r="B8" s="3090"/>
      <c r="C8" s="2956" t="s">
        <v>3070</v>
      </c>
      <c r="D8" s="2957"/>
      <c r="E8" s="2957">
        <f>SUM(E4:E7)</f>
        <v>276745</v>
      </c>
    </row>
    <row r="12" spans="2:10">
      <c r="B12" s="3091" t="s">
        <v>3095</v>
      </c>
      <c r="C12" s="2956" t="s">
        <v>3072</v>
      </c>
      <c r="D12" s="2956" t="s">
        <v>3063</v>
      </c>
      <c r="E12" s="2956" t="s">
        <v>3071</v>
      </c>
    </row>
    <row r="13" spans="2:10" ht="14.25" thickBot="1">
      <c r="B13" s="3092"/>
      <c r="C13" s="2956" t="s">
        <v>3073</v>
      </c>
      <c r="D13" s="2956" t="s">
        <v>3074</v>
      </c>
      <c r="E13" s="2957">
        <v>271.26</v>
      </c>
      <c r="F13" s="2980">
        <v>0.98</v>
      </c>
    </row>
    <row r="14" spans="2:10" ht="14.25" thickBot="1">
      <c r="B14" s="3092"/>
      <c r="C14" s="2956" t="s">
        <v>3075</v>
      </c>
      <c r="D14" s="2956" t="s">
        <v>3062</v>
      </c>
      <c r="E14" s="2957">
        <v>233.16</v>
      </c>
      <c r="F14" s="2980">
        <v>0.98</v>
      </c>
      <c r="I14" s="3353">
        <v>271.26</v>
      </c>
    </row>
    <row r="15" spans="2:10" ht="14.25" thickBot="1">
      <c r="B15" s="3092"/>
      <c r="C15" s="2956" t="s">
        <v>3076</v>
      </c>
      <c r="D15" s="2956" t="s">
        <v>3062</v>
      </c>
      <c r="E15" s="2957">
        <v>705.25</v>
      </c>
      <c r="F15" s="2980">
        <v>0.98</v>
      </c>
      <c r="I15" s="3354">
        <v>233.16</v>
      </c>
    </row>
    <row r="16" spans="2:10" ht="14.25" thickBot="1">
      <c r="B16" s="3092"/>
      <c r="C16" s="3089" t="s">
        <v>3096</v>
      </c>
      <c r="D16" s="3089"/>
      <c r="E16" s="2957">
        <f>SUM(E13:E15)</f>
        <v>1209.67</v>
      </c>
      <c r="F16" s="2981">
        <v>0.98</v>
      </c>
      <c r="I16" s="3354">
        <v>705.25</v>
      </c>
    </row>
    <row r="17" spans="2:9" ht="14.25" thickBot="1">
      <c r="B17" s="3092"/>
      <c r="C17" s="2956" t="s">
        <v>3077</v>
      </c>
      <c r="D17" s="2956" t="s">
        <v>3066</v>
      </c>
      <c r="E17" s="2957">
        <v>8691.91</v>
      </c>
      <c r="F17" s="2980">
        <v>0.98</v>
      </c>
      <c r="I17" s="3354">
        <v>8691.91</v>
      </c>
    </row>
    <row r="18" spans="2:9" ht="14.25" thickBot="1">
      <c r="B18" s="3092"/>
      <c r="C18" s="2956" t="s">
        <v>3078</v>
      </c>
      <c r="D18" s="2956" t="s">
        <v>3066</v>
      </c>
      <c r="E18" s="2957">
        <v>8568.81</v>
      </c>
      <c r="F18" s="2980">
        <v>0.98</v>
      </c>
      <c r="I18" s="3354">
        <v>8568.81</v>
      </c>
    </row>
    <row r="19" spans="2:9" ht="14.25" thickBot="1">
      <c r="B19" s="3092"/>
      <c r="C19" s="2956" t="s">
        <v>3079</v>
      </c>
      <c r="D19" s="2956" t="s">
        <v>3066</v>
      </c>
      <c r="E19" s="2957">
        <v>5789.62</v>
      </c>
      <c r="F19" s="2980">
        <v>0</v>
      </c>
      <c r="I19" s="3354">
        <v>5789.62</v>
      </c>
    </row>
    <row r="20" spans="2:9" ht="14.25" thickBot="1">
      <c r="B20" s="3092"/>
      <c r="C20" s="3089" t="s">
        <v>3097</v>
      </c>
      <c r="D20" s="3089"/>
      <c r="E20" s="2957">
        <f>SUM(E17:E19)</f>
        <v>23050.34</v>
      </c>
      <c r="F20" s="2982">
        <f>(F17*E17+F18*E18+E19*F19)/E20</f>
        <v>0.73385058962253902</v>
      </c>
      <c r="I20" s="3354">
        <v>20200.23</v>
      </c>
    </row>
    <row r="21" spans="2:9" ht="14.25" thickBot="1">
      <c r="B21" s="3092"/>
      <c r="C21" s="2956" t="s">
        <v>3079</v>
      </c>
      <c r="D21" s="2956" t="s">
        <v>3067</v>
      </c>
      <c r="E21" s="2957">
        <v>20200.23</v>
      </c>
      <c r="F21" s="2980">
        <v>0</v>
      </c>
      <c r="I21" s="3354">
        <v>2908.94</v>
      </c>
    </row>
    <row r="22" spans="2:9">
      <c r="B22" s="3092"/>
      <c r="C22" s="3089" t="s">
        <v>3097</v>
      </c>
      <c r="D22" s="3089"/>
      <c r="E22" s="2957">
        <f>SUM(E21)</f>
        <v>20200.23</v>
      </c>
      <c r="F22" s="2980">
        <v>0</v>
      </c>
      <c r="I22">
        <f>SUM(I14:I21)</f>
        <v>47369.18</v>
      </c>
    </row>
    <row r="23" spans="2:9">
      <c r="B23" s="3092"/>
      <c r="C23" s="2956" t="s">
        <v>3080</v>
      </c>
      <c r="D23" s="2956" t="s">
        <v>3081</v>
      </c>
      <c r="E23" s="2957">
        <v>2908.94</v>
      </c>
      <c r="F23" s="2980">
        <v>0</v>
      </c>
    </row>
    <row r="24" spans="2:9">
      <c r="B24" s="3092"/>
      <c r="C24" s="2959" t="s">
        <v>3101</v>
      </c>
      <c r="D24" s="2959" t="s">
        <v>3081</v>
      </c>
      <c r="E24" s="2960">
        <f>51712-3542</f>
        <v>48170</v>
      </c>
    </row>
    <row r="25" spans="2:9">
      <c r="B25" s="3093"/>
      <c r="C25" s="2959" t="s">
        <v>3102</v>
      </c>
      <c r="D25" s="2957"/>
      <c r="E25" s="2960">
        <v>3542</v>
      </c>
    </row>
  </sheetData>
  <mergeCells count="5">
    <mergeCell ref="B3:B8"/>
    <mergeCell ref="C16:D16"/>
    <mergeCell ref="C20:D20"/>
    <mergeCell ref="C22:D22"/>
    <mergeCell ref="B12:B2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5" sqref="C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103" t="s">
        <v>1935</v>
      </c>
      <c r="B2" s="3103"/>
      <c r="C2" s="3103"/>
      <c r="D2" s="966" t="s">
        <v>1911</v>
      </c>
      <c r="E2" s="2225" t="s">
        <v>1912</v>
      </c>
      <c r="F2" s="1390"/>
      <c r="G2" s="2226"/>
      <c r="H2" s="2227"/>
      <c r="I2" s="2228" t="s">
        <v>1936</v>
      </c>
      <c r="J2" s="1390"/>
      <c r="K2" s="1390"/>
      <c r="L2" s="1390"/>
      <c r="M2" s="1390"/>
      <c r="N2" s="1425"/>
      <c r="O2" s="1390"/>
      <c r="P2" s="1390"/>
    </row>
    <row r="3" spans="1:16" ht="15.75" thickBot="1">
      <c r="A3" s="3104" t="s">
        <v>1909</v>
      </c>
      <c r="B3" s="3104"/>
      <c r="C3" s="3104"/>
      <c r="D3" s="46">
        <f>'数据-基础表'!AY6</f>
        <v>3519.75</v>
      </c>
      <c r="E3" s="46">
        <f>'数据-基础表'!AZ5</f>
        <v>18470.39</v>
      </c>
      <c r="F3" s="1390"/>
      <c r="G3" s="1397"/>
      <c r="H3" s="1246" t="s">
        <v>1910</v>
      </c>
      <c r="I3" s="55">
        <f>ROUND('数据-基础表'!B3/'数据-基础表'!A3,2)</f>
        <v>5.25</v>
      </c>
      <c r="J3" s="1390"/>
      <c r="K3" s="1390"/>
      <c r="L3" s="1390"/>
      <c r="M3" s="1390"/>
      <c r="N3" s="1425"/>
      <c r="O3" s="1390"/>
      <c r="P3" s="1390"/>
    </row>
    <row r="4" spans="1:16" ht="15">
      <c r="A4" s="3105"/>
      <c r="B4" s="3106"/>
      <c r="C4" s="3107"/>
      <c r="D4" s="2229" t="s">
        <v>1911</v>
      </c>
      <c r="E4" s="2230" t="s">
        <v>1912</v>
      </c>
      <c r="F4" s="1390"/>
      <c r="G4" s="2231" t="s">
        <v>1937</v>
      </c>
      <c r="H4" s="1246" t="s">
        <v>1917</v>
      </c>
      <c r="I4" s="55">
        <f>ROUND(SUMIF('数据-基础表'!I9:AS9,"地上",'数据-基础表'!I5:AS5)/'数据-基础表'!A3,2)</f>
        <v>4.12</v>
      </c>
      <c r="J4" s="1390"/>
      <c r="K4" s="1390"/>
      <c r="L4" s="1390"/>
      <c r="M4" s="1390"/>
      <c r="N4" s="1425"/>
      <c r="O4" s="1390"/>
      <c r="P4" s="1390"/>
    </row>
    <row r="5" spans="1:16">
      <c r="A5" s="47" t="s">
        <v>1913</v>
      </c>
      <c r="B5" s="3108" t="s">
        <v>1914</v>
      </c>
      <c r="C5" s="3108"/>
      <c r="D5" s="48">
        <f>ROUND($D$3*E5/$E$3,2)</f>
        <v>230.52</v>
      </c>
      <c r="E5" s="49">
        <f>SUMIF('数据-基础表'!$11:$11,"住宅",'数据-基础表'!$5:$5)</f>
        <v>1209.67</v>
      </c>
      <c r="F5" s="1390"/>
      <c r="G5" s="1397"/>
      <c r="H5" s="1246" t="s">
        <v>1910</v>
      </c>
      <c r="I5" s="55">
        <f>ROUND(E31/D31,2)</f>
        <v>5.25</v>
      </c>
      <c r="J5" s="1390"/>
      <c r="K5" s="1390"/>
      <c r="L5" s="1390"/>
      <c r="M5" s="1390"/>
      <c r="N5" s="1390"/>
      <c r="O5" s="1390"/>
      <c r="P5" s="1390"/>
    </row>
    <row r="6" spans="1:16" ht="15" thickBot="1">
      <c r="A6" s="2232"/>
      <c r="B6" s="3108" t="s">
        <v>1915</v>
      </c>
      <c r="C6" s="3108"/>
      <c r="D6" s="48">
        <f>ROUND($D$3*E6/$E$3,2)</f>
        <v>3289.23</v>
      </c>
      <c r="E6" s="49">
        <f>E3-E5</f>
        <v>17260.72</v>
      </c>
      <c r="F6" s="1390"/>
      <c r="G6" s="2233" t="s">
        <v>1916</v>
      </c>
      <c r="H6" s="1397" t="s">
        <v>1917</v>
      </c>
      <c r="I6" s="938">
        <f>ROUND(F31/D31,2)</f>
        <v>5.25</v>
      </c>
      <c r="J6" s="1390"/>
      <c r="K6" s="1390"/>
      <c r="L6" s="1390"/>
      <c r="M6" s="1390"/>
      <c r="N6" s="1390"/>
      <c r="O6" s="1390"/>
      <c r="P6" s="1390"/>
    </row>
    <row r="7" spans="1:16" ht="15">
      <c r="A7" s="3100"/>
      <c r="B7" s="3101"/>
      <c r="C7" s="3102"/>
      <c r="D7" s="2229" t="s">
        <v>1911</v>
      </c>
      <c r="E7" s="2234" t="s">
        <v>1918</v>
      </c>
      <c r="F7" s="1390"/>
      <c r="G7" s="2226" t="s">
        <v>1919</v>
      </c>
      <c r="H7" s="64"/>
      <c r="I7" s="419"/>
      <c r="J7" s="1390"/>
      <c r="K7" s="1390"/>
      <c r="L7" s="1390"/>
      <c r="M7" s="1390"/>
      <c r="N7" s="1390"/>
      <c r="O7" s="1390"/>
      <c r="P7" s="1390"/>
    </row>
    <row r="8" spans="1:16">
      <c r="A8" s="47" t="s">
        <v>1920</v>
      </c>
      <c r="B8" s="50" t="s">
        <v>1921</v>
      </c>
      <c r="C8" s="48" t="s">
        <v>1922</v>
      </c>
      <c r="D8" s="48">
        <f t="shared" ref="D8:D15" si="0">ROUND($D$3*E8/$E$3,2)</f>
        <v>3519.75</v>
      </c>
      <c r="E8" s="51">
        <f>SUMIF('数据-基础表'!BB10:BK10,"地上",'数据-基础表'!BB5:BK5)</f>
        <v>18470.39</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3519.75</v>
      </c>
      <c r="E16" s="53">
        <f>SUM(E8:E15)</f>
        <v>18470.39</v>
      </c>
      <c r="F16" s="1390"/>
      <c r="G16" s="2235"/>
      <c r="H16" s="2238" t="s">
        <v>1939</v>
      </c>
      <c r="I16" s="2239"/>
      <c r="J16" s="1390"/>
      <c r="K16" s="3097" t="s">
        <v>1939</v>
      </c>
      <c r="L16" s="3098"/>
      <c r="M16" s="3098"/>
      <c r="N16" s="3098"/>
      <c r="O16" s="3098"/>
      <c r="P16" s="3099"/>
    </row>
    <row r="17" spans="1:19" ht="15">
      <c r="A17" s="2240" t="s">
        <v>1940</v>
      </c>
      <c r="B17" s="2241" t="s">
        <v>1941</v>
      </c>
      <c r="C17" s="2242" t="s">
        <v>1942</v>
      </c>
      <c r="D17" s="2243" t="s">
        <v>1930</v>
      </c>
      <c r="E17" s="2244" t="s">
        <v>1931</v>
      </c>
      <c r="F17" s="2245"/>
      <c r="G17" s="2246"/>
      <c r="H17" s="2247" t="s">
        <v>1943</v>
      </c>
      <c r="I17" s="2248" t="s">
        <v>1928</v>
      </c>
      <c r="J17" s="1390"/>
      <c r="K17" s="3094" t="s">
        <v>1944</v>
      </c>
      <c r="L17" s="3095"/>
      <c r="M17" s="3096"/>
      <c r="N17" s="3094" t="s">
        <v>1945</v>
      </c>
      <c r="O17" s="3095"/>
      <c r="P17" s="3096"/>
      <c r="R17" s="2226" t="s">
        <v>1946</v>
      </c>
      <c r="S17" s="64"/>
    </row>
    <row r="18" spans="1:19" ht="15">
      <c r="A18" s="2236"/>
      <c r="B18" s="2249"/>
      <c r="C18" s="2250"/>
      <c r="D18" s="2251"/>
      <c r="E18" s="2252" t="s">
        <v>1947</v>
      </c>
      <c r="F18" s="2253" t="s">
        <v>1948</v>
      </c>
      <c r="G18" s="2254" t="s">
        <v>1949</v>
      </c>
      <c r="H18" s="1261" t="s">
        <v>1950</v>
      </c>
      <c r="I18" s="2255" t="s">
        <v>1951</v>
      </c>
      <c r="J18" s="1390"/>
      <c r="K18" s="1261" t="s">
        <v>1952</v>
      </c>
      <c r="L18" s="2256" t="s">
        <v>1953</v>
      </c>
      <c r="M18" s="1045" t="s">
        <v>1954</v>
      </c>
      <c r="N18" s="1261" t="s">
        <v>1952</v>
      </c>
      <c r="O18" s="2256" t="s">
        <v>1953</v>
      </c>
      <c r="P18" s="1045" t="s">
        <v>1954</v>
      </c>
      <c r="R18" s="1246" t="s">
        <v>1955</v>
      </c>
      <c r="S18" s="1246" t="s">
        <v>1956</v>
      </c>
    </row>
    <row r="19" spans="1:19">
      <c r="A19" s="2257"/>
      <c r="B19" s="50" t="s">
        <v>1929</v>
      </c>
      <c r="C19" s="2961" t="s">
        <v>3103</v>
      </c>
      <c r="D19" s="48">
        <f>ROUND($D$3*E19/$E$3,2)</f>
        <v>230.52</v>
      </c>
      <c r="E19" s="56">
        <f t="shared" ref="E19:E26" si="1">SUM(F19:G19)</f>
        <v>1209.67</v>
      </c>
      <c r="F19" s="57">
        <f>'数据-基础表'!I13</f>
        <v>1209.67</v>
      </c>
      <c r="G19" s="58"/>
      <c r="H19" s="722">
        <f>ROUND($D$3*I19/$E$3,2)</f>
        <v>0</v>
      </c>
      <c r="I19" s="51">
        <f t="shared" ref="I19:I26" si="2">IF($I$17="自定义",P19,M19)</f>
        <v>0</v>
      </c>
      <c r="J19" s="1390"/>
      <c r="K19" s="1389">
        <f t="shared" ref="K19:K26" si="3">ROUND(E$28*E19/E$27,2)</f>
        <v>0</v>
      </c>
      <c r="L19" s="1246">
        <f t="shared" ref="L19:L26" si="4">ROUND(IF(COUNTIF(C19,"*住宅*")&gt;0,E$29*E19/E$32,0),2)</f>
        <v>0</v>
      </c>
      <c r="M19" s="1401">
        <f>K19+L19</f>
        <v>0</v>
      </c>
      <c r="N19" s="2258"/>
      <c r="O19" s="2259"/>
      <c r="P19" s="1401">
        <f>N19+O19</f>
        <v>0</v>
      </c>
      <c r="R19" s="1246">
        <f t="shared" ref="R19:S26" si="5">D19+H19</f>
        <v>230.52</v>
      </c>
      <c r="S19" s="1247">
        <f t="shared" si="5"/>
        <v>1209.67</v>
      </c>
    </row>
    <row r="20" spans="1:19">
      <c r="A20" s="2260"/>
      <c r="B20" s="50" t="s">
        <v>1957</v>
      </c>
      <c r="C20" s="2961" t="s">
        <v>3104</v>
      </c>
      <c r="D20" s="48">
        <f t="shared" ref="D20:D26" si="6">ROUND($D$3*E20/$E$3,2)</f>
        <v>3289.23</v>
      </c>
      <c r="E20" s="56">
        <f t="shared" si="1"/>
        <v>17260.72</v>
      </c>
      <c r="F20" s="57">
        <f>'数据-基础表'!K15</f>
        <v>17260.72</v>
      </c>
      <c r="G20" s="58"/>
      <c r="H20" s="722">
        <f t="shared" ref="H20:H26" si="7">ROUND($D$3*I20/$E$3,2)</f>
        <v>0</v>
      </c>
      <c r="I20" s="51">
        <f t="shared" si="2"/>
        <v>0</v>
      </c>
      <c r="J20" s="1390"/>
      <c r="K20" s="1389">
        <f t="shared" si="3"/>
        <v>0</v>
      </c>
      <c r="L20" s="1246">
        <f t="shared" si="4"/>
        <v>0</v>
      </c>
      <c r="M20" s="1401">
        <f t="shared" ref="M20:M26" si="8">K20+L20</f>
        <v>0</v>
      </c>
      <c r="N20" s="2258"/>
      <c r="O20" s="2259"/>
      <c r="P20" s="1401">
        <f t="shared" ref="P20:P26" si="9">N20+O20</f>
        <v>0</v>
      </c>
      <c r="R20" s="1246">
        <f t="shared" si="5"/>
        <v>3289.23</v>
      </c>
      <c r="S20" s="1247">
        <f t="shared" si="5"/>
        <v>17260.72</v>
      </c>
    </row>
    <row r="21" spans="1:19">
      <c r="A21" s="2260"/>
      <c r="B21" s="50" t="s">
        <v>1957</v>
      </c>
      <c r="C21" s="2961"/>
      <c r="D21" s="48">
        <f t="shared" si="6"/>
        <v>0</v>
      </c>
      <c r="E21" s="56">
        <f t="shared" si="1"/>
        <v>0</v>
      </c>
      <c r="F21" s="57"/>
      <c r="G21" s="58"/>
      <c r="H21" s="722">
        <f t="shared" si="7"/>
        <v>0</v>
      </c>
      <c r="I21" s="51">
        <f t="shared" si="2"/>
        <v>0</v>
      </c>
      <c r="J21" s="1390"/>
      <c r="K21" s="1389">
        <f t="shared" si="3"/>
        <v>0</v>
      </c>
      <c r="L21" s="1246">
        <f t="shared" si="4"/>
        <v>0</v>
      </c>
      <c r="M21" s="1401">
        <f t="shared" si="8"/>
        <v>0</v>
      </c>
      <c r="N21" s="2258"/>
      <c r="O21" s="2259"/>
      <c r="P21" s="1401">
        <f t="shared" si="9"/>
        <v>0</v>
      </c>
      <c r="R21" s="1246">
        <f t="shared" si="5"/>
        <v>0</v>
      </c>
      <c r="S21" s="1247">
        <f t="shared" si="5"/>
        <v>0</v>
      </c>
    </row>
    <row r="22" spans="1:19">
      <c r="A22" s="2260"/>
      <c r="B22" s="50" t="s">
        <v>1957</v>
      </c>
      <c r="C22" s="2962"/>
      <c r="D22" s="48">
        <f t="shared" si="6"/>
        <v>0</v>
      </c>
      <c r="E22" s="56">
        <f t="shared" si="1"/>
        <v>0</v>
      </c>
      <c r="F22" s="61"/>
      <c r="G22" s="62"/>
      <c r="H22" s="722">
        <f t="shared" si="7"/>
        <v>0</v>
      </c>
      <c r="I22" s="51">
        <f t="shared" si="2"/>
        <v>0</v>
      </c>
      <c r="J22" s="1390"/>
      <c r="K22" s="1389">
        <f t="shared" si="3"/>
        <v>0</v>
      </c>
      <c r="L22" s="1246">
        <f t="shared" si="4"/>
        <v>0</v>
      </c>
      <c r="M22" s="1401">
        <f t="shared" si="8"/>
        <v>0</v>
      </c>
      <c r="N22" s="2258"/>
      <c r="O22" s="2259"/>
      <c r="P22" s="1401">
        <f t="shared" si="9"/>
        <v>0</v>
      </c>
      <c r="R22" s="1246">
        <f t="shared" si="5"/>
        <v>0</v>
      </c>
      <c r="S22" s="1247">
        <f t="shared" si="5"/>
        <v>0</v>
      </c>
    </row>
    <row r="23" spans="1:19">
      <c r="A23" s="2260"/>
      <c r="B23" s="50" t="s">
        <v>1957</v>
      </c>
      <c r="C23" s="60"/>
      <c r="D23" s="48">
        <f>ROUND($D$3*E23/$E$3,2)</f>
        <v>0</v>
      </c>
      <c r="E23" s="56">
        <f>SUM(F23:G23)</f>
        <v>0</v>
      </c>
      <c r="F23" s="61"/>
      <c r="G23" s="62"/>
      <c r="H23" s="722">
        <f>ROUND($D$3*I23/$E$3,2)</f>
        <v>0</v>
      </c>
      <c r="I23" s="51">
        <f t="shared" si="2"/>
        <v>0</v>
      </c>
      <c r="J23" s="1390"/>
      <c r="K23" s="1389">
        <f t="shared" si="3"/>
        <v>0</v>
      </c>
      <c r="L23" s="1246">
        <f t="shared" si="4"/>
        <v>0</v>
      </c>
      <c r="M23" s="1401">
        <f t="shared" si="8"/>
        <v>0</v>
      </c>
      <c r="N23" s="2258"/>
      <c r="O23" s="2259"/>
      <c r="P23" s="1401">
        <f t="shared" si="9"/>
        <v>0</v>
      </c>
      <c r="R23" s="1246">
        <f t="shared" si="5"/>
        <v>0</v>
      </c>
      <c r="S23" s="1247">
        <f t="shared" si="5"/>
        <v>0</v>
      </c>
    </row>
    <row r="24" spans="1:19">
      <c r="A24" s="2260"/>
      <c r="B24" s="50" t="s">
        <v>1957</v>
      </c>
      <c r="C24" s="60"/>
      <c r="D24" s="48">
        <f>ROUND($D$3*E24/$E$3,2)</f>
        <v>0</v>
      </c>
      <c r="E24" s="56">
        <f>SUM(F24:G24)</f>
        <v>0</v>
      </c>
      <c r="F24" s="61"/>
      <c r="G24" s="62"/>
      <c r="H24" s="722">
        <f>ROUND($D$3*I24/$E$3,2)</f>
        <v>0</v>
      </c>
      <c r="I24" s="51">
        <f t="shared" si="2"/>
        <v>0</v>
      </c>
      <c r="J24" s="1390"/>
      <c r="K24" s="1389">
        <f t="shared" si="3"/>
        <v>0</v>
      </c>
      <c r="L24" s="1246">
        <f t="shared" si="4"/>
        <v>0</v>
      </c>
      <c r="M24" s="1401">
        <f t="shared" si="8"/>
        <v>0</v>
      </c>
      <c r="N24" s="2258"/>
      <c r="O24" s="2259"/>
      <c r="P24" s="1401">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0"/>
      <c r="K25" s="1389">
        <f t="shared" si="3"/>
        <v>0</v>
      </c>
      <c r="L25" s="1246">
        <f t="shared" si="4"/>
        <v>0</v>
      </c>
      <c r="M25" s="1401">
        <f t="shared" si="8"/>
        <v>0</v>
      </c>
      <c r="N25" s="2258"/>
      <c r="O25" s="2259"/>
      <c r="P25" s="1401">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6">
        <f t="shared" si="5"/>
        <v>0</v>
      </c>
      <c r="S26" s="1247">
        <f t="shared" si="5"/>
        <v>0</v>
      </c>
    </row>
    <row r="27" spans="1:19" ht="15.75" thickBot="1">
      <c r="A27" s="2260"/>
      <c r="B27" s="48"/>
      <c r="C27" s="2263" t="s">
        <v>1958</v>
      </c>
      <c r="D27" s="1391">
        <f>SUM(D19:D26)</f>
        <v>3519.75</v>
      </c>
      <c r="E27" s="1392">
        <f>IF(SUM(E19:E26)='数据-基础表'!BA5,SUM(E19:E26),IF(F27="地上面积有误","面积有误","地下面积有误"))</f>
        <v>18470.39</v>
      </c>
      <c r="F27" s="1391">
        <f>IF(SUM(F19:F26)=E8,SUM(F19:F26),"地上面积有误")</f>
        <v>18470.39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3519.75</v>
      </c>
      <c r="S27" s="1246">
        <f>IF(SUM(S19:S26)=$E$3,SUM(S19:S26),SUM(S19:S26)&amp;"误差"&amp;ROUND(SUM(S19:S26)-E3,2))</f>
        <v>18470.39</v>
      </c>
    </row>
    <row r="28" spans="1:19">
      <c r="A28" s="2260"/>
      <c r="B28" s="50" t="s">
        <v>1959</v>
      </c>
      <c r="C28" s="1258"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0"/>
      <c r="B29" s="50" t="s">
        <v>1959</v>
      </c>
      <c r="C29" s="2264"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6"/>
      <c r="B31" s="2267"/>
      <c r="C31" s="1006" t="s">
        <v>1962</v>
      </c>
      <c r="D31" s="728">
        <f>D27+D30</f>
        <v>3519.75</v>
      </c>
      <c r="E31" s="728">
        <f>E27+E30</f>
        <v>18470.39</v>
      </c>
      <c r="F31" s="729">
        <f>F27+F30</f>
        <v>18470.39</v>
      </c>
      <c r="G31" s="730">
        <f>G27+G30</f>
        <v>0</v>
      </c>
      <c r="H31" s="1390"/>
      <c r="I31" s="1390"/>
      <c r="J31" s="1390"/>
      <c r="K31" s="1390"/>
      <c r="L31" s="1390"/>
      <c r="M31" s="1390"/>
      <c r="N31" s="1390"/>
      <c r="O31" s="1390"/>
      <c r="P31" s="1390"/>
    </row>
    <row r="32" spans="1:19">
      <c r="A32" s="2231"/>
      <c r="B32" s="2231" t="s">
        <v>1963</v>
      </c>
      <c r="C32" s="2231"/>
      <c r="D32" s="2231"/>
      <c r="E32" s="1273">
        <f>SUMIF(C19:C26,"*住宅*",E19:E26)</f>
        <v>1209.67</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3" t="s">
        <v>1965</v>
      </c>
      <c r="B2" s="1265">
        <f>项目基本情况!D3</f>
        <v>43714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1985</v>
      </c>
      <c r="O5" s="2293" t="s">
        <v>1986</v>
      </c>
      <c r="P5" s="2296" t="s">
        <v>1987</v>
      </c>
      <c r="Q5" s="69" t="s">
        <v>1988</v>
      </c>
      <c r="R5" s="2297" t="s">
        <v>1989</v>
      </c>
      <c r="S5" s="2298" t="s">
        <v>1990</v>
      </c>
      <c r="T5" s="2299" t="s">
        <v>1991</v>
      </c>
      <c r="U5" s="1266" t="s">
        <v>1992</v>
      </c>
      <c r="V5" s="1267" t="s">
        <v>1993</v>
      </c>
      <c r="W5" s="1267" t="s">
        <v>1994</v>
      </c>
      <c r="X5" s="71"/>
      <c r="Y5" s="70" t="s">
        <v>1995</v>
      </c>
      <c r="Z5" s="2300" t="s">
        <v>1992</v>
      </c>
      <c r="AA5" s="1267" t="s">
        <v>1993</v>
      </c>
      <c r="AB5" s="1267" t="s">
        <v>1994</v>
      </c>
      <c r="AC5" s="71"/>
      <c r="AD5" s="71" t="s">
        <v>1995</v>
      </c>
      <c r="AE5" s="1266" t="s">
        <v>1996</v>
      </c>
      <c r="AF5" s="1267" t="s">
        <v>1997</v>
      </c>
      <c r="AG5" s="70" t="s">
        <v>1998</v>
      </c>
      <c r="AH5" s="1266" t="s">
        <v>1999</v>
      </c>
      <c r="AI5" s="2300" t="s">
        <v>2000</v>
      </c>
      <c r="AJ5" s="2300" t="s">
        <v>2001</v>
      </c>
      <c r="AK5" s="1267" t="s">
        <v>2002</v>
      </c>
      <c r="AL5" s="1267" t="s">
        <v>2003</v>
      </c>
      <c r="AM5" s="70" t="s">
        <v>2004</v>
      </c>
      <c r="AN5" s="2301" t="s">
        <v>2005</v>
      </c>
      <c r="AO5" s="2072" t="s">
        <v>2006</v>
      </c>
      <c r="AP5" s="1248" t="s">
        <v>2007</v>
      </c>
      <c r="AQ5" s="2302" t="s">
        <v>2008</v>
      </c>
      <c r="AR5" s="2302"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住宅</v>
      </c>
      <c r="B6" s="2304" t="str">
        <f>IF(A6=0,"","经营性")</f>
        <v>经营性</v>
      </c>
      <c r="C6" s="2305" t="s">
        <v>3061</v>
      </c>
      <c r="D6" s="1050">
        <f>SUMIF(项目基本情况!D$12:I$12,C6,项目基本情况!D$14:I$14)</f>
        <v>70</v>
      </c>
      <c r="E6" s="1047">
        <f>IF(B6="","",SUMIF(项目基本情况!D$12:I$12,C6,项目基本情况!D$13:I$13))</f>
        <v>67463</v>
      </c>
      <c r="F6" s="72">
        <f>SUMIF(项目基本情况!D$12:I$12,C6,项目基本情况!D$15:I$15)</f>
        <v>65.06</v>
      </c>
      <c r="G6" s="73">
        <f>IF(ISERROR(ROUND(POWER(1+H6,D6-F6)*(POWER(1+H6,F6)-1)/(POWER(1+H6,D6)-1),3)),0,ROUND(POWER(1+H6,D6-F6)*(POWER(1+H6,F6)-1)/(POWER(1+H6,D6)-1),3))</f>
        <v>0.98799999999999999</v>
      </c>
      <c r="H6" s="801">
        <v>4.4999999999999998E-2</v>
      </c>
      <c r="I6" s="801">
        <v>0.05</v>
      </c>
      <c r="J6" s="74">
        <v>8.5000000000000006E-2</v>
      </c>
      <c r="K6" s="1250">
        <f>SUMIF('数据-汇总表'!C$19:C$33,A6,'数据-汇总表'!E$19:E$33)</f>
        <v>1209.67</v>
      </c>
      <c r="L6" s="802">
        <v>2100</v>
      </c>
      <c r="M6" s="75">
        <f t="shared" ref="M6:M14" si="0">ROUND(K6*L6/10000,0)</f>
        <v>254</v>
      </c>
      <c r="N6" s="800">
        <v>0.95</v>
      </c>
      <c r="O6" s="75">
        <f>IF($N$5="成新度","——",ROUND(M6*N6,0))</f>
        <v>241</v>
      </c>
      <c r="P6" s="76">
        <f>IF($N$5="成新度","——",M6-O6)</f>
        <v>13</v>
      </c>
      <c r="Q6" s="803">
        <v>0.15</v>
      </c>
      <c r="R6" s="77">
        <f ca="1">SUMIF('数据-汇总表'!C$19:C$33,A6,'数据-汇总表'!R$19:R$27)</f>
        <v>230.52</v>
      </c>
      <c r="S6" s="54">
        <f>IF('数据-汇总表'!$I$17="按面积比例",SUMIF('数据-汇总表'!C$19:C$33,A6,'数据-汇总表'!K$19:K$33),SUMIF('数据-汇总表'!C$19:C$33,A6,'数据-汇总表'!N$19:N$33))</f>
        <v>0</v>
      </c>
      <c r="T6" s="1441">
        <f>ROUND($L$14*S6/10000,0)</f>
        <v>0</v>
      </c>
      <c r="U6" s="78"/>
      <c r="V6" s="79"/>
      <c r="W6" s="79"/>
      <c r="X6" s="1260"/>
      <c r="Y6" s="80"/>
      <c r="Z6" s="81"/>
      <c r="AA6" s="74"/>
      <c r="AB6" s="74"/>
      <c r="AC6" s="1260"/>
      <c r="AD6" s="82"/>
      <c r="AE6" s="1261">
        <f ca="1">IF(AN6="",0,SUMIF(INDIRECT("'"&amp;AN6&amp;"'"&amp;"!E:E"),$AE$5,INDIRECT("'"&amp;AN6&amp;"'"&amp;"!F:F")))</f>
        <v>0</v>
      </c>
      <c r="AF6" s="1802"/>
      <c r="AG6" s="146">
        <f>IF(AF6="",0,AE6-AF6)</f>
        <v>0</v>
      </c>
      <c r="AH6" s="83"/>
      <c r="AI6" s="85"/>
      <c r="AJ6" s="86"/>
      <c r="AK6" s="87"/>
      <c r="AL6" s="88"/>
      <c r="AM6" s="89"/>
      <c r="AN6" s="2306"/>
      <c r="AO6" s="55" t="e">
        <f ca="1">SUMIF(INDIRECT("'"&amp;AN6&amp;"'"&amp;"!A:A"),"总价",INDIRECT("'"&amp;AN6&amp;"'"&amp;"!B:B"))</f>
        <v>#REF!</v>
      </c>
      <c r="AP6" s="2307">
        <f>IF(C6="住宅",K6*L6,0)</f>
        <v>2540307</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1373</v>
      </c>
      <c r="D7" s="1050">
        <f>SUMIF(项目基本情况!D$12:I$12,C7,项目基本情况!D$14:I$14)</f>
        <v>40</v>
      </c>
      <c r="E7" s="1047">
        <f>IF(B7="","",SUMIF(项目基本情况!D$12:I$12,C7,项目基本情况!D$13:I$13))</f>
        <v>56505</v>
      </c>
      <c r="F7" s="72">
        <f>SUMIF(项目基本情况!D$12:I$12,C7,项目基本情况!D$15:I$15)</f>
        <v>35.04</v>
      </c>
      <c r="G7" s="73">
        <f t="shared" ref="G7:G11" si="2">IF(ISERROR(ROUND(POWER(1+H7,D7-F7)*(POWER(1+H7,F7)-1)/(POWER(1+H7,D7)-1),3)),0,ROUND(POWER(1+H7,D7-F7)*(POWER(1+H7,F7)-1)/(POWER(1+H7,D7)-1),3))</f>
        <v>0.95499999999999996</v>
      </c>
      <c r="H7" s="801">
        <v>0.05</v>
      </c>
      <c r="I7" s="801">
        <v>5.5E-2</v>
      </c>
      <c r="J7" s="74">
        <v>8.5000000000000006E-2</v>
      </c>
      <c r="K7" s="1250">
        <f>SUMIF('数据-汇总表'!C$19:C$33,A7,'数据-汇总表'!E$19:E$33)</f>
        <v>17260.72</v>
      </c>
      <c r="L7" s="802">
        <v>2000</v>
      </c>
      <c r="M7" s="75">
        <f t="shared" si="0"/>
        <v>3452</v>
      </c>
      <c r="N7" s="800">
        <v>0.95</v>
      </c>
      <c r="O7" s="75">
        <f t="shared" ref="O7:O14" si="3">IF($N$5="成新度","——",ROUND(M7*N7,0))</f>
        <v>3279</v>
      </c>
      <c r="P7" s="76">
        <f t="shared" ref="P7:P14" si="4">IF($N$5="成新度","——",M7-O7)</f>
        <v>173</v>
      </c>
      <c r="Q7" s="803">
        <v>0.2</v>
      </c>
      <c r="R7" s="77">
        <f ca="1">SUMIF('数据-汇总表'!C$19:C$33,A7,'数据-汇总表'!R$19:R$27)</f>
        <v>3289.23</v>
      </c>
      <c r="S7" s="54">
        <f>IF('数据-汇总表'!$I$17="按面积比例",SUMIF('数据-汇总表'!C$19:C$33,A7,'数据-汇总表'!K$19:K$33),SUMIF('数据-汇总表'!C$19:C$33,A7,'数据-汇总表'!N$19:N$33))</f>
        <v>0</v>
      </c>
      <c r="T7" s="1441">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60"/>
      <c r="Y8" s="806"/>
      <c r="Z8" s="81"/>
      <c r="AA8" s="74"/>
      <c r="AB8" s="74"/>
      <c r="AC8" s="1260"/>
      <c r="AD8" s="82"/>
      <c r="AE8" s="1261">
        <f t="shared" ca="1" si="6"/>
        <v>0</v>
      </c>
      <c r="AF8" s="1802"/>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2010</v>
      </c>
      <c r="B14" s="2304" t="s">
        <v>2011</v>
      </c>
      <c r="C14" s="2309" t="s">
        <v>2010</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1"/>
      <c r="U14" s="722"/>
      <c r="V14" s="1255"/>
      <c r="W14" s="1255"/>
      <c r="X14" s="1256"/>
      <c r="Y14" s="1257"/>
      <c r="Z14" s="1258"/>
      <c r="AA14" s="1259"/>
      <c r="AB14" s="1259"/>
      <c r="AC14" s="1260"/>
      <c r="AD14" s="1256"/>
      <c r="AE14" s="1261"/>
      <c r="AF14" s="55"/>
      <c r="AG14" s="146"/>
      <c r="AH14" s="1261"/>
      <c r="AI14" s="1813"/>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2012</v>
      </c>
      <c r="B15" s="2304" t="s">
        <v>2011</v>
      </c>
      <c r="C15" s="2309" t="s">
        <v>2013</v>
      </c>
      <c r="D15" s="1050"/>
      <c r="E15" s="1047"/>
      <c r="F15" s="72"/>
      <c r="G15" s="73"/>
      <c r="H15" s="1249"/>
      <c r="I15" s="1249"/>
      <c r="J15" s="1249"/>
      <c r="K15" s="1250">
        <f>SUMIF('数据-汇总表'!C$19:C$33,A15,'数据-汇总表'!E$19:E$33)</f>
        <v>0</v>
      </c>
      <c r="L15" s="1251"/>
      <c r="M15" s="75"/>
      <c r="N15" s="1252"/>
      <c r="O15" s="75"/>
      <c r="P15" s="76"/>
      <c r="Q15" s="1253"/>
      <c r="R15" s="77"/>
      <c r="S15" s="54"/>
      <c r="T15" s="1441"/>
      <c r="U15" s="722"/>
      <c r="V15" s="1255"/>
      <c r="W15" s="1255"/>
      <c r="X15" s="1256"/>
      <c r="Y15" s="1257"/>
      <c r="Z15" s="1258"/>
      <c r="AA15" s="1259"/>
      <c r="AB15" s="1259"/>
      <c r="AC15" s="1260"/>
      <c r="AD15" s="1256"/>
      <c r="AE15" s="1261"/>
      <c r="AF15" s="55"/>
      <c r="AG15" s="146"/>
      <c r="AH15" s="1261"/>
      <c r="AI15" s="1813"/>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2014</v>
      </c>
      <c r="B16" s="97"/>
      <c r="C16" s="1004"/>
      <c r="D16" s="2311"/>
      <c r="E16" s="97"/>
      <c r="F16" s="97"/>
      <c r="G16" s="98">
        <f>ROUND(SUMPRODUCT(G6:G13,K6:K13)/SUMPRODUCT((G6:G13&gt;0)*(K6:K13)),3)</f>
        <v>0.95699999999999996</v>
      </c>
      <c r="H16" s="99">
        <f>ROUND(SUMPRODUCT(H6:H13,K6:K13)/SUMPRODUCT((H6:H13&gt;0)*(K6:K13)),3)</f>
        <v>0.05</v>
      </c>
      <c r="I16" s="100"/>
      <c r="J16" s="100"/>
      <c r="K16" s="101">
        <f>SUM(K6:K15)</f>
        <v>18470.39</v>
      </c>
      <c r="L16" s="102">
        <f>ROUND(M16*10000/SUM(K6:K14),0)</f>
        <v>2006</v>
      </c>
      <c r="M16" s="102">
        <f>SUM(M6:M14)</f>
        <v>3706</v>
      </c>
      <c r="N16" s="103">
        <f>ROUND(SUMPRODUCT(M6:M14,N6:N14)/M16,3)</f>
        <v>0.95</v>
      </c>
      <c r="O16" s="102">
        <f>SUM(O6:O14)</f>
        <v>3520</v>
      </c>
      <c r="P16" s="102">
        <f>SUM(P6:P14)</f>
        <v>186</v>
      </c>
      <c r="Q16" s="104">
        <f>ROUND(SUMPRODUCT(Q6:Q13,K6:K13)/SUMPRODUCT((Q6:Q13&gt;0)*(K6:K13)),2)</f>
        <v>0.2</v>
      </c>
      <c r="R16" s="1254">
        <f ca="1">SUM(R6:R13)</f>
        <v>3519.75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7"/>
      <c r="C18" s="2274"/>
      <c r="D18" s="2275"/>
      <c r="E18" s="2274"/>
      <c r="F18" s="2274"/>
      <c r="G18" s="2274"/>
      <c r="H18" s="2274"/>
      <c r="I18" s="2274"/>
      <c r="J18" s="2274"/>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2016</v>
      </c>
      <c r="B19" s="112">
        <v>0</v>
      </c>
      <c r="C19" s="2274" t="s">
        <v>2017</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2018</v>
      </c>
      <c r="B20" s="113">
        <v>3.5</v>
      </c>
      <c r="C20" s="2274" t="s">
        <v>2019</v>
      </c>
      <c r="D20" s="2275"/>
      <c r="E20" s="2274"/>
      <c r="F20" s="2274"/>
      <c r="G20" s="2274"/>
      <c r="H20" s="2274"/>
      <c r="I20" s="2274"/>
      <c r="J20" s="2274"/>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2020</v>
      </c>
      <c r="B21" s="113">
        <v>3.3</v>
      </c>
      <c r="C21" s="2274"/>
      <c r="D21" s="2275"/>
      <c r="E21" s="2274"/>
      <c r="F21" s="2274"/>
      <c r="G21" s="2274"/>
      <c r="H21" s="2274"/>
      <c r="I21" s="2274"/>
      <c r="J21" s="2274"/>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2021</v>
      </c>
      <c r="B22" s="114">
        <f>B19+B20</f>
        <v>3.5</v>
      </c>
      <c r="C22" s="2274"/>
      <c r="D22" s="2275"/>
      <c r="E22" s="2274"/>
      <c r="F22" s="2274"/>
      <c r="G22" s="2274"/>
      <c r="H22" s="2274"/>
      <c r="I22" s="2274"/>
      <c r="J22" s="2274"/>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2022</v>
      </c>
      <c r="B23" s="114">
        <f>B19+B21</f>
        <v>3.3</v>
      </c>
      <c r="C23" s="2274"/>
      <c r="D23" s="2275"/>
      <c r="E23" s="2274"/>
      <c r="F23" s="2274"/>
      <c r="G23" s="2274"/>
      <c r="H23" s="2274"/>
      <c r="I23" s="2274"/>
      <c r="J23" s="2274"/>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2023</v>
      </c>
      <c r="B24" s="115">
        <f>B20-B21</f>
        <v>0.20000000000000018</v>
      </c>
      <c r="C24" s="2274"/>
      <c r="D24" s="2275"/>
      <c r="E24" s="2274"/>
      <c r="F24" s="2274"/>
      <c r="G24" s="2274"/>
      <c r="H24" s="2274"/>
      <c r="I24" s="2274"/>
      <c r="J24" s="2274"/>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7"/>
      <c r="C25" s="2274"/>
      <c r="D25" s="2275"/>
      <c r="E25" s="2274"/>
      <c r="F25" s="2274"/>
      <c r="G25" s="2274"/>
      <c r="H25" s="2274"/>
      <c r="I25" s="2274"/>
      <c r="J25" s="2274"/>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2024</v>
      </c>
      <c r="B26" s="2317" t="s">
        <v>2025</v>
      </c>
      <c r="C26" s="2318" t="s">
        <v>2026</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2027</v>
      </c>
      <c r="B27" s="116">
        <v>240</v>
      </c>
      <c r="C27" s="1762" t="s">
        <v>2028</v>
      </c>
      <c r="D27" s="2320"/>
      <c r="E27" s="1425"/>
      <c r="F27" s="1425"/>
      <c r="G27" s="2274"/>
      <c r="H27" s="227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2029</v>
      </c>
      <c r="B28" s="119">
        <v>240</v>
      </c>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2030</v>
      </c>
      <c r="B29" s="3011">
        <v>443</v>
      </c>
      <c r="C29" s="1762" t="s">
        <v>2031</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2032</v>
      </c>
      <c r="B30" s="723">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2033</v>
      </c>
      <c r="B31" s="120">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2034</v>
      </c>
      <c r="B32" s="724">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2035</v>
      </c>
      <c r="B33" s="725">
        <v>0.03</v>
      </c>
      <c r="C33" s="1761" t="s">
        <v>2036</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2037</v>
      </c>
      <c r="B34" s="121">
        <v>0.05</v>
      </c>
      <c r="C34" s="1761" t="s">
        <v>2038</v>
      </c>
      <c r="D34" s="2275" t="s">
        <v>2039</v>
      </c>
      <c r="E34" s="731"/>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2040</v>
      </c>
      <c r="B35" s="119">
        <v>200</v>
      </c>
      <c r="C35" s="1761" t="s">
        <v>2041</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2042</v>
      </c>
      <c r="B36" s="122">
        <v>1.4999999999999999E-2</v>
      </c>
      <c r="C36" s="1761" t="s">
        <v>2043</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2044</v>
      </c>
      <c r="B37" s="123">
        <v>0.02</v>
      </c>
      <c r="C37" s="1761" t="s">
        <v>2045</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2046</v>
      </c>
      <c r="B38" s="121">
        <v>0.02</v>
      </c>
      <c r="C38" s="1761" t="s">
        <v>2045</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2047</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2048</v>
      </c>
      <c r="B40" s="1299">
        <f ca="1">存贷款利率!G1</f>
        <v>4.7500000000000001E-2</v>
      </c>
      <c r="C40" s="1761" t="s">
        <v>2049</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2050</v>
      </c>
      <c r="B41" s="124">
        <f>B42+B43</f>
        <v>5.6000000000000001E-2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2051</v>
      </c>
      <c r="B42" s="125">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2052</v>
      </c>
      <c r="B43" s="126">
        <f>B42*(B44+B45+B46)+B47</f>
        <v>6.000000000000001E-3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2053</v>
      </c>
      <c r="B44" s="127">
        <v>7.0000000000000007E-2</v>
      </c>
      <c r="C44" s="1761" t="s">
        <v>2054</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2055</v>
      </c>
      <c r="B45" s="125">
        <v>0.03</v>
      </c>
      <c r="C45" s="1762" t="s">
        <v>2056</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2057</v>
      </c>
      <c r="B46" s="125">
        <v>0.02</v>
      </c>
      <c r="C46" s="1762" t="s">
        <v>2058</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2059</v>
      </c>
      <c r="B47" s="128"/>
      <c r="C47" s="1762" t="s">
        <v>2060</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2061</v>
      </c>
      <c r="B48" s="129">
        <v>0.03</v>
      </c>
      <c r="C48" s="1769" t="s">
        <v>2062</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2063</v>
      </c>
      <c r="B49" s="125">
        <v>5.0000000000000001E-4</v>
      </c>
      <c r="C49" s="1769" t="s">
        <v>2064</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2065</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2066</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2067</v>
      </c>
      <c r="B52" s="132">
        <f>SUMIF(A54:A63,B53,B54:B63)</f>
        <v>16</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2068</v>
      </c>
      <c r="B53" s="2333" t="s">
        <v>137</v>
      </c>
      <c r="C53" s="1425" t="s">
        <v>2069</v>
      </c>
      <c r="D53" s="2334" t="s">
        <v>2070</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2071</v>
      </c>
      <c r="B54" s="84">
        <v>27</v>
      </c>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2072</v>
      </c>
      <c r="B55" s="84">
        <v>24</v>
      </c>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2073</v>
      </c>
      <c r="B56" s="84">
        <v>20</v>
      </c>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2074</v>
      </c>
      <c r="B57" s="84">
        <v>16</v>
      </c>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2075</v>
      </c>
      <c r="B58" s="84">
        <v>10</v>
      </c>
      <c r="C58" s="1425">
        <v>3</v>
      </c>
      <c r="D58" s="2275"/>
      <c r="E58" s="2274"/>
      <c r="F58" s="2274"/>
      <c r="G58" s="2274"/>
      <c r="H58" s="2274"/>
      <c r="I58" s="2274"/>
      <c r="J58" s="2274"/>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2076</v>
      </c>
      <c r="B59" s="84"/>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2077</v>
      </c>
      <c r="B60" s="84"/>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2078</v>
      </c>
      <c r="B61" s="84"/>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2079</v>
      </c>
      <c r="B62" s="84"/>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2080</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9" t="s">
        <v>2081</v>
      </c>
      <c r="B1" s="3110"/>
      <c r="C1" s="3110"/>
      <c r="D1" s="3110"/>
      <c r="E1" s="3110"/>
      <c r="F1" s="3110"/>
      <c r="G1" s="311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54">
      <c r="A3" s="414" t="s">
        <v>2084</v>
      </c>
      <c r="B3" s="1267" t="s">
        <v>2085</v>
      </c>
      <c r="C3" s="2367" t="s">
        <v>2086</v>
      </c>
      <c r="D3" s="2368"/>
      <c r="E3" s="430" t="s">
        <v>2084</v>
      </c>
      <c r="F3" s="2369" t="s">
        <v>2087</v>
      </c>
      <c r="G3" s="2370" t="s">
        <v>2088</v>
      </c>
      <c r="H3" s="2365"/>
      <c r="I3" s="2365"/>
      <c r="J3" s="2365"/>
      <c r="K3" s="2365"/>
      <c r="L3" s="2365"/>
      <c r="M3" s="2365"/>
      <c r="N3" s="2365"/>
      <c r="O3" s="2365"/>
      <c r="P3" s="2365"/>
      <c r="Q3" s="2365"/>
      <c r="R3" s="2365"/>
    </row>
    <row r="4" spans="1:29" ht="41.25">
      <c r="A4" s="430"/>
      <c r="B4" s="1793" t="s">
        <v>2089</v>
      </c>
      <c r="C4" s="2371" t="s">
        <v>2090</v>
      </c>
      <c r="D4" s="2368"/>
      <c r="E4" s="2372"/>
      <c r="F4" s="42" t="s">
        <v>2091</v>
      </c>
      <c r="G4" s="2373" t="s">
        <v>2092</v>
      </c>
      <c r="H4" s="2365"/>
      <c r="I4" s="2365"/>
      <c r="J4" s="2365"/>
      <c r="K4" s="2365"/>
      <c r="L4" s="2365"/>
      <c r="M4" s="2365"/>
      <c r="N4" s="2365"/>
      <c r="O4" s="2365"/>
      <c r="P4" s="2365"/>
      <c r="Q4" s="2365"/>
      <c r="R4" s="2365"/>
    </row>
    <row r="5" spans="1:29" ht="41.25">
      <c r="A5" s="430"/>
      <c r="B5" s="1793" t="s">
        <v>2093</v>
      </c>
      <c r="C5" s="2371" t="s">
        <v>2094</v>
      </c>
      <c r="D5" s="2368"/>
      <c r="E5" s="2372"/>
      <c r="F5" s="1793" t="s">
        <v>2095</v>
      </c>
      <c r="G5" s="2373" t="s">
        <v>2096</v>
      </c>
      <c r="H5" s="2365"/>
      <c r="I5" s="2365"/>
      <c r="J5" s="2365"/>
      <c r="K5" s="2365"/>
      <c r="L5" s="2365"/>
      <c r="M5" s="2365"/>
      <c r="N5" s="2365"/>
      <c r="O5" s="2365"/>
      <c r="P5" s="2365"/>
      <c r="Q5" s="2365"/>
      <c r="R5" s="2365"/>
    </row>
    <row r="6" spans="1:29" ht="54">
      <c r="A6" s="430"/>
      <c r="B6" s="1793" t="s">
        <v>2097</v>
      </c>
      <c r="C6" s="2373" t="s">
        <v>2092</v>
      </c>
      <c r="D6" s="2368"/>
      <c r="E6" s="2372"/>
      <c r="F6" s="1793" t="s">
        <v>2098</v>
      </c>
      <c r="G6" s="2373" t="s">
        <v>2099</v>
      </c>
      <c r="H6" s="2365"/>
      <c r="I6" s="2365"/>
      <c r="J6" s="2365"/>
      <c r="K6" s="2365"/>
      <c r="L6" s="2365"/>
      <c r="M6" s="2365"/>
      <c r="N6" s="2365"/>
      <c r="O6" s="2365"/>
      <c r="P6" s="2365"/>
      <c r="Q6" s="2365"/>
      <c r="R6" s="2365"/>
    </row>
    <row r="7" spans="1:29" ht="41.25" thickBot="1">
      <c r="A7" s="430"/>
      <c r="B7" s="1793" t="s">
        <v>2095</v>
      </c>
      <c r="C7" s="2373" t="s">
        <v>2096</v>
      </c>
      <c r="D7" s="2374"/>
      <c r="E7" s="2375"/>
      <c r="F7" s="2376" t="s">
        <v>2100</v>
      </c>
      <c r="G7" s="2377" t="s">
        <v>2101</v>
      </c>
      <c r="H7" s="2365"/>
      <c r="I7" s="2365"/>
      <c r="J7" s="2365"/>
      <c r="K7" s="2365"/>
      <c r="L7" s="2365"/>
      <c r="M7" s="2365"/>
      <c r="N7" s="2365"/>
      <c r="O7" s="2365"/>
      <c r="P7" s="2365"/>
      <c r="Q7" s="2365"/>
      <c r="R7" s="2365"/>
    </row>
    <row r="8" spans="1:29" ht="27">
      <c r="A8" s="430"/>
      <c r="B8" s="1793" t="s">
        <v>2098</v>
      </c>
      <c r="C8" s="2373" t="s">
        <v>2099</v>
      </c>
      <c r="D8" s="2374"/>
      <c r="E8" s="2374"/>
      <c r="F8" s="1132"/>
      <c r="G8" s="1132"/>
      <c r="H8" s="2365"/>
      <c r="I8" s="2365"/>
      <c r="J8" s="2365"/>
      <c r="K8" s="2365"/>
      <c r="L8" s="2365"/>
      <c r="M8" s="2365"/>
      <c r="N8" s="2365"/>
      <c r="O8" s="2365"/>
      <c r="P8" s="2365"/>
      <c r="Q8" s="2365"/>
      <c r="R8" s="2365"/>
    </row>
    <row r="9" spans="1:29" ht="27">
      <c r="A9" s="430"/>
      <c r="B9" s="1793" t="s">
        <v>2102</v>
      </c>
      <c r="C9" s="2371" t="s">
        <v>2103</v>
      </c>
      <c r="D9" s="2368"/>
      <c r="E9" s="2374"/>
      <c r="F9" s="1132"/>
      <c r="G9" s="1132"/>
      <c r="H9" s="2365"/>
      <c r="I9" s="2365"/>
      <c r="J9" s="2365"/>
      <c r="K9" s="2365"/>
      <c r="L9" s="2365"/>
      <c r="M9" s="2365"/>
      <c r="N9" s="2365"/>
      <c r="O9" s="2365"/>
      <c r="P9" s="2365"/>
      <c r="Q9" s="2365"/>
      <c r="R9" s="2365"/>
    </row>
    <row r="10" spans="1:29" s="117" customFormat="1" ht="15.75" thickBot="1">
      <c r="A10" s="2378"/>
      <c r="B10" s="2379" t="s">
        <v>2104</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8" t="s">
        <v>2108</v>
      </c>
      <c r="B15" s="1266" t="s">
        <v>2085</v>
      </c>
      <c r="C15" s="2400" t="str">
        <f>C3</f>
        <v>估价对象周边居住用地比例、居住小区规模和社区发展完善程度，综合评价居住社区成熟度一般</v>
      </c>
      <c r="D15" s="2368"/>
      <c r="E15" s="2401" t="s">
        <v>2109</v>
      </c>
      <c r="F15" s="1266" t="s">
        <v>2110</v>
      </c>
      <c r="G15" s="134" t="str">
        <f>G3</f>
        <v>估价对象位于XX开发区，园区建设成熟度XX，产业集聚程度XX</v>
      </c>
    </row>
    <row r="16" spans="1:29" ht="42.75">
      <c r="A16" s="644"/>
      <c r="B16" s="2402" t="s">
        <v>2089</v>
      </c>
      <c r="C16" s="2403" t="str">
        <f>C4</f>
        <v>估价对象位于XX商圈，周边商业氛围成熟，人流量大，商业繁华度好</v>
      </c>
      <c r="D16" s="2368"/>
      <c r="E16" s="2404"/>
      <c r="F16" s="2405" t="s">
        <v>2091</v>
      </c>
      <c r="G16" s="135" t="str">
        <f>G4</f>
        <v>估价对象周边道路状况、公共交通通达情况、停车便捷程度，综合评价交通便捷度较好</v>
      </c>
    </row>
    <row r="17" spans="1:18" ht="42.75">
      <c r="A17" s="644"/>
      <c r="B17" s="2402" t="s">
        <v>2093</v>
      </c>
      <c r="C17" s="2403" t="str">
        <f>C5</f>
        <v>估价对象位于XX商圈，周边办公楼项目较多，入驻率高，办公集聚程度较好</v>
      </c>
      <c r="D17" s="2374"/>
      <c r="E17" s="2404"/>
      <c r="F17" s="2405" t="s">
        <v>2111</v>
      </c>
      <c r="G17" s="1567"/>
    </row>
    <row r="18" spans="1:18" ht="57">
      <c r="A18" s="644"/>
      <c r="B18" s="2405" t="s">
        <v>2097</v>
      </c>
      <c r="C18" s="135" t="str">
        <f>C6</f>
        <v>估价对象周边道路状况、公共交通通达情况、停车便捷程度，综合评价交通便捷度较好</v>
      </c>
      <c r="D18" s="2374"/>
      <c r="E18" s="2404"/>
      <c r="F18" s="2405" t="s">
        <v>2100</v>
      </c>
      <c r="G18" s="135" t="str">
        <f>G7</f>
        <v>该园区内是否有污染型企业，绿化情况，卫生条件，整体环境状况判断</v>
      </c>
    </row>
    <row r="19" spans="1:18" ht="28.5">
      <c r="A19" s="644"/>
      <c r="B19" s="2405" t="s">
        <v>2112</v>
      </c>
      <c r="C19" s="1567"/>
      <c r="D19" s="2368"/>
      <c r="E19" s="2404"/>
      <c r="F19" s="1793" t="s">
        <v>2095</v>
      </c>
      <c r="G19" s="135" t="str">
        <f>G5</f>
        <v>估价对象所在区域公共配套设施齐备情况</v>
      </c>
    </row>
    <row r="20" spans="1:18" ht="28.5">
      <c r="A20" s="644"/>
      <c r="B20" s="2405" t="s">
        <v>2113</v>
      </c>
      <c r="C20" s="2403" t="str">
        <f>C9</f>
        <v>区域自然环境：；人文环境；综合评价环境状况一般</v>
      </c>
      <c r="D20" s="2374"/>
      <c r="E20" s="2404"/>
      <c r="F20" s="1793" t="s">
        <v>2114</v>
      </c>
      <c r="G20" s="135" t="str">
        <f>G6</f>
        <v>估价对象所在区域基础设施水平</v>
      </c>
    </row>
    <row r="21" spans="1:18" ht="28.5">
      <c r="A21" s="644"/>
      <c r="B21" s="1793" t="s">
        <v>2095</v>
      </c>
      <c r="C21" s="135" t="str">
        <f>C7</f>
        <v>估价对象所在区域公共配套设施齐备情况</v>
      </c>
      <c r="D21" s="2368"/>
      <c r="E21" s="2404"/>
      <c r="F21" s="2405" t="s">
        <v>2115</v>
      </c>
      <c r="G21" s="2406"/>
    </row>
    <row r="22" spans="1:18" ht="13.5" customHeight="1">
      <c r="A22" s="644"/>
      <c r="B22" s="1793" t="s">
        <v>2098</v>
      </c>
      <c r="C22" s="135" t="str">
        <f>C8</f>
        <v>估价对象所在区域基础设施水平</v>
      </c>
      <c r="D22" s="2368"/>
      <c r="E22" s="2404"/>
      <c r="F22" s="2405" t="s">
        <v>2104</v>
      </c>
      <c r="G22" s="1567"/>
    </row>
    <row r="23" spans="1:18" s="2365" customFormat="1" ht="15.75" thickBot="1">
      <c r="A23" s="644"/>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2" sqref="C22"/>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47369.179999999993</v>
      </c>
      <c r="C1" s="1740"/>
      <c r="D1" s="1740"/>
      <c r="E1" s="1740"/>
      <c r="F1" s="1740"/>
      <c r="G1" s="1738"/>
    </row>
    <row r="2" spans="1:10" ht="16.5">
      <c r="A2" s="1741" t="s">
        <v>1349</v>
      </c>
      <c r="B2" s="1741">
        <f>SUM(C14:C23)</f>
        <v>9026.75</v>
      </c>
      <c r="C2" s="1740"/>
      <c r="D2" s="1740"/>
      <c r="E2" s="1740"/>
      <c r="F2" s="1740"/>
      <c r="G2" s="1738"/>
    </row>
    <row r="3" spans="1:10" ht="16.5">
      <c r="A3" s="1741" t="s">
        <v>1358</v>
      </c>
      <c r="B3" s="1742">
        <f>项目基本情况!D3</f>
        <v>43714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38050</v>
      </c>
      <c r="C5" s="1741">
        <f ca="1">ROUND(B5*10000/$B$1,0)</f>
        <v>8033</v>
      </c>
      <c r="D5" s="1741">
        <f ca="1">ROUND(B5*10000/$B$2,0)</f>
        <v>42152</v>
      </c>
      <c r="E5" s="1740"/>
      <c r="F5" s="1738"/>
      <c r="G5" s="1738"/>
    </row>
    <row r="6" spans="1:10" ht="16.5">
      <c r="A6" s="1741" t="s">
        <v>1352</v>
      </c>
      <c r="B6" s="1741">
        <f ca="1">SUM(G14:G23)</f>
        <v>23793</v>
      </c>
      <c r="C6" s="1741">
        <f ca="1">ROUND(B6*10000/$B$1,0)</f>
        <v>5023</v>
      </c>
      <c r="D6" s="1741">
        <f ca="1">ROUND(B6*10000/$B$2,0)</f>
        <v>26358</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18470.39</v>
      </c>
      <c r="C14" s="1739">
        <f>结果表!C118</f>
        <v>3519.75</v>
      </c>
      <c r="D14" s="1739">
        <f ca="1">结果表!H118</f>
        <v>23793</v>
      </c>
      <c r="E14" s="1739">
        <f ca="1">ROUND(D14*10000/B14,0)</f>
        <v>12882</v>
      </c>
      <c r="F14" s="1739">
        <f ca="1">ROUND(D14*10000/C14,0)</f>
        <v>67599</v>
      </c>
      <c r="G14" s="1739">
        <f ca="1">结果表!D122</f>
        <v>23793</v>
      </c>
      <c r="H14" s="1739" t="str">
        <f>结果表!D124</f>
        <v>——</v>
      </c>
      <c r="I14" s="1739" t="str">
        <f>结果表!D126</f>
        <v>——</v>
      </c>
      <c r="J14" s="1738"/>
    </row>
    <row r="15" spans="1:10" ht="16.5">
      <c r="A15" s="1737" t="s">
        <v>1345</v>
      </c>
      <c r="B15" s="1744">
        <f>[1]系统读取表!$B$14</f>
        <v>28898.789999999997</v>
      </c>
      <c r="C15" s="1744">
        <f>[1]系统读取表!$C$14</f>
        <v>5507</v>
      </c>
      <c r="D15" s="1744">
        <f ca="1">[1]系统读取表!$D$14</f>
        <v>14257</v>
      </c>
      <c r="E15" s="1739">
        <f t="shared" ref="E15:E23" ca="1" si="0">ROUND(D15*10000/B15,0)</f>
        <v>4933</v>
      </c>
      <c r="F15" s="1739">
        <f t="shared" ref="F15:F23" ca="1" si="1">ROUND(D15*10000/C15,0)</f>
        <v>25889</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2118</v>
      </c>
      <c r="B1" s="2416"/>
      <c r="C1" s="2417"/>
      <c r="D1" s="2416"/>
      <c r="E1" s="2416"/>
      <c r="F1" s="2418" t="s">
        <v>2119</v>
      </c>
      <c r="G1" s="2068" t="s">
        <v>2120</v>
      </c>
      <c r="H1" s="2419" t="str">
        <f>IF(G1="现房","——","估价对象范围")</f>
        <v>估价对象范围</v>
      </c>
      <c r="I1" s="2420"/>
    </row>
    <row r="2" spans="1:12" ht="21.75" customHeight="1" thickBot="1">
      <c r="A2" s="3183" t="str">
        <f>项目基本情况!S2</f>
        <v>出让国有建设用地使用权及在建建筑物房地产</v>
      </c>
      <c r="B2" s="3184"/>
      <c r="C2" s="3184"/>
      <c r="D2" s="3184"/>
      <c r="E2" s="3184"/>
      <c r="F2" s="3184"/>
      <c r="G2" s="3184"/>
      <c r="H2" s="3184"/>
      <c r="I2" s="3185"/>
    </row>
    <row r="3" spans="1:12" ht="12.75">
      <c r="A3" s="3187" t="s">
        <v>2121</v>
      </c>
      <c r="B3" s="3188"/>
      <c r="C3" s="3188"/>
      <c r="D3" s="3188"/>
      <c r="E3" s="3188"/>
      <c r="F3" s="3188"/>
      <c r="G3" s="3188"/>
      <c r="H3" s="3188"/>
      <c r="I3" s="3188"/>
    </row>
    <row r="4" spans="1:12" ht="14.25">
      <c r="A4" s="2423" t="s">
        <v>2122</v>
      </c>
      <c r="B4" s="2424" t="s">
        <v>2123</v>
      </c>
      <c r="C4" s="2425" t="s">
        <v>3315</v>
      </c>
      <c r="D4" s="2425" t="s">
        <v>3316</v>
      </c>
      <c r="E4" s="3167" t="s">
        <v>2124</v>
      </c>
      <c r="F4" s="3180"/>
      <c r="G4" s="3180"/>
      <c r="H4" s="3180"/>
      <c r="I4" s="316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58" t="s">
        <v>2125</v>
      </c>
      <c r="B5" s="3079">
        <v>25</v>
      </c>
      <c r="C5" s="3189"/>
      <c r="D5" s="3186"/>
      <c r="E5" s="139" t="s">
        <v>2126</v>
      </c>
      <c r="F5" s="2427"/>
      <c r="G5" s="2427"/>
      <c r="H5" s="2427"/>
      <c r="I5" s="1829"/>
    </row>
    <row r="6" spans="1:12" ht="12.75">
      <c r="A6" s="3158"/>
      <c r="B6" s="3079"/>
      <c r="C6" s="3191"/>
      <c r="D6" s="3186"/>
      <c r="E6" s="139" t="s">
        <v>2127</v>
      </c>
      <c r="F6" s="2427"/>
      <c r="G6" s="2427"/>
      <c r="H6" s="2427"/>
      <c r="I6" s="1829"/>
    </row>
    <row r="7" spans="1:12" ht="12.75">
      <c r="A7" s="3158"/>
      <c r="B7" s="3079"/>
      <c r="C7" s="3190"/>
      <c r="D7" s="3186"/>
      <c r="E7" s="139" t="s">
        <v>2128</v>
      </c>
      <c r="F7" s="2427"/>
      <c r="G7" s="2427"/>
      <c r="H7" s="2427"/>
      <c r="I7" s="1829"/>
    </row>
    <row r="8" spans="1:12" ht="12.75">
      <c r="A8" s="3158" t="s">
        <v>2129</v>
      </c>
      <c r="B8" s="3079">
        <v>15</v>
      </c>
      <c r="C8" s="3189"/>
      <c r="D8" s="3186"/>
      <c r="E8" s="139" t="s">
        <v>2130</v>
      </c>
      <c r="F8" s="2427"/>
      <c r="G8" s="2427"/>
      <c r="H8" s="2427"/>
      <c r="I8" s="1829"/>
    </row>
    <row r="9" spans="1:12" ht="12.75">
      <c r="A9" s="3158"/>
      <c r="B9" s="3079"/>
      <c r="C9" s="3190"/>
      <c r="D9" s="3186"/>
      <c r="E9" s="139" t="s">
        <v>2131</v>
      </c>
      <c r="F9" s="2427"/>
      <c r="G9" s="2427"/>
      <c r="H9" s="2427"/>
      <c r="I9" s="1829"/>
    </row>
    <row r="10" spans="1:12" ht="12.75">
      <c r="A10" s="3158" t="s">
        <v>2132</v>
      </c>
      <c r="B10" s="3079">
        <v>15</v>
      </c>
      <c r="C10" s="3189"/>
      <c r="D10" s="3186"/>
      <c r="E10" s="139" t="s">
        <v>2133</v>
      </c>
      <c r="F10" s="2427"/>
      <c r="G10" s="2427"/>
      <c r="H10" s="2427"/>
      <c r="I10" s="1829"/>
    </row>
    <row r="11" spans="1:12" ht="12.75">
      <c r="A11" s="3158"/>
      <c r="B11" s="3079"/>
      <c r="C11" s="3190"/>
      <c r="D11" s="3186"/>
      <c r="E11" s="139" t="s">
        <v>2134</v>
      </c>
      <c r="F11" s="2427"/>
      <c r="G11" s="2427"/>
      <c r="H11" s="2427"/>
      <c r="I11" s="1829"/>
    </row>
    <row r="12" spans="1:12" ht="12.75">
      <c r="A12" s="3158" t="s">
        <v>2135</v>
      </c>
      <c r="B12" s="3079">
        <v>15</v>
      </c>
      <c r="C12" s="3189"/>
      <c r="D12" s="3186"/>
      <c r="E12" s="139" t="s">
        <v>2136</v>
      </c>
      <c r="F12" s="2427"/>
      <c r="G12" s="2427"/>
      <c r="H12" s="2427"/>
      <c r="I12" s="1829"/>
    </row>
    <row r="13" spans="1:12" ht="12.75">
      <c r="A13" s="3158"/>
      <c r="B13" s="3079"/>
      <c r="C13" s="3190"/>
      <c r="D13" s="3186"/>
      <c r="E13" s="139" t="s">
        <v>2137</v>
      </c>
      <c r="F13" s="2427"/>
      <c r="G13" s="2427"/>
      <c r="H13" s="2427"/>
      <c r="I13" s="1829"/>
    </row>
    <row r="14" spans="1:12" ht="12.75">
      <c r="A14" s="3158" t="s">
        <v>2138</v>
      </c>
      <c r="B14" s="3079">
        <v>30</v>
      </c>
      <c r="C14" s="3202">
        <v>6</v>
      </c>
      <c r="D14" s="3176">
        <v>4</v>
      </c>
      <c r="E14" s="139" t="s">
        <v>2139</v>
      </c>
      <c r="F14" s="2427"/>
      <c r="G14" s="2427"/>
      <c r="H14" s="2427"/>
      <c r="I14" s="1829"/>
    </row>
    <row r="15" spans="1:12" ht="12.75">
      <c r="A15" s="3158"/>
      <c r="B15" s="3079"/>
      <c r="C15" s="3203"/>
      <c r="D15" s="3176"/>
      <c r="E15" s="139" t="s">
        <v>2140</v>
      </c>
      <c r="F15" s="2427"/>
      <c r="G15" s="2427"/>
      <c r="H15" s="2427"/>
      <c r="I15" s="1829"/>
    </row>
    <row r="16" spans="1:12" ht="12.75">
      <c r="A16" s="3158"/>
      <c r="B16" s="3079"/>
      <c r="C16" s="3204"/>
      <c r="D16" s="3176"/>
      <c r="E16" s="139" t="s">
        <v>2141</v>
      </c>
      <c r="F16" s="2427"/>
      <c r="G16" s="2427"/>
      <c r="H16" s="2427"/>
      <c r="I16" s="1829"/>
    </row>
    <row r="17" spans="1:35" ht="15">
      <c r="A17" s="2428" t="s">
        <v>2142</v>
      </c>
      <c r="B17" s="64"/>
      <c r="C17" s="140">
        <f>SUM(C5:C16)</f>
        <v>6</v>
      </c>
      <c r="D17" s="140">
        <f>SUM(D5:D16)</f>
        <v>4</v>
      </c>
      <c r="E17" s="137"/>
      <c r="F17" s="137"/>
      <c r="G17" s="137"/>
      <c r="H17" s="137"/>
      <c r="I17" s="137"/>
      <c r="K17" s="2426"/>
      <c r="L17" s="2429" t="s">
        <v>2143</v>
      </c>
      <c r="M17" s="2429" t="s">
        <v>2144</v>
      </c>
    </row>
    <row r="18" spans="1:35" ht="15.75" thickBot="1">
      <c r="A18" s="2430" t="s">
        <v>2145</v>
      </c>
      <c r="B18" s="2431"/>
      <c r="C18" s="141">
        <f>ROUND(C17/SUM(C17:D17),2)</f>
        <v>0.6</v>
      </c>
      <c r="D18" s="141">
        <f>1-C18</f>
        <v>0.4</v>
      </c>
      <c r="E18" s="137"/>
      <c r="F18" s="137"/>
      <c r="G18" s="137"/>
      <c r="H18" s="137"/>
      <c r="I18" s="137"/>
      <c r="K18" s="2426" t="s">
        <v>2146</v>
      </c>
      <c r="L18" s="2426">
        <f>IF(C1="",'数据-汇总表'!E3,SUMIF(项目类型,C1,'数据-汇总表'!E17:E26)+SUMIF(项目类型,C1,'数据-汇总表'!I17:I26))</f>
        <v>18470.39</v>
      </c>
      <c r="M18" s="2426">
        <f>IF(C1="",'数据-汇总表'!E3,SUMIF(项目类型,C1,'数据-汇总表'!E17:E26))</f>
        <v>18470.39</v>
      </c>
    </row>
    <row r="19" spans="1:35" ht="15">
      <c r="A19" s="2432" t="s">
        <v>2147</v>
      </c>
      <c r="B19" s="2433" t="s">
        <v>2148</v>
      </c>
      <c r="C19" s="142">
        <f ca="1">SUMIF(INDIRECT("'"&amp;C4&amp;"'"&amp;"!A:A"),结果表!B19,INDIRECT("'"&amp;C4&amp;"'"&amp;"!B:B"))</f>
        <v>18115</v>
      </c>
      <c r="D19" s="143">
        <f ca="1">SUMIF(INDIRECT("'"&amp;D4&amp;"'"&amp;"!A:A"),结果表!B19,INDIRECT("'"&amp;D4&amp;"'"&amp;"!B:B"))</f>
        <v>32310</v>
      </c>
      <c r="E19" s="2432" t="s">
        <v>2149</v>
      </c>
      <c r="F19" s="2433" t="s">
        <v>2148</v>
      </c>
      <c r="G19" s="144">
        <f ca="1">ROUND(C19*$C$18+D19*$D$18,0)</f>
        <v>23793</v>
      </c>
      <c r="H19" s="2434" t="s">
        <v>2150</v>
      </c>
      <c r="I19" s="137"/>
      <c r="K19" s="2426" t="s">
        <v>2151</v>
      </c>
      <c r="L19" s="2426">
        <f>IF(C1="",'数据-汇总表'!D3,SUMIF(项目类型,C1,'数据-汇总表'!D17:D26)+SUMIF(项目类型,C1,'数据-汇总表'!H17:H27))</f>
        <v>3519.75</v>
      </c>
      <c r="M19" s="2426">
        <f>IF(C1="",'数据-汇总表'!D3,SUMIF(项目类型,C1,'数据-汇总表'!D17:D26))</f>
        <v>3519.75</v>
      </c>
    </row>
    <row r="20" spans="1:35" ht="15">
      <c r="A20" s="2435"/>
      <c r="B20" s="1246" t="s">
        <v>2152</v>
      </c>
      <c r="C20" s="145">
        <f ca="1">SUMIF(INDIRECT("'"&amp;C4&amp;"'"&amp;"!A:A"),结果表!B20,INDIRECT("'"&amp;C4&amp;"'"&amp;"!B:B"))</f>
        <v>9808</v>
      </c>
      <c r="D20" s="146">
        <f ca="1">SUMIF(INDIRECT("'"&amp;D4&amp;"'"&amp;"!A:A"),结果表!B20,INDIRECT("'"&amp;D4&amp;"'"&amp;"!B:B"))</f>
        <v>17493</v>
      </c>
      <c r="E20" s="2435"/>
      <c r="F20" s="1246" t="s">
        <v>2152</v>
      </c>
      <c r="G20" s="147">
        <f ca="1">ROUND(C20*$C$18+D20*$D$18,0)</f>
        <v>12882</v>
      </c>
      <c r="H20" s="979" t="s">
        <v>2153</v>
      </c>
      <c r="I20" s="137"/>
    </row>
    <row r="21" spans="1:35" ht="15" customHeight="1" thickBot="1">
      <c r="A21" s="999"/>
      <c r="B21" s="2436" t="s">
        <v>2154</v>
      </c>
      <c r="C21" s="788">
        <f ca="1">ROUND(C19*10000/L19,0)</f>
        <v>51467</v>
      </c>
      <c r="D21" s="789">
        <f ca="1">ROUND(D19*10000/L19,0)</f>
        <v>91796</v>
      </c>
      <c r="E21" s="999"/>
      <c r="F21" s="2436" t="s">
        <v>2154</v>
      </c>
      <c r="G21" s="148">
        <f ca="1">ROUND(G19*10000/L19,0)</f>
        <v>67599</v>
      </c>
      <c r="H21" s="2437" t="s">
        <v>2153</v>
      </c>
      <c r="I21" s="137"/>
    </row>
    <row r="22" spans="1:35" ht="15" thickBot="1">
      <c r="A22" s="2278" t="s">
        <v>2155</v>
      </c>
      <c r="B22" s="2438"/>
      <c r="C22" s="2439"/>
      <c r="D22" s="790">
        <f ca="1">IF(C19&lt;D19,D19/C19-1,C19/D19-1)</f>
        <v>0.78360474744686726</v>
      </c>
      <c r="E22" s="137"/>
      <c r="F22" s="137"/>
      <c r="G22" s="137"/>
      <c r="H22" s="137"/>
      <c r="I22" s="137"/>
    </row>
    <row r="23" spans="1:35" ht="13.5" thickBot="1">
      <c r="A23" s="2416"/>
      <c r="B23" s="2416"/>
      <c r="C23" s="2416"/>
      <c r="D23" s="2416"/>
      <c r="E23" s="137"/>
      <c r="F23" s="137"/>
      <c r="G23" s="137"/>
      <c r="H23" s="137"/>
      <c r="I23" s="137"/>
    </row>
    <row r="24" spans="1:35" ht="14.25">
      <c r="A24" s="3198" t="s">
        <v>2156</v>
      </c>
      <c r="B24" s="2433" t="s">
        <v>2148</v>
      </c>
      <c r="C24" s="144">
        <f>IF(B30=0,0,D30)</f>
        <v>0</v>
      </c>
      <c r="D24" s="2440"/>
      <c r="E24" s="137"/>
      <c r="F24" s="137"/>
      <c r="G24" s="137"/>
      <c r="H24" s="137"/>
      <c r="I24" s="137"/>
    </row>
    <row r="25" spans="1:35" ht="14.25">
      <c r="A25" s="3199"/>
      <c r="B25" s="1246" t="s">
        <v>2152</v>
      </c>
      <c r="C25" s="149">
        <f>IF(B30=0,0,C30)</f>
        <v>0</v>
      </c>
      <c r="D25" s="2441"/>
      <c r="E25" s="137"/>
      <c r="F25" s="137"/>
      <c r="G25" s="137"/>
      <c r="H25" s="137"/>
      <c r="I25" s="137"/>
    </row>
    <row r="26" spans="1:35" ht="13.5" customHeight="1">
      <c r="A26" s="2442" t="s">
        <v>2157</v>
      </c>
      <c r="B26" s="150" t="s">
        <v>2158</v>
      </c>
      <c r="C26" s="150" t="s">
        <v>2159</v>
      </c>
      <c r="D26" s="151" t="s">
        <v>2160</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2161</v>
      </c>
      <c r="B30" s="150"/>
      <c r="C30" s="150"/>
      <c r="D30" s="150"/>
      <c r="E30" s="2915" t="s">
        <v>3035</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2162</v>
      </c>
      <c r="B32" s="2446"/>
      <c r="C32" s="152">
        <f ca="1">IF(D32="总价",G19-C24,G20-C25)</f>
        <v>23793</v>
      </c>
      <c r="D32" s="2447" t="s">
        <v>2163</v>
      </c>
      <c r="E32" s="137"/>
      <c r="F32" s="137"/>
      <c r="G32" s="137"/>
      <c r="H32" s="137"/>
      <c r="I32" s="137"/>
    </row>
    <row r="33" spans="1:15" ht="15">
      <c r="A33" s="956" t="s">
        <v>2164</v>
      </c>
      <c r="B33" s="2448"/>
      <c r="C33" s="2449"/>
      <c r="D33" s="2450"/>
      <c r="E33" s="2451" t="s">
        <v>2165</v>
      </c>
      <c r="F33" s="2452" t="str">
        <f>IF(D32="楼面单价","取值（单价）","取值（总价）")</f>
        <v>取值（总价）</v>
      </c>
      <c r="G33" s="137"/>
      <c r="H33" s="137"/>
      <c r="I33" s="137"/>
    </row>
    <row r="34" spans="1:15" ht="15">
      <c r="A34" s="2453"/>
      <c r="B34" s="2454"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5" t="s">
        <v>2167</v>
      </c>
      <c r="F34" s="1734"/>
      <c r="G34" s="137"/>
      <c r="H34" s="137"/>
      <c r="I34" s="137"/>
    </row>
    <row r="35" spans="1:15" ht="15.75" thickBot="1">
      <c r="A35" s="2456"/>
      <c r="B35" s="2457" t="s">
        <v>2168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2169</v>
      </c>
      <c r="F35" s="162"/>
      <c r="G35" s="137"/>
      <c r="H35" s="137"/>
      <c r="I35" s="137"/>
    </row>
    <row r="36" spans="1:15" ht="15.75" thickBot="1">
      <c r="A36" s="3177" t="s">
        <v>2170</v>
      </c>
      <c r="B36" s="2459" t="s">
        <v>2171</v>
      </c>
      <c r="C36" s="153"/>
      <c r="D36" s="2460"/>
      <c r="E36" s="2461"/>
      <c r="F36" s="2462"/>
      <c r="G36" s="137"/>
      <c r="H36" s="137"/>
      <c r="I36" s="137"/>
    </row>
    <row r="37" spans="1:15" ht="15.75" thickBot="1">
      <c r="A37" s="3178"/>
      <c r="B37" s="2264" t="s">
        <v>2172</v>
      </c>
      <c r="C37" s="155"/>
      <c r="D37" s="1390"/>
      <c r="E37" s="1390"/>
      <c r="F37" s="2462"/>
      <c r="G37" s="137"/>
      <c r="H37" s="137"/>
      <c r="I37" s="137"/>
    </row>
    <row r="38" spans="1:15" ht="15.75" thickBot="1">
      <c r="A38" s="3179"/>
      <c r="B38" s="2463" t="s">
        <v>2173</v>
      </c>
      <c r="C38" s="726"/>
      <c r="D38" s="2464" t="s">
        <v>2174</v>
      </c>
      <c r="E38" s="1390"/>
      <c r="F38" s="2462"/>
      <c r="G38" s="137"/>
      <c r="H38" s="137"/>
      <c r="I38" s="137"/>
    </row>
    <row r="39" spans="1:15" ht="15">
      <c r="A39" s="2435" t="s">
        <v>2175</v>
      </c>
      <c r="B39" s="2465" t="s">
        <v>2176</v>
      </c>
      <c r="C39" s="2466" t="s">
        <v>2177</v>
      </c>
      <c r="D39" s="2466" t="s">
        <v>2178</v>
      </c>
      <c r="E39" s="2467" t="s">
        <v>2179</v>
      </c>
      <c r="F39" s="2462"/>
      <c r="G39" s="137"/>
      <c r="H39" s="137"/>
      <c r="I39" s="137"/>
    </row>
    <row r="40" spans="1:15" ht="14.25">
      <c r="A40" s="2468" t="s">
        <v>2180</v>
      </c>
      <c r="B40" s="157"/>
      <c r="C40" s="158"/>
      <c r="D40" s="158"/>
      <c r="E40" s="159"/>
      <c r="F40" s="2462"/>
      <c r="G40" s="137"/>
      <c r="H40" s="137"/>
      <c r="I40" s="137"/>
    </row>
    <row r="41" spans="1:15" ht="14.25">
      <c r="A41" s="2468" t="s">
        <v>2181</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95" t="s">
        <v>2184</v>
      </c>
      <c r="B45" s="3196"/>
      <c r="C45" s="3197"/>
      <c r="D45" s="163">
        <f ca="1">ROUND(H101*F45,0)</f>
        <v>23793</v>
      </c>
      <c r="E45" s="164" t="s">
        <v>2185</v>
      </c>
      <c r="F45" s="165">
        <v>1</v>
      </c>
      <c r="G45" s="166" t="s">
        <v>2186</v>
      </c>
      <c r="H45" s="137"/>
      <c r="I45" s="137"/>
      <c r="J45" s="3113" t="s">
        <v>2187</v>
      </c>
      <c r="K45" s="3113"/>
      <c r="L45" s="3113"/>
      <c r="M45" s="3113"/>
      <c r="N45" s="3113"/>
      <c r="O45" s="3113"/>
    </row>
    <row r="46" spans="1:15" ht="14.25" customHeight="1">
      <c r="A46" s="3192" t="s">
        <v>2188</v>
      </c>
      <c r="B46" s="3193"/>
      <c r="C46" s="3193"/>
      <c r="D46" s="3193"/>
      <c r="E46" s="3193"/>
      <c r="F46" s="3193"/>
      <c r="G46" s="3194"/>
      <c r="H46" s="2478"/>
      <c r="I46" s="167"/>
      <c r="J46" s="1807">
        <v>1</v>
      </c>
      <c r="K46" s="3113" t="s">
        <v>2189</v>
      </c>
      <c r="L46" s="3113"/>
      <c r="M46" s="3114"/>
      <c r="N46" s="3114"/>
      <c r="O46" s="3114"/>
    </row>
    <row r="47" spans="1:15" ht="12" customHeight="1">
      <c r="A47" s="168" t="s">
        <v>2190</v>
      </c>
      <c r="B47" s="169"/>
      <c r="C47" s="170"/>
      <c r="D47" s="171" t="s">
        <v>2191</v>
      </c>
      <c r="E47" s="24" t="s">
        <v>2192</v>
      </c>
      <c r="F47" s="172" t="s">
        <v>2193</v>
      </c>
      <c r="G47" s="173" t="s">
        <v>2194</v>
      </c>
      <c r="H47" s="2478"/>
      <c r="I47" s="167"/>
      <c r="J47" s="1807">
        <v>2</v>
      </c>
      <c r="K47" s="3113" t="s">
        <v>2195</v>
      </c>
      <c r="L47" s="3113"/>
      <c r="M47" s="3115">
        <f>'数据-取费表'!B2</f>
        <v>43714</v>
      </c>
      <c r="N47" s="3115"/>
      <c r="O47" s="3115"/>
    </row>
    <row r="48" spans="1:15" ht="25.5">
      <c r="A48" s="3181" t="s">
        <v>2196</v>
      </c>
      <c r="B48" s="3182"/>
      <c r="C48" s="3182"/>
      <c r="D48" s="139">
        <f>IF(H48="情况1",0,IF(H48="情况2",D52,IF(H48="情况3",D53,IF(H48="情况4",D54))))</f>
        <v>0</v>
      </c>
      <c r="E48" s="1796" t="str">
        <f>IF(H48="情况4","(销售额-原购置价)×税（费）率","销售额×税（费）率")</f>
        <v>销售额×税（费）率</v>
      </c>
      <c r="F48" s="174" t="str">
        <f>IF(H48="情况1","免征",'数据-取费表'!B41)</f>
        <v>免征</v>
      </c>
      <c r="G48" s="2479" t="s">
        <v>2197</v>
      </c>
      <c r="H48" s="2480" t="s">
        <v>2198</v>
      </c>
      <c r="I48" s="2478"/>
      <c r="J48" s="1807">
        <v>3</v>
      </c>
      <c r="K48" s="3113" t="s">
        <v>2199</v>
      </c>
      <c r="L48" s="3113"/>
      <c r="M48" s="3116">
        <f ca="1">H101</f>
        <v>23793</v>
      </c>
      <c r="N48" s="3116"/>
      <c r="O48" s="3116"/>
    </row>
    <row r="49" spans="1:35" ht="25.5" customHeight="1">
      <c r="A49" s="175" t="s">
        <v>2200</v>
      </c>
      <c r="B49" s="3161" t="s">
        <v>2201</v>
      </c>
      <c r="C49" s="3161"/>
      <c r="D49" s="176">
        <v>0</v>
      </c>
      <c r="E49" s="23" t="s">
        <v>2202</v>
      </c>
      <c r="F49" s="28" t="s">
        <v>34</v>
      </c>
      <c r="G49" s="3142"/>
      <c r="H49" s="137"/>
      <c r="I49" s="2481"/>
      <c r="J49" s="1807">
        <v>4</v>
      </c>
      <c r="K49" s="3113" t="str">
        <f>IF(项目基本情况!E8="房地产抵押价值","房地产抵押价值","抵押担保权已注销时的房地产抵押价值")</f>
        <v>房地产抵押价值</v>
      </c>
      <c r="L49" s="3113"/>
      <c r="M49" s="3116">
        <f ca="1">IF(项目基本情况!E8="房地产抵押价值",H107,H109)</f>
        <v>23793</v>
      </c>
      <c r="N49" s="3116"/>
      <c r="O49" s="3116"/>
    </row>
    <row r="50" spans="1:35" ht="25.5" customHeight="1">
      <c r="A50" s="177"/>
      <c r="B50" s="3161" t="s">
        <v>2203</v>
      </c>
      <c r="C50" s="3161"/>
      <c r="D50" s="178"/>
      <c r="E50" s="31"/>
      <c r="F50" s="179"/>
      <c r="G50" s="3143"/>
      <c r="H50" s="137"/>
      <c r="I50" s="2481"/>
      <c r="J50" s="3113" t="s">
        <v>2204</v>
      </c>
      <c r="K50" s="3113"/>
      <c r="L50" s="3113"/>
      <c r="M50" s="3113"/>
      <c r="N50" s="3113"/>
      <c r="O50" s="3113"/>
    </row>
    <row r="51" spans="1:35" ht="12" customHeight="1">
      <c r="A51" s="180"/>
      <c r="B51" s="3161" t="s">
        <v>2205</v>
      </c>
      <c r="C51" s="3161"/>
      <c r="D51" s="181"/>
      <c r="E51" s="30"/>
      <c r="F51" s="179"/>
      <c r="G51" s="3144"/>
      <c r="H51" s="137"/>
      <c r="I51" s="2481"/>
      <c r="J51" s="2482" t="s">
        <v>2206</v>
      </c>
      <c r="K51" s="3113" t="s">
        <v>2207</v>
      </c>
      <c r="L51" s="3113"/>
      <c r="M51" s="2482" t="s">
        <v>2208</v>
      </c>
      <c r="N51" s="2482" t="s">
        <v>2209</v>
      </c>
      <c r="O51" s="2482" t="s">
        <v>2210</v>
      </c>
    </row>
    <row r="52" spans="1:35" ht="24" customHeight="1">
      <c r="A52" s="182" t="s">
        <v>2211</v>
      </c>
      <c r="B52" s="3161" t="s">
        <v>2212</v>
      </c>
      <c r="C52" s="3161"/>
      <c r="D52" s="181">
        <f ca="1">ROUND(D45*'数据-取费表'!B41/(1+'数据-取费表'!C42),0)</f>
        <v>1269</v>
      </c>
      <c r="E52" s="11" t="s">
        <v>2213</v>
      </c>
      <c r="F52" s="183">
        <f>'数据-取费表'!B41</f>
        <v>5.6000000000000001E-2</v>
      </c>
      <c r="G52" s="2483"/>
      <c r="H52" s="137"/>
      <c r="I52" s="2481"/>
      <c r="J52" s="1807">
        <v>1</v>
      </c>
      <c r="K52" s="3136" t="s">
        <v>2214</v>
      </c>
      <c r="L52" s="3136"/>
      <c r="M52" s="1749">
        <f>D48</f>
        <v>0</v>
      </c>
      <c r="N52" s="1807" t="str">
        <f>E48</f>
        <v>销售额×税（费）率</v>
      </c>
      <c r="O52" s="1750" t="str">
        <f>F48</f>
        <v>免征</v>
      </c>
    </row>
    <row r="53" spans="1:35" ht="12" customHeight="1">
      <c r="A53" s="182" t="s">
        <v>2215</v>
      </c>
      <c r="B53" s="3162" t="s">
        <v>2216</v>
      </c>
      <c r="C53" s="3163"/>
      <c r="D53" s="181">
        <f ca="1">ROUND(D45*'数据-取费表'!B41/(1+'数据-取费表'!C42),0)</f>
        <v>1269</v>
      </c>
      <c r="E53" s="11" t="s">
        <v>2213</v>
      </c>
      <c r="F53" s="183">
        <f>'数据-取费表'!B41</f>
        <v>5.6000000000000001E-2</v>
      </c>
      <c r="G53" s="2483"/>
      <c r="H53" s="137"/>
      <c r="I53" s="2481"/>
      <c r="J53" s="1807">
        <v>2</v>
      </c>
      <c r="K53" s="3136" t="s">
        <v>2217</v>
      </c>
      <c r="L53" s="3136"/>
      <c r="M53" s="1749">
        <f t="shared" ref="M53:O54" ca="1" si="0">D55</f>
        <v>12</v>
      </c>
      <c r="N53" s="1807" t="str">
        <f t="shared" si="0"/>
        <v>销售额×税（费）率</v>
      </c>
      <c r="O53" s="1750">
        <f t="shared" si="0"/>
        <v>5.0000000000000001E-4</v>
      </c>
    </row>
    <row r="54" spans="1:35" ht="12" customHeight="1">
      <c r="A54" s="182" t="s">
        <v>2218</v>
      </c>
      <c r="B54" s="3162" t="s">
        <v>2219</v>
      </c>
      <c r="C54" s="3163"/>
      <c r="D54" s="181">
        <f ca="1">C68</f>
        <v>1269</v>
      </c>
      <c r="E54" s="30" t="s">
        <v>2220</v>
      </c>
      <c r="F54" s="183">
        <f>'数据-取费表'!B41</f>
        <v>5.6000000000000001E-2</v>
      </c>
      <c r="G54" s="2483"/>
      <c r="H54" s="2484"/>
      <c r="I54" s="2481"/>
      <c r="J54" s="1807">
        <v>3</v>
      </c>
      <c r="K54" s="3136" t="s">
        <v>2221</v>
      </c>
      <c r="L54" s="3136"/>
      <c r="M54" s="1749">
        <f t="shared" ca="1" si="0"/>
        <v>13467</v>
      </c>
      <c r="N54" s="1807" t="str">
        <f t="shared" si="0"/>
        <v>增值额×税（费）率</v>
      </c>
      <c r="O54" s="1751" t="str">
        <f t="shared" si="0"/>
        <v>——</v>
      </c>
    </row>
    <row r="55" spans="1:35" ht="24" customHeight="1">
      <c r="A55" s="3201" t="s">
        <v>2222</v>
      </c>
      <c r="B55" s="3182"/>
      <c r="C55" s="3182"/>
      <c r="D55" s="184">
        <f ca="1">IF(H55="个人住宅",0,ROUND(D45*I55,0))</f>
        <v>12</v>
      </c>
      <c r="E55" s="11" t="s">
        <v>2223</v>
      </c>
      <c r="F55" s="183">
        <f>IF(H55="正常",I55,"免征")</f>
        <v>5.0000000000000001E-4</v>
      </c>
      <c r="G55" s="2483"/>
      <c r="H55" s="2480" t="s">
        <v>2224</v>
      </c>
      <c r="I55" s="185">
        <f>'数据-取费表'!B49</f>
        <v>5.0000000000000001E-4</v>
      </c>
      <c r="J55" s="1807" t="str">
        <f>IF(H59="非个人房产","",4)</f>
        <v/>
      </c>
      <c r="K55" s="3136" t="str">
        <f>IF(H59="非个人房产","——","个人所得税")</f>
        <v>——</v>
      </c>
      <c r="L55" s="3136"/>
      <c r="M55" s="1752" t="str">
        <f>D59</f>
        <v>——</v>
      </c>
      <c r="N55" s="1805" t="str">
        <f>E59</f>
        <v>——</v>
      </c>
      <c r="O55" s="1753" t="str">
        <f>F59</f>
        <v>——</v>
      </c>
    </row>
    <row r="56" spans="1:35" ht="24.75">
      <c r="A56" s="3201" t="s">
        <v>2225</v>
      </c>
      <c r="B56" s="3182"/>
      <c r="C56" s="3182"/>
      <c r="D56" s="184">
        <f ca="1">IF(H56="个人住宅",D57,D58)</f>
        <v>13467</v>
      </c>
      <c r="E56" s="11" t="s">
        <v>2226</v>
      </c>
      <c r="F56" s="183" t="str">
        <f>IF(H56="正常",F58,"免征")</f>
        <v>——</v>
      </c>
      <c r="G56" s="2485" t="s">
        <v>2227</v>
      </c>
      <c r="H56" s="2486" t="s">
        <v>2224</v>
      </c>
      <c r="I56" s="2487"/>
      <c r="J56" s="1807" t="str">
        <f>IF(项目基本情况!K6="上海银行",IF(J55="",4,J55+1),"")</f>
        <v/>
      </c>
      <c r="K56" s="3119" t="str">
        <f>IF(项目基本情况!K6="上海银行","其他处置费用","")</f>
        <v/>
      </c>
      <c r="L56" s="3120"/>
      <c r="M56" s="1749" t="str">
        <f>IF(项目基本情况!K6="上海银行",M69,"")</f>
        <v/>
      </c>
      <c r="N56" s="3122" t="str">
        <f>IF(项目基本情况!K6="上海银行","包含处置中涉及的律师、诉讼、拍卖、评估等费用","")</f>
        <v/>
      </c>
      <c r="O56" s="3123"/>
    </row>
    <row r="57" spans="1:35" ht="12.75">
      <c r="A57" s="182" t="s">
        <v>2200</v>
      </c>
      <c r="B57" s="3167" t="s">
        <v>2228</v>
      </c>
      <c r="C57" s="3168"/>
      <c r="D57" s="186">
        <v>0</v>
      </c>
      <c r="E57" s="23" t="s">
        <v>2202</v>
      </c>
      <c r="F57" s="154"/>
      <c r="G57" s="2483"/>
      <c r="H57" s="2487"/>
      <c r="I57" s="2487"/>
      <c r="J57" s="3136">
        <f>IF(AND(J55="",J56=""),4,IF(项目基本情况!K6="上海银行",结果表!J56+1,结果表!J55+1))</f>
        <v>4</v>
      </c>
      <c r="K57" s="3136" t="s">
        <v>2229</v>
      </c>
      <c r="L57" s="2488" t="s">
        <v>2230</v>
      </c>
      <c r="M57" s="1754"/>
      <c r="N57" s="1755">
        <f ca="1">SUMIF(M52:M56,"&lt;9e307")</f>
        <v>13479</v>
      </c>
      <c r="O57" s="2489"/>
      <c r="P57" s="1748">
        <f ca="1">N57/M49</f>
        <v>0.56651115874416846</v>
      </c>
    </row>
    <row r="58" spans="1:35" ht="24.75">
      <c r="A58" s="182" t="s">
        <v>2211</v>
      </c>
      <c r="B58" s="3167" t="s">
        <v>2231</v>
      </c>
      <c r="C58" s="3180"/>
      <c r="D58" s="184">
        <f ca="1">IF(H58="转让取得",C81,C97)</f>
        <v>13467</v>
      </c>
      <c r="E58" s="11" t="s">
        <v>2226</v>
      </c>
      <c r="F58" s="24" t="s">
        <v>34</v>
      </c>
      <c r="G58" s="2483"/>
      <c r="H58" s="2486" t="s">
        <v>2232</v>
      </c>
      <c r="I58" s="2487"/>
      <c r="J58" s="3136"/>
      <c r="K58" s="3136"/>
      <c r="L58" s="2488" t="s">
        <v>2233</v>
      </c>
      <c r="M58" s="1756"/>
      <c r="N58" s="2490" t="str">
        <f ca="1">NUMBERSTRING(INT(N57*10000),2)&amp;"元整"</f>
        <v>壹亿叁仟肆佰柒拾玖万元整</v>
      </c>
      <c r="O58" s="2491"/>
    </row>
    <row r="59" spans="1:35" ht="24.75" thickBot="1">
      <c r="A59" s="3140" t="s">
        <v>2234</v>
      </c>
      <c r="B59" s="3141"/>
      <c r="C59" s="3141"/>
      <c r="D59" s="187" t="str">
        <f>IF(H59="非个人房产","——",IF(H59="个人住宅",0,ROUND(D45*I59,0)))</f>
        <v>——</v>
      </c>
      <c r="E59" s="188" t="str">
        <f>IF(H59="非个人房产","——","销售额×税（费）率")</f>
        <v>——</v>
      </c>
      <c r="F59" s="189" t="str">
        <f>IF(H59="非个人房产","——",IF(H59="个人住宅","免征",I59))</f>
        <v>——</v>
      </c>
      <c r="G59" s="2492" t="s">
        <v>2227</v>
      </c>
      <c r="H59" s="2486" t="s">
        <v>2235</v>
      </c>
      <c r="I59" s="190">
        <v>0.01</v>
      </c>
      <c r="J59" s="3138">
        <f>J57+1</f>
        <v>5</v>
      </c>
      <c r="K59" s="3136" t="s">
        <v>2236</v>
      </c>
      <c r="L59" s="1807" t="s">
        <v>2230</v>
      </c>
      <c r="M59" s="1757"/>
      <c r="N59" s="1758">
        <f ca="1">M49-N57</f>
        <v>10314</v>
      </c>
      <c r="O59" s="2493"/>
    </row>
    <row r="60" spans="1:35" ht="12" customHeight="1">
      <c r="A60" s="2494"/>
      <c r="B60" s="2416"/>
      <c r="C60" s="2416"/>
      <c r="D60" s="2416"/>
      <c r="E60" s="2164"/>
      <c r="F60" s="2487"/>
      <c r="G60" s="2487"/>
      <c r="H60" s="2495"/>
      <c r="I60" s="137"/>
      <c r="J60" s="3139"/>
      <c r="K60" s="3136"/>
      <c r="L60" s="2488" t="s">
        <v>2233</v>
      </c>
      <c r="M60" s="1756"/>
      <c r="N60" s="2490" t="str">
        <f ca="1">NUMBERSTRING(INT(N59*10000),2)&amp;"元整"</f>
        <v>壹亿零叁佰壹拾肆万元整</v>
      </c>
      <c r="O60" s="2491"/>
    </row>
    <row r="61" spans="1:35" ht="13.5" thickBot="1">
      <c r="A61" s="3200" t="s">
        <v>2237</v>
      </c>
      <c r="B61" s="3200"/>
      <c r="C61" s="3200"/>
      <c r="D61" s="3200"/>
      <c r="E61" s="3200"/>
      <c r="F61" s="2487"/>
      <c r="G61" s="2487"/>
      <c r="H61" s="2495"/>
      <c r="I61" s="137"/>
      <c r="J61" s="1807">
        <f>J59+1</f>
        <v>6</v>
      </c>
      <c r="K61" s="3136" t="s">
        <v>2238</v>
      </c>
      <c r="L61" s="3136"/>
      <c r="M61" s="1759"/>
      <c r="N61" s="1760">
        <f ca="1">ROUND(N59*10000/'数据-汇总表'!E3,0)</f>
        <v>5584</v>
      </c>
      <c r="O61" s="2496"/>
    </row>
    <row r="62" spans="1:35" ht="12.75">
      <c r="A62" s="3156" t="s">
        <v>2239</v>
      </c>
      <c r="B62" s="3157"/>
      <c r="C62" s="1799"/>
      <c r="D62" s="1799" t="s">
        <v>2240</v>
      </c>
      <c r="E62" s="191" t="s">
        <v>2241</v>
      </c>
      <c r="F62" s="2487"/>
      <c r="G62" s="2487"/>
      <c r="H62" s="2495"/>
      <c r="I62" s="137"/>
    </row>
    <row r="63" spans="1:35" ht="12.75">
      <c r="A63" s="202" t="s">
        <v>775</v>
      </c>
      <c r="B63" s="192" t="s">
        <v>2242</v>
      </c>
      <c r="C63" s="193">
        <f ca="1">ROUND((C64+C65)/(1+'数据-取费表'!C42),0)</f>
        <v>22660</v>
      </c>
      <c r="D63" s="194"/>
      <c r="E63" s="195"/>
      <c r="F63" s="2487"/>
      <c r="G63" s="2487"/>
      <c r="H63" s="2495"/>
      <c r="I63" s="137"/>
      <c r="J63" s="3121" t="s">
        <v>2243</v>
      </c>
      <c r="K63" s="2497" t="s">
        <v>2244</v>
      </c>
      <c r="L63" s="1747">
        <f ca="1">IF(M49&gt;10000,M49*0.5%,IF(AND(M49&gt;1000,M49&lt;=10000),M49*1%,IF(AND(M49&gt;100,M49&lt;=1000),M49*3%,IF(AND(M49&gt;10,M49&lt;=100),M49*5%,M49*8%))))</f>
        <v>118.965</v>
      </c>
      <c r="M63" s="24">
        <f ca="1">ROUND(L63,1)</f>
        <v>119</v>
      </c>
      <c r="Z63" s="2421"/>
      <c r="AI63" s="2422"/>
    </row>
    <row r="64" spans="1:35" ht="14.25" customHeight="1">
      <c r="A64" s="196" t="s">
        <v>770</v>
      </c>
      <c r="B64" s="197" t="s">
        <v>2245</v>
      </c>
      <c r="C64" s="198">
        <f ca="1">D45</f>
        <v>23793</v>
      </c>
      <c r="D64" s="199" t="s">
        <v>32</v>
      </c>
      <c r="E64" s="200"/>
      <c r="F64" s="2487"/>
      <c r="G64" s="2487"/>
      <c r="H64" s="2495"/>
      <c r="I64" s="137"/>
      <c r="J64" s="3121"/>
      <c r="K64" s="2497" t="s">
        <v>2246</v>
      </c>
      <c r="L64" s="1747">
        <f ca="1">IF(M49&gt;2000,M49*0.5%,IF(AND(M49&gt;1000,M49&lt;=2000),M49*0.6%,IF(AND(M49&gt;500,M49&lt;=1000),M49*0.7%,IF(AND(M49&gt;200,M49&lt;=500),M49*0.8%,IF(AND(M49&gt;100,M49&lt;=200),M49*0.9%,IF(AND(M49&gt;50,M49&lt;=100),M49*1%,IF(AND(M49&gt;20,M49&lt;=50),M49*1.5%,IF(AND(M49&gt;10,M49&lt;=20),M49*2%,IF(AND(M49&gt;1,M49&lt;=10),M49*2.5%)))))))))</f>
        <v>118.965</v>
      </c>
      <c r="M64" s="24">
        <f t="shared" ref="M64:M65" ca="1" si="1">ROUND(L64,1)</f>
        <v>119</v>
      </c>
      <c r="N64" s="137" t="s">
        <v>2247</v>
      </c>
      <c r="Z64" s="2421"/>
      <c r="AI64" s="2422"/>
    </row>
    <row r="65" spans="1:35" ht="14.25" customHeight="1">
      <c r="A65" s="196" t="s">
        <v>771</v>
      </c>
      <c r="B65" s="197" t="s">
        <v>2248</v>
      </c>
      <c r="C65" s="201"/>
      <c r="D65" s="199"/>
      <c r="E65" s="200"/>
      <c r="F65" s="2487"/>
      <c r="G65" s="2487"/>
      <c r="H65" s="2495"/>
      <c r="I65" s="137"/>
      <c r="J65" s="3121"/>
      <c r="K65" s="2497" t="s">
        <v>2249</v>
      </c>
      <c r="L65" s="1747">
        <f ca="1">IF(M49&gt;1000,M49*0.1%,IF(AND(M49&gt;500,M49&lt;=1000),M49*0.5%,IF(AND(M49&gt;50,M49&lt;=500),M49*1%,IF(AND(M49&gt;1,M49&lt;=50),M49*1.5%))))</f>
        <v>23.792999999999999</v>
      </c>
      <c r="M65" s="24">
        <f t="shared" ca="1" si="1"/>
        <v>23.8</v>
      </c>
      <c r="N65" s="137" t="s">
        <v>2247</v>
      </c>
      <c r="Z65" s="2421"/>
      <c r="AI65" s="2422"/>
    </row>
    <row r="66" spans="1:35" ht="14.25" customHeight="1">
      <c r="A66" s="202" t="s">
        <v>772</v>
      </c>
      <c r="B66" s="203" t="s">
        <v>2250</v>
      </c>
      <c r="C66" s="204"/>
      <c r="D66" s="205" t="s">
        <v>32</v>
      </c>
      <c r="E66" s="1771" t="s">
        <v>1367</v>
      </c>
      <c r="F66" s="2487"/>
      <c r="G66" s="2487"/>
      <c r="H66" s="2495"/>
      <c r="I66" s="137"/>
      <c r="J66" s="3121"/>
      <c r="K66" s="2497" t="s">
        <v>2251</v>
      </c>
      <c r="L66" s="1747">
        <f ca="1">M49*0.5%</f>
        <v>118.965</v>
      </c>
      <c r="M66" s="24">
        <f ca="1">IF(L66&gt;0.5,0.5,ROUND(L66,0))</f>
        <v>0.5</v>
      </c>
      <c r="N66" s="137" t="s">
        <v>2252</v>
      </c>
      <c r="Z66" s="2421"/>
      <c r="AI66" s="2422"/>
    </row>
    <row r="67" spans="1:35" ht="14.25" customHeight="1">
      <c r="A67" s="202" t="s">
        <v>773</v>
      </c>
      <c r="B67" s="203" t="s">
        <v>2253</v>
      </c>
      <c r="C67" s="206">
        <f ca="1">C63-C66</f>
        <v>22660</v>
      </c>
      <c r="D67" s="199" t="s">
        <v>32</v>
      </c>
      <c r="E67" s="200"/>
      <c r="F67" s="2487"/>
      <c r="G67" s="2487"/>
      <c r="H67" s="2495"/>
      <c r="I67" s="137"/>
      <c r="J67" s="3121"/>
      <c r="K67" s="2497" t="s">
        <v>2254</v>
      </c>
      <c r="L67" s="1747">
        <f ca="1">IF(M49&gt;=10000,(8.25+(M49-10000)*0.01%),IF(AND(M49&gt;=8000,M49&lt;10000),(7.85+(M49-8000)*0.02%),IF(AND(M49&gt;=5000,M49&lt;8000),(6.65+(M49-5000)*0.04%),IF(AND(M49&gt;=2000,M49&lt;5000),(4.25+(PM49-2000)*0.08%),IF(AND(M49&gt;=1000,M49&lt;2000),(2.75+(M49-1000)*0.15%),IF(AND(M49&gt;=100,M49&lt;1000),(0.5+(M49-100)*0.25%),IF(AND(M49&gt;0,M49&lt;100),M49*0.5%)))))))</f>
        <v>9.6293000000000006</v>
      </c>
      <c r="M67" s="24">
        <f ca="1">ROUND(L67*0.9,1)</f>
        <v>8.6999999999999993</v>
      </c>
      <c r="Z67" s="2421"/>
      <c r="AI67" s="2422"/>
    </row>
    <row r="68" spans="1:35" ht="14.25" customHeight="1" thickBot="1">
      <c r="A68" s="207" t="s">
        <v>774</v>
      </c>
      <c r="B68" s="208" t="s">
        <v>2255</v>
      </c>
      <c r="C68" s="209">
        <f ca="1">IF(C67&lt;=0,0,ROUND(C67*D68,0))</f>
        <v>1269</v>
      </c>
      <c r="D68" s="210">
        <f>'数据-取费表'!B41</f>
        <v>5.6000000000000001E-2</v>
      </c>
      <c r="E68" s="211"/>
      <c r="F68" s="2487"/>
      <c r="G68" s="2487"/>
      <c r="H68" s="2495"/>
      <c r="I68" s="137"/>
      <c r="J68" s="3121"/>
      <c r="K68" s="2497" t="s">
        <v>2256</v>
      </c>
      <c r="L68" s="1747">
        <f ca="1">IF(M49&gt;10000,M49*0.5%,IF(AND(M49&gt;5000,M49&lt;=10000),M49*1%,IF(AND(M49&gt;1000,M49&lt;=5000),M49*2%,IF(AND(M49&gt;200,M49&lt;=1000),M49*3%,M49*5%))))</f>
        <v>118.965</v>
      </c>
      <c r="M68" s="24">
        <f ca="1">ROUND(L68,1)</f>
        <v>119</v>
      </c>
      <c r="Z68" s="2421"/>
      <c r="AI68" s="2422"/>
    </row>
    <row r="69" spans="1:35" s="2444" customFormat="1" ht="16.5" customHeight="1">
      <c r="A69" s="2498"/>
      <c r="B69" s="2499"/>
      <c r="C69" s="2500"/>
      <c r="D69" s="2501"/>
      <c r="E69" s="2502"/>
      <c r="F69" s="2164"/>
      <c r="G69" s="2164"/>
      <c r="H69" s="2163"/>
      <c r="I69" s="2416"/>
      <c r="J69" s="3121"/>
      <c r="K69" s="2497" t="s">
        <v>2257</v>
      </c>
      <c r="L69" s="2503"/>
      <c r="M69" s="24">
        <f ca="1">ROUND(SUM(M63:M68),0)</f>
        <v>390</v>
      </c>
      <c r="N69" s="1748">
        <f ca="1">M69/M49</f>
        <v>1.6391375614676587E-2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65" t="s">
        <v>2258</v>
      </c>
      <c r="B70" s="3166"/>
      <c r="C70" s="3166"/>
      <c r="D70" s="3166"/>
      <c r="E70" s="3166"/>
      <c r="F70" s="3166"/>
      <c r="G70" s="3166"/>
      <c r="H70" s="31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6" t="s">
        <v>2239</v>
      </c>
      <c r="B71" s="3157"/>
      <c r="C71" s="1799"/>
      <c r="D71" s="1799" t="s">
        <v>2240</v>
      </c>
      <c r="E71" s="212" t="s">
        <v>2241</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2259</v>
      </c>
      <c r="C72" s="206">
        <f ca="1">ROUND(D45/(1+'数据-取费表'!C42),0)</f>
        <v>22660</v>
      </c>
      <c r="D72" s="199" t="s">
        <v>32</v>
      </c>
      <c r="E72" s="1798"/>
      <c r="F72" s="1792"/>
      <c r="G72" s="1792"/>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2260</v>
      </c>
      <c r="C73" s="206">
        <f ca="1">C74+C78</f>
        <v>136</v>
      </c>
      <c r="D73" s="199" t="s">
        <v>32</v>
      </c>
      <c r="E73" s="1798"/>
      <c r="F73" s="1792"/>
      <c r="G73" s="1792"/>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2261</v>
      </c>
      <c r="C74" s="199">
        <f>ROUND(IF(G77="2016年5月1日后购买",C75/(1+'数据-取费表'!C42)+C76+C77,C75+C76+C77),0)</f>
        <v>0</v>
      </c>
      <c r="D74" s="199" t="s">
        <v>32</v>
      </c>
      <c r="E74" s="1798"/>
      <c r="F74" s="1792"/>
      <c r="G74" s="1792"/>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2262</v>
      </c>
      <c r="C75" s="217"/>
      <c r="D75" s="199" t="s">
        <v>32</v>
      </c>
      <c r="E75" s="218" t="s">
        <v>2263</v>
      </c>
      <c r="F75" s="2509" t="s">
        <v>2264</v>
      </c>
      <c r="G75" s="218" t="s">
        <v>2265</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2266</v>
      </c>
      <c r="C76" s="199">
        <f>IF(F75="购房发票",ROUND(C75*H75*D76,0),0)</f>
        <v>0</v>
      </c>
      <c r="D76" s="221">
        <v>0.05</v>
      </c>
      <c r="E76" s="3162" t="s">
        <v>2267</v>
      </c>
      <c r="F76" s="3161"/>
      <c r="G76" s="3161"/>
      <c r="H76" s="31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1" t="s">
        <v>2270</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2271</v>
      </c>
      <c r="C78" s="224">
        <f ca="1">ROUND(D45*D78/(1+'数据-取费表'!C42),0)</f>
        <v>136</v>
      </c>
      <c r="D78" s="225">
        <f>'数据-取费表'!B43</f>
        <v>6.000000000000001E-3</v>
      </c>
      <c r="E78" s="3153" t="s">
        <v>2272</v>
      </c>
      <c r="F78" s="3154"/>
      <c r="G78" s="3154"/>
      <c r="H78" s="315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2273</v>
      </c>
      <c r="C79" s="206">
        <f ca="1">C72-C73</f>
        <v>22524</v>
      </c>
      <c r="D79" s="199" t="s">
        <v>32</v>
      </c>
      <c r="E79" s="1798"/>
      <c r="F79" s="1792"/>
      <c r="G79" s="1792"/>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2274</v>
      </c>
      <c r="C80" s="226">
        <f ca="1">IF(C79&lt;=0,0,C79/C73)</f>
        <v>165.61764705882354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2275</v>
      </c>
      <c r="C81" s="227">
        <f ca="1">ROUND(IF(C79&lt;=0,0,IF(C80&gt;=200%,C79*60%-C73*35%,IF(C80&gt;=100%,C79*50%-C73*15%,IF(C80&gt;=50%,C79*40%-C73*5%,IF(C80&lt;50%,C79*30%,0))))),0)</f>
        <v>13467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5" t="s">
        <v>2276</v>
      </c>
      <c r="B83" s="3166"/>
      <c r="C83" s="3166"/>
      <c r="D83" s="3166"/>
      <c r="E83" s="3166"/>
      <c r="F83" s="3166"/>
      <c r="G83" s="3166"/>
      <c r="H83" s="31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6" t="s">
        <v>2239</v>
      </c>
      <c r="B84" s="3157"/>
      <c r="C84" s="1799"/>
      <c r="D84" s="1799" t="s">
        <v>2240</v>
      </c>
      <c r="E84" s="212" t="s">
        <v>2241</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2259</v>
      </c>
      <c r="C85" s="206">
        <f ca="1">ROUND(D45/(1+'数据-取费表'!C42),0)</f>
        <v>22660</v>
      </c>
      <c r="D85" s="199" t="s">
        <v>32</v>
      </c>
      <c r="E85" s="1798"/>
      <c r="F85" s="1792"/>
      <c r="G85" s="1792"/>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2260</v>
      </c>
      <c r="C86" s="206">
        <f ca="1">IF(H88="仅含出让金",C87+C90+C91+C92+C93+C94,C87+C91+C92+C93+C94)</f>
        <v>136</v>
      </c>
      <c r="D86" s="234"/>
      <c r="E86" s="1798"/>
      <c r="F86" s="1792"/>
      <c r="G86" s="1792"/>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2277</v>
      </c>
      <c r="C87" s="224">
        <f>C88+C89</f>
        <v>0</v>
      </c>
      <c r="D87" s="225"/>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2278</v>
      </c>
      <c r="C88" s="235"/>
      <c r="D88" s="225"/>
      <c r="E88" s="236" t="s">
        <v>2279</v>
      </c>
      <c r="F88" s="1795"/>
      <c r="G88" s="237"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2268</v>
      </c>
      <c r="C89" s="224">
        <f>ROUND(C88*D89,0)</f>
        <v>0</v>
      </c>
      <c r="D89" s="225">
        <f>'数据-取费表'!B48+'数据-取费表'!B49</f>
        <v>3.0499999999999999E-2</v>
      </c>
      <c r="E89" s="236" t="s">
        <v>2281</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2282</v>
      </c>
      <c r="C90" s="235"/>
      <c r="D90" s="225"/>
      <c r="E90" s="236"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2283</v>
      </c>
      <c r="B91" s="197" t="s">
        <v>2284</v>
      </c>
      <c r="C91" s="224">
        <f>IF(H91="——",成本法!C33,I91)</f>
        <v>0</v>
      </c>
      <c r="D91" s="225"/>
      <c r="E91" s="3153" t="s">
        <v>2285</v>
      </c>
      <c r="F91" s="3154"/>
      <c r="G91" s="3154"/>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2287</v>
      </c>
      <c r="B92" s="197" t="s">
        <v>2288</v>
      </c>
      <c r="C92" s="224">
        <f>ROUND((C87+C90+C91)*D92,0)</f>
        <v>0</v>
      </c>
      <c r="D92" s="225">
        <v>0.1</v>
      </c>
      <c r="E92" s="3153" t="s">
        <v>2289</v>
      </c>
      <c r="F92" s="3154"/>
      <c r="G92" s="3154"/>
      <c r="H92" s="315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2290</v>
      </c>
      <c r="B93" s="197" t="s">
        <v>2271</v>
      </c>
      <c r="C93" s="224">
        <f ca="1">ROUND(D45*D93/(1+'数据-取费表'!C42),0)</f>
        <v>136</v>
      </c>
      <c r="D93" s="225">
        <f>'数据-取费表'!B43</f>
        <v>6.000000000000001E-3</v>
      </c>
      <c r="E93" s="3153" t="s">
        <v>2272</v>
      </c>
      <c r="F93" s="3154"/>
      <c r="G93" s="3154"/>
      <c r="H93" s="315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2291</v>
      </c>
      <c r="B94" s="197" t="s">
        <v>2292</v>
      </c>
      <c r="C94" s="235">
        <f>ROUND((C87+C90+C91)*D94,0)</f>
        <v>0</v>
      </c>
      <c r="D94" s="225">
        <v>0.2</v>
      </c>
      <c r="E94" s="3205" t="s">
        <v>2293</v>
      </c>
      <c r="F94" s="3206"/>
      <c r="G94" s="3206"/>
      <c r="H94" s="320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2273</v>
      </c>
      <c r="C95" s="206">
        <f ca="1">ROUND(C85-C86,0)</f>
        <v>22524</v>
      </c>
      <c r="D95" s="199" t="s">
        <v>32</v>
      </c>
      <c r="E95" s="1798"/>
      <c r="F95" s="1792"/>
      <c r="G95" s="1792"/>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2274</v>
      </c>
      <c r="C96" s="226">
        <f ca="1">IF(C95&lt;=0,0,C95/C86)</f>
        <v>165.61764705882354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2275</v>
      </c>
      <c r="C97" s="227">
        <f ca="1">ROUND(IF(C95&lt;=0,0,IF(C96&gt;=200%,C95*60%-C86*35%,IF(C96&gt;=100%,C95*50%-C86*15%,IF(C96&gt;=50%,C95*40%-C86*5%,IF(C96&lt;50%,C95*30%,0))))),0)</f>
        <v>13467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2294</v>
      </c>
      <c r="B99" s="2416"/>
      <c r="C99" s="2416"/>
      <c r="D99" s="2416"/>
      <c r="E99" s="2164"/>
      <c r="F99" s="2164"/>
      <c r="G99" s="2164"/>
      <c r="H99" s="2163"/>
      <c r="I99" s="137"/>
    </row>
    <row r="100" spans="1:35" ht="18.75" customHeight="1">
      <c r="A100" s="3105" t="s">
        <v>2295</v>
      </c>
      <c r="B100" s="3106"/>
      <c r="C100" s="3106"/>
      <c r="D100" s="3137"/>
      <c r="E100" s="3106" t="s">
        <v>2296</v>
      </c>
      <c r="F100" s="3106"/>
      <c r="G100" s="3106"/>
      <c r="H100" s="3137"/>
      <c r="I100" s="137"/>
    </row>
    <row r="101" spans="1:35" ht="18.75" customHeight="1">
      <c r="A101" s="3145" t="s">
        <v>2297</v>
      </c>
      <c r="B101" s="3146"/>
      <c r="C101" s="735" t="str">
        <f>C4</f>
        <v>成本法</v>
      </c>
      <c r="D101" s="736" t="str">
        <f>D4</f>
        <v>假设开发法</v>
      </c>
      <c r="E101" s="3117" t="s">
        <v>2298</v>
      </c>
      <c r="F101" s="3118"/>
      <c r="G101" s="2518" t="s">
        <v>2299</v>
      </c>
      <c r="H101" s="1044">
        <f ca="1">H118</f>
        <v>23793</v>
      </c>
      <c r="I101" s="137"/>
    </row>
    <row r="102" spans="1:35" ht="18.75" customHeight="1">
      <c r="A102" s="3147" t="s">
        <v>2300</v>
      </c>
      <c r="B102" s="2518" t="s">
        <v>2299</v>
      </c>
      <c r="C102" s="735">
        <f ca="1">C19</f>
        <v>18115</v>
      </c>
      <c r="D102" s="736">
        <f ca="1">D19</f>
        <v>32310</v>
      </c>
      <c r="E102" s="3117"/>
      <c r="F102" s="3118"/>
      <c r="G102" s="2518" t="s">
        <v>2301</v>
      </c>
      <c r="H102" s="370">
        <f ca="1">I118</f>
        <v>12882</v>
      </c>
      <c r="I102" s="137"/>
    </row>
    <row r="103" spans="1:35" ht="42.75" customHeight="1">
      <c r="A103" s="3147"/>
      <c r="B103" s="2518" t="s">
        <v>2301</v>
      </c>
      <c r="C103" s="737">
        <f ca="1">C20</f>
        <v>9808</v>
      </c>
      <c r="D103" s="738">
        <f ca="1">D20</f>
        <v>17493</v>
      </c>
      <c r="E103" s="3111" t="s">
        <v>2302</v>
      </c>
      <c r="F103" s="3112"/>
      <c r="G103" s="2519" t="s">
        <v>2303</v>
      </c>
      <c r="H103" s="1044">
        <f>IF(D36="正常操作",H104+H105+H106,H105+H106)</f>
        <v>0</v>
      </c>
      <c r="I103" s="137"/>
    </row>
    <row r="104" spans="1:35" ht="18.75" customHeight="1">
      <c r="A104" s="3147" t="s">
        <v>2304</v>
      </c>
      <c r="B104" s="2520" t="s">
        <v>2299</v>
      </c>
      <c r="C104" s="739">
        <f ca="1">H118</f>
        <v>23793</v>
      </c>
      <c r="D104" s="740"/>
      <c r="E104" s="2264" t="s">
        <v>2305</v>
      </c>
      <c r="F104" s="2256"/>
      <c r="G104" s="2519" t="s">
        <v>2303</v>
      </c>
      <c r="H104" s="1045">
        <f>IF(D36="同一抵押权人同一抵押物续贷",C36&amp;"（未扣减，详见特别提示）",C36)</f>
        <v>0</v>
      </c>
      <c r="I104" s="137"/>
    </row>
    <row r="105" spans="1:35" ht="18.75" customHeight="1" thickBot="1">
      <c r="A105" s="3159"/>
      <c r="B105" s="2521" t="s">
        <v>2301</v>
      </c>
      <c r="C105" s="741">
        <f ca="1">I118</f>
        <v>12882</v>
      </c>
      <c r="D105" s="742"/>
      <c r="E105" s="2264" t="s">
        <v>2306</v>
      </c>
      <c r="F105" s="2256"/>
      <c r="G105" s="2519" t="s">
        <v>2303</v>
      </c>
      <c r="H105" s="1045">
        <f>C37</f>
        <v>0</v>
      </c>
      <c r="I105" s="137"/>
    </row>
    <row r="106" spans="1:35" ht="18.75" customHeight="1">
      <c r="A106" s="2416" t="s">
        <v>2307</v>
      </c>
      <c r="B106" s="2416"/>
      <c r="C106" s="2416"/>
      <c r="D106" s="2416"/>
      <c r="E106" s="2522" t="s">
        <v>2308</v>
      </c>
      <c r="F106" s="2256"/>
      <c r="G106" s="2519" t="s">
        <v>2303</v>
      </c>
      <c r="H106" s="1045">
        <f>C38</f>
        <v>0</v>
      </c>
      <c r="I106" s="137"/>
    </row>
    <row r="107" spans="1:35" ht="18.75" customHeight="1">
      <c r="A107" s="137"/>
      <c r="B107" s="137"/>
      <c r="C107" s="137"/>
      <c r="D107" s="137"/>
      <c r="E107" s="3148" t="str">
        <f>IF(项目基本情况!E8="已注销","——","3.房地产抵押价值")</f>
        <v>3.房地产抵押价值</v>
      </c>
      <c r="F107" s="3118"/>
      <c r="G107" s="2518" t="s">
        <v>2299</v>
      </c>
      <c r="H107" s="1044">
        <f ca="1">IF(E107="——","——",H101-H103)</f>
        <v>23793</v>
      </c>
      <c r="I107" s="137"/>
    </row>
    <row r="108" spans="1:35" ht="18.75" customHeight="1">
      <c r="A108" s="137"/>
      <c r="B108" s="137"/>
      <c r="C108" s="137"/>
      <c r="D108" s="137"/>
      <c r="E108" s="3148"/>
      <c r="F108" s="3118"/>
      <c r="G108" s="2518" t="s">
        <v>2301</v>
      </c>
      <c r="H108" s="370">
        <f ca="1">ROUND(H107*10000/'数据-汇总表'!E3,0)</f>
        <v>12882</v>
      </c>
      <c r="I108" s="137"/>
    </row>
    <row r="109" spans="1:35" ht="18.75" customHeight="1">
      <c r="A109" s="137"/>
      <c r="B109" s="137"/>
      <c r="C109" s="137"/>
      <c r="D109" s="137"/>
      <c r="E109" s="3148" t="str">
        <f>IF(项目基本情况!E8="已注销及未注销","4.抵押担保权已注销时的房地产抵押价值",IF(项目基本情况!E8="已注销","3.抵押担保权已注销时的房地产抵押价值","——"))</f>
        <v>——</v>
      </c>
      <c r="F109" s="3118"/>
      <c r="G109" s="2518" t="s">
        <v>2299</v>
      </c>
      <c r="H109" s="347" t="str">
        <f>IF(E109="——","——",H101-H105-H106)</f>
        <v>——</v>
      </c>
      <c r="I109" s="137"/>
    </row>
    <row r="110" spans="1:35" ht="18.75" customHeight="1">
      <c r="A110" s="137"/>
      <c r="B110" s="137"/>
      <c r="C110" s="137"/>
      <c r="D110" s="137"/>
      <c r="E110" s="3148"/>
      <c r="F110" s="3118"/>
      <c r="G110" s="2518" t="s">
        <v>2301</v>
      </c>
      <c r="H110" s="370" t="str">
        <f>IF(H109="——","——",ROUND(H109*10000/'数据-汇总表'!E3,0))</f>
        <v>——</v>
      </c>
      <c r="I110" s="137"/>
    </row>
    <row r="111" spans="1:35" ht="18.75" customHeight="1">
      <c r="A111" s="137"/>
      <c r="B111" s="137"/>
      <c r="C111" s="137"/>
      <c r="D111" s="137"/>
      <c r="E111" s="3149" t="str">
        <f>IF(项目基本情况!E9="抵押净值",IF(OR(项目基本情况!E8="已注销",项目基本情况!E8="房地产抵押价值"),"4.抵押净值","5.抵押净值"),"——")</f>
        <v>——</v>
      </c>
      <c r="F111" s="3150"/>
      <c r="G111" s="2518" t="s">
        <v>2299</v>
      </c>
      <c r="H111" s="1044" t="str">
        <f>IF(E111="——","——",N59)</f>
        <v>——</v>
      </c>
      <c r="I111" s="137"/>
    </row>
    <row r="112" spans="1:35" ht="18.75" customHeight="1" thickBot="1">
      <c r="A112" s="137"/>
      <c r="B112" s="137"/>
      <c r="C112" s="137"/>
      <c r="D112" s="137"/>
      <c r="E112" s="3151"/>
      <c r="F112" s="3152"/>
      <c r="G112" s="2523" t="s">
        <v>2301</v>
      </c>
      <c r="H112" s="789" t="str">
        <f>IF(E111="——","——",N61)</f>
        <v>——</v>
      </c>
      <c r="I112" s="137"/>
    </row>
    <row r="113" spans="1:11" ht="18.75" customHeight="1">
      <c r="A113" s="137"/>
      <c r="B113" s="137"/>
      <c r="C113" s="137"/>
      <c r="D113" s="137"/>
      <c r="E113" s="3160" t="s">
        <v>2307</v>
      </c>
      <c r="F113" s="3160"/>
      <c r="G113" s="3160"/>
      <c r="H113" s="3160"/>
      <c r="I113" s="137"/>
    </row>
    <row r="114" spans="1:11" ht="3.75" customHeight="1">
      <c r="A114" s="2416"/>
      <c r="B114" s="2416"/>
      <c r="C114" s="2416"/>
      <c r="D114" s="2416"/>
      <c r="E114" s="2494"/>
      <c r="F114" s="2494"/>
      <c r="G114" s="2494"/>
      <c r="H114" s="2494"/>
      <c r="I114" s="2416"/>
    </row>
    <row r="115" spans="1:11" ht="18.75" customHeight="1">
      <c r="A115" s="3173" t="s">
        <v>2309</v>
      </c>
      <c r="B115" s="3174"/>
      <c r="C115" s="3174"/>
      <c r="D115" s="3174"/>
      <c r="E115" s="3174"/>
      <c r="F115" s="3174"/>
      <c r="G115" s="3174"/>
      <c r="H115" s="3174"/>
      <c r="I115" s="3175"/>
    </row>
    <row r="116" spans="1:11" ht="27" customHeight="1">
      <c r="A116" s="3079" t="s">
        <v>2310</v>
      </c>
      <c r="B116" s="3127" t="s">
        <v>2311</v>
      </c>
      <c r="C116" s="3127" t="s">
        <v>2312</v>
      </c>
      <c r="D116" s="3133" t="s">
        <v>2313</v>
      </c>
      <c r="E116" s="3134"/>
      <c r="F116" s="3169" t="s">
        <v>2314</v>
      </c>
      <c r="G116" s="3169"/>
      <c r="H116" s="3079" t="s">
        <v>2315</v>
      </c>
      <c r="I116" s="3079"/>
    </row>
    <row r="117" spans="1:11" ht="18.75" customHeight="1">
      <c r="A117" s="3079"/>
      <c r="B117" s="3128"/>
      <c r="C117" s="3128"/>
      <c r="D117" s="1793" t="s">
        <v>2316</v>
      </c>
      <c r="E117" s="1793" t="s">
        <v>2317</v>
      </c>
      <c r="F117" s="1793" t="s">
        <v>2316</v>
      </c>
      <c r="G117" s="1793" t="s">
        <v>2318</v>
      </c>
      <c r="H117" s="1793" t="s">
        <v>2316</v>
      </c>
      <c r="I117" s="1793" t="s">
        <v>2318</v>
      </c>
    </row>
    <row r="118" spans="1:11" ht="24.75" customHeight="1">
      <c r="A118" s="2524" t="str">
        <f>项目基本情况!S2</f>
        <v>出让国有建设用地使用权及在建建筑物房地产</v>
      </c>
      <c r="B118" s="1793">
        <f>M18</f>
        <v>18470.39</v>
      </c>
      <c r="C118" s="1793">
        <f>M19</f>
        <v>3519.75</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23793</v>
      </c>
      <c r="I118" s="1793">
        <f ca="1">ROUND(IF(D32="楼面单价",C32,H118*10000/B118),0)</f>
        <v>12882</v>
      </c>
    </row>
    <row r="119" spans="1:11" ht="18.75" customHeight="1">
      <c r="A119" s="3079" t="s">
        <v>2319</v>
      </c>
      <c r="B119" s="3079"/>
      <c r="C119" s="3079"/>
      <c r="D119" s="3129" t="e">
        <f ca="1">NUMBERSTRING(INT(D118*10000),2)&amp;"元整"</f>
        <v>#REF!</v>
      </c>
      <c r="E119" s="3130"/>
      <c r="F119" s="3129" t="e">
        <f ca="1">NUMBERSTRING(INT(F118*10000),2)&amp;"元整"</f>
        <v>#REF!</v>
      </c>
      <c r="G119" s="3130"/>
      <c r="H119" s="3129" t="str">
        <f ca="1">NUMBERSTRING(INT(H118*10000),2)&amp;"元整"</f>
        <v>贰亿叁仟柒佰玖拾叁万元整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1" t="str">
        <f>IF(D120=0,"故，本次评估不存在"&amp;A120,"故，本次评估"&amp;A120&amp;"为人民币"&amp;D120&amp;"万元整。")</f>
        <v>故，本次评估不存在估价师知悉的法定优先受偿款</v>
      </c>
    </row>
    <row r="121" spans="1:11" ht="18.75" customHeight="1">
      <c r="A121" s="3170" t="s">
        <v>2319</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23793</v>
      </c>
      <c r="E122" s="3125"/>
      <c r="F122" s="3125"/>
      <c r="G122" s="3125"/>
      <c r="H122" s="3125"/>
      <c r="I122" s="3126"/>
    </row>
    <row r="123" spans="1:11" ht="18.75" customHeight="1">
      <c r="A123" s="3079" t="s">
        <v>2319</v>
      </c>
      <c r="B123" s="3079"/>
      <c r="C123" s="3079"/>
      <c r="D123" s="3129" t="str">
        <f ca="1">NUMBERSTRING(INT(D122*10000),2)&amp;"元整"</f>
        <v>贰亿叁仟柒佰玖拾叁万元整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79" t="s">
        <v>2319</v>
      </c>
      <c r="B125" s="3079"/>
      <c r="C125" s="3079"/>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79" t="s">
        <v>2319</v>
      </c>
      <c r="B127" s="3079"/>
      <c r="C127" s="3079"/>
      <c r="D127" s="3129" t="e">
        <f>NUMBERSTRING(INT(D126*10000),2)&amp;"元整"</f>
        <v>#VALUE!</v>
      </c>
      <c r="E127" s="3131"/>
      <c r="F127" s="3131"/>
      <c r="G127" s="3131"/>
      <c r="H127" s="3131"/>
      <c r="I127" s="3130"/>
    </row>
    <row r="128" spans="1:11" ht="21.75" customHeight="1">
      <c r="A128" s="3132" t="s">
        <v>2320</v>
      </c>
      <c r="B128" s="3132"/>
      <c r="C128" s="3132"/>
      <c r="D128" s="3132"/>
      <c r="E128" s="3132"/>
      <c r="F128" s="3132"/>
      <c r="G128" s="3132"/>
      <c r="H128" s="3132"/>
      <c r="I128" s="3132"/>
    </row>
    <row r="129" spans="1:35" ht="21.75" customHeight="1">
      <c r="A129" s="2525" t="s">
        <v>2321</v>
      </c>
      <c r="B129" s="2526"/>
      <c r="C129" s="2527" t="s">
        <v>2322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2323</v>
      </c>
      <c r="G135" s="2542"/>
      <c r="H135" s="2542"/>
      <c r="I135" s="2543" t="s">
        <v>2324</v>
      </c>
    </row>
    <row r="136" spans="1:35" ht="21.75" customHeight="1">
      <c r="A136" s="794"/>
      <c r="B136" s="2544"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2326</v>
      </c>
    </row>
    <row r="139" spans="1:35" ht="21.75" customHeight="1">
      <c r="A139" s="794"/>
      <c r="B139" s="2544" t="s">
        <v>2327</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2326</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3" t="str">
        <f>项目基本情况!B1</f>
        <v>出让国有建设用地使用权及在建建筑物房地产抵押价值预评估</v>
      </c>
      <c r="C37" s="3013"/>
      <c r="D37" s="3013"/>
      <c r="E37" s="3013"/>
      <c r="F37" s="3013"/>
      <c r="G37" s="3013"/>
      <c r="H37" s="3013"/>
      <c r="I37" s="3013"/>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项目基本情况!K4</f>
        <v>（注册号：0)、（注册号：0)</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4"/>
      <c r="C1" s="241"/>
      <c r="D1" s="241"/>
      <c r="E1" s="241"/>
      <c r="F1" s="241"/>
      <c r="G1" s="1378">
        <f>MATCH(B1,'数据-取费表'!A6:A16,0)+5</f>
        <v>8</v>
      </c>
    </row>
    <row r="2" spans="1:9" s="243" customFormat="1" ht="18" customHeight="1">
      <c r="A2" s="244" t="s">
        <v>2329</v>
      </c>
      <c r="B2" s="245">
        <f ca="1">IF(D2="——",C52,C52-E2)</f>
        <v>18115</v>
      </c>
      <c r="C2" s="242" t="s">
        <v>2330</v>
      </c>
      <c r="D2" s="2547" t="s">
        <v>70</v>
      </c>
      <c r="E2" s="1438" t="e">
        <f ca="1">SUMIF(INDIRECT("'"&amp;G2&amp;"'"&amp;"!A:A"),"承租人权益价值",INDIRECT("'"&amp;G2&amp;"'"&amp;"!c:c"))</f>
        <v>#REF!</v>
      </c>
      <c r="F2" s="2548" t="s">
        <v>2330</v>
      </c>
      <c r="G2" s="2549"/>
    </row>
    <row r="3" spans="1:9" s="243" customFormat="1" ht="18" customHeight="1" thickBot="1">
      <c r="A3" s="246" t="s">
        <v>2331</v>
      </c>
      <c r="B3" s="247">
        <f ca="1">ROUND(B2*10000/(IF(B1="",'数据-汇总表'!E3,INDIRECT("'数据-取费表'!k"&amp;$G$1))),0)</f>
        <v>9808</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8274</v>
      </c>
      <c r="D5" s="254" t="s">
        <v>2336</v>
      </c>
      <c r="E5" s="255" t="s">
        <v>2337</v>
      </c>
      <c r="F5" s="255" t="s">
        <v>2338</v>
      </c>
      <c r="G5" s="256"/>
    </row>
    <row r="6" spans="1:9" s="257" customFormat="1" ht="13.5" customHeight="1">
      <c r="A6" s="948" t="s">
        <v>2339</v>
      </c>
      <c r="B6" s="258" t="s">
        <v>2340</v>
      </c>
      <c r="C6" s="3005">
        <f>ROUND('[1]土地比较法-住宅、综合'!$C$48*'数据-汇总表'!F31/10000,0)</f>
        <v>7599</v>
      </c>
      <c r="D6" s="260"/>
      <c r="E6" s="261"/>
      <c r="F6" s="261"/>
      <c r="G6" s="262"/>
    </row>
    <row r="7" spans="1:9" s="257" customFormat="1" ht="13.5" customHeight="1">
      <c r="A7" s="948" t="s">
        <v>2341</v>
      </c>
      <c r="B7" s="258" t="s">
        <v>2342</v>
      </c>
      <c r="C7" s="263">
        <f>ROUND(C6*F7,0)</f>
        <v>232</v>
      </c>
      <c r="D7" s="263"/>
      <c r="E7" s="261"/>
      <c r="F7" s="264">
        <f>IF(项目基本情况!B8="出让",0,'数据-取费表'!B48+'数据-取费表'!B49)</f>
        <v>3.0499999999999999E-2</v>
      </c>
      <c r="G7" s="262"/>
    </row>
    <row r="8" spans="1:9" s="266" customFormat="1">
      <c r="A8" s="948" t="s">
        <v>2343</v>
      </c>
      <c r="B8" s="258" t="s">
        <v>2344</v>
      </c>
      <c r="C8" s="263">
        <f>IF(G8="已包含在土地购买价格中","0",IF(B1="",'数据-取费表'!B29,IF(G9="全部缴纳",C9+C10,H9)))</f>
        <v>443</v>
      </c>
      <c r="D8" s="265"/>
      <c r="E8" s="263"/>
      <c r="F8" s="264"/>
      <c r="G8" s="3006" t="s">
        <v>3322</v>
      </c>
    </row>
    <row r="9" spans="1:9" s="257" customFormat="1" ht="13.5" customHeight="1">
      <c r="A9" s="949" t="s">
        <v>800</v>
      </c>
      <c r="B9" s="267" t="s">
        <v>2345</v>
      </c>
      <c r="C9" s="268">
        <f ca="1">ROUND(D9*E9/10000,0)</f>
        <v>29</v>
      </c>
      <c r="D9" s="1031">
        <f ca="1">IF(B1="",'数据-汇总表'!E5,IF(INDIRECT("'数据-取费表'!c"&amp;$G$1)="住宅",INDIRECT("'数据-取费表'!k"&amp;$G$1),0))</f>
        <v>1209.67</v>
      </c>
      <c r="E9" s="268">
        <f>'数据-取费表'!B27</f>
        <v>240</v>
      </c>
      <c r="F9" s="264"/>
      <c r="G9" s="2551"/>
      <c r="H9" s="3010"/>
      <c r="I9" s="2552" t="s">
        <v>2346</v>
      </c>
    </row>
    <row r="10" spans="1:9" s="257" customFormat="1" ht="13.5" customHeight="1">
      <c r="A10" s="949" t="s">
        <v>801</v>
      </c>
      <c r="B10" s="267" t="s">
        <v>2347</v>
      </c>
      <c r="C10" s="268">
        <f ca="1">ROUND(D10*E10/10000,0)</f>
        <v>414</v>
      </c>
      <c r="D10" s="1031">
        <f ca="1">IF(B1="",'数据-汇总表'!E6,IF(INDIRECT("'数据-取费表'!c"&amp;$G$1)="住宅",INDIRECT("'数据-取费表'!s"&amp;$G$1),INDIRECT("'数据-取费表'!k"&amp;$G$1)+INDIRECT("'数据-取费表'!s"&amp;$G$1)))</f>
        <v>17260.72</v>
      </c>
      <c r="E10" s="268">
        <f>'数据-取费表'!B28</f>
        <v>240</v>
      </c>
      <c r="F10" s="264"/>
      <c r="G10" s="269"/>
    </row>
    <row r="11" spans="1:9" s="257" customFormat="1" ht="13.5" hidden="1" customHeight="1">
      <c r="A11" s="270" t="s">
        <v>7</v>
      </c>
      <c r="B11" s="258" t="s">
        <v>2348</v>
      </c>
      <c r="C11" s="254"/>
      <c r="D11" s="1033"/>
      <c r="E11" s="261"/>
      <c r="F11" s="261"/>
      <c r="G11" s="262"/>
    </row>
    <row r="12" spans="1:9" s="257" customFormat="1" ht="13.5" hidden="1" customHeight="1">
      <c r="A12" s="270" t="s">
        <v>8</v>
      </c>
      <c r="B12" s="258" t="s">
        <v>2349</v>
      </c>
      <c r="C12" s="254">
        <v>0</v>
      </c>
      <c r="D12" s="1033"/>
      <c r="E12" s="271"/>
      <c r="F12" s="264">
        <v>3.0499999999999999E-2</v>
      </c>
      <c r="G12" s="262"/>
    </row>
    <row r="13" spans="1:9" s="257" customFormat="1" ht="13.5" hidden="1" customHeight="1">
      <c r="A13" s="270" t="s">
        <v>9</v>
      </c>
      <c r="B13" s="258" t="s">
        <v>2350</v>
      </c>
      <c r="C13" s="254"/>
      <c r="D13" s="1033"/>
      <c r="E13" s="261"/>
      <c r="F13" s="261"/>
      <c r="G13" s="262"/>
    </row>
    <row r="14" spans="1:9" s="257" customFormat="1" ht="13.5" hidden="1" customHeight="1">
      <c r="A14" s="270" t="s">
        <v>10</v>
      </c>
      <c r="B14" s="258" t="s">
        <v>2351</v>
      </c>
      <c r="C14" s="254"/>
      <c r="D14" s="1033"/>
      <c r="E14" s="261"/>
      <c r="F14" s="261"/>
      <c r="G14" s="262" t="s">
        <v>2352</v>
      </c>
    </row>
    <row r="15" spans="1:9" s="257" customFormat="1" ht="13.5" hidden="1" customHeight="1">
      <c r="A15" s="270" t="s">
        <v>11</v>
      </c>
      <c r="B15" s="258" t="s">
        <v>2353</v>
      </c>
      <c r="C15" s="263"/>
      <c r="D15" s="1033"/>
      <c r="E15" s="261"/>
      <c r="F15" s="261"/>
      <c r="G15" s="262" t="s">
        <v>2354</v>
      </c>
    </row>
    <row r="16" spans="1:9" s="257" customFormat="1" ht="13.5" hidden="1" customHeight="1">
      <c r="A16" s="270" t="s">
        <v>12</v>
      </c>
      <c r="B16" s="258" t="s">
        <v>2351</v>
      </c>
      <c r="C16" s="263"/>
      <c r="D16" s="1033"/>
      <c r="E16" s="261"/>
      <c r="F16" s="261"/>
      <c r="G16" s="262"/>
    </row>
    <row r="17" spans="1:7" s="257" customFormat="1" ht="13.5" hidden="1" customHeight="1">
      <c r="A17" s="270" t="s">
        <v>13</v>
      </c>
      <c r="B17" s="258" t="s">
        <v>2355</v>
      </c>
      <c r="C17" s="272"/>
      <c r="D17" s="1034"/>
      <c r="E17" s="272"/>
      <c r="F17" s="272"/>
      <c r="G17" s="262" t="s">
        <v>2354</v>
      </c>
    </row>
    <row r="18" spans="1:7" s="257" customFormat="1" ht="13.5" hidden="1" customHeight="1">
      <c r="A18" s="270" t="s">
        <v>14</v>
      </c>
      <c r="B18" s="258" t="s">
        <v>2356</v>
      </c>
      <c r="C18" s="263">
        <v>0</v>
      </c>
      <c r="D18" s="1033"/>
      <c r="E18" s="261"/>
      <c r="F18" s="264">
        <v>3.0499999999999999E-2</v>
      </c>
      <c r="G18" s="262" t="s">
        <v>2357</v>
      </c>
    </row>
    <row r="19" spans="1:7" s="266" customFormat="1" ht="13.5" customHeight="1">
      <c r="A19" s="298" t="s">
        <v>2358</v>
      </c>
      <c r="B19" s="253" t="s">
        <v>2359</v>
      </c>
      <c r="C19" s="254" t="str">
        <f>IF(G19="已包含在土地取得成本中","0",ROUND(D19*E19/10000,0))</f>
        <v>0</v>
      </c>
      <c r="D19" s="1035">
        <f ca="1">D9+D10</f>
        <v>18470.39</v>
      </c>
      <c r="E19" s="254">
        <f>'数据-取费表'!B31</f>
        <v>200</v>
      </c>
      <c r="F19" s="274"/>
      <c r="G19" s="3006" t="s">
        <v>3323</v>
      </c>
    </row>
    <row r="20" spans="1:7" s="257" customFormat="1" ht="13.5" customHeight="1">
      <c r="A20" s="298" t="s">
        <v>2360</v>
      </c>
      <c r="B20" s="253" t="s">
        <v>2361</v>
      </c>
      <c r="C20" s="275">
        <f>ROUND((C5+C19)*F20,0)</f>
        <v>165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3">
        <f ca="1">ROUND(SUM(C23:C25),0)</f>
        <v>1382</v>
      </c>
      <c r="D22" s="278">
        <f ca="1">C26</f>
        <v>1.6000000000000001E-3</v>
      </c>
      <c r="E22" s="279" t="s">
        <v>2365</v>
      </c>
      <c r="F22" s="280">
        <f ca="1">'数据-取费表'!B40</f>
        <v>4.7500000000000001E-2</v>
      </c>
      <c r="G22" s="277" t="str">
        <f>IF('数据-取费表'!B22&lt;=1,"单利计息","复利计息")</f>
        <v>复利计息</v>
      </c>
    </row>
    <row r="23" spans="1:7" s="257" customFormat="1" ht="13.5" customHeight="1">
      <c r="A23" s="950" t="s">
        <v>2369</v>
      </c>
      <c r="B23" s="258" t="s">
        <v>2370</v>
      </c>
      <c r="C23" s="1354">
        <f ca="1">ROUND(IF('数据-取费表'!B22&lt;=1,C5*F22*'数据-取费表'!B23,C5*(POWER((1+F22),'数据-取费表'!B23)-1)),0)</f>
        <v>1369</v>
      </c>
      <c r="D23" s="281"/>
      <c r="E23" s="281"/>
      <c r="F23" s="282"/>
      <c r="G23" s="283" t="s">
        <v>2371</v>
      </c>
    </row>
    <row r="24" spans="1:7" s="257" customFormat="1" ht="13.5" customHeight="1">
      <c r="A24" s="950" t="s">
        <v>2372</v>
      </c>
      <c r="B24" s="258" t="s">
        <v>2373</v>
      </c>
      <c r="C24" s="1354">
        <f ca="1">ROUND(IF('数据-取费表'!B22&lt;=1,C19*F22*('数据-取费表'!B19/2+'数据-取费表'!B21),C19*(POWER((1+F22),('数据-取费表'!B19/2+'数据-取费表'!B21))-1)),0)</f>
        <v>0</v>
      </c>
      <c r="D24" s="281"/>
      <c r="E24" s="281"/>
      <c r="F24" s="282"/>
      <c r="G24" s="283" t="s">
        <v>2374</v>
      </c>
    </row>
    <row r="25" spans="1:7" s="257" customFormat="1" ht="24">
      <c r="A25" s="950" t="s">
        <v>2375</v>
      </c>
      <c r="B25" s="258" t="s">
        <v>2376</v>
      </c>
      <c r="C25" s="1354">
        <f ca="1">ROUND(IF('数据-取费表'!B22&lt;=1,C20*F22*'数据-取费表'!B23/2,C20*(POWER((1+F22),'数据-取费表'!B23/2)-1)),0)</f>
        <v>13</v>
      </c>
      <c r="D25" s="281"/>
      <c r="E25" s="284"/>
      <c r="F25" s="282"/>
      <c r="G25" s="285" t="s">
        <v>2377</v>
      </c>
    </row>
    <row r="26" spans="1:7" s="257" customFormat="1">
      <c r="A26" s="950" t="s">
        <v>795</v>
      </c>
      <c r="B26" s="258" t="s">
        <v>2378</v>
      </c>
      <c r="C26" s="281">
        <f ca="1">ROUND(IF('数据-取费表'!B22&lt;=1,F21*F22*'数据-取费表'!B23/2,F21*(POWER((1+F22),'数据-取费表'!B23/2)-1)),4)</f>
        <v>1.6000000000000001E-3</v>
      </c>
      <c r="D26" s="281"/>
      <c r="E26" s="284"/>
      <c r="F26" s="282"/>
      <c r="G26" s="286"/>
    </row>
    <row r="27" spans="1:7" s="257" customFormat="1" ht="24.75">
      <c r="A27" s="298" t="s">
        <v>2379</v>
      </c>
      <c r="B27" s="287" t="s">
        <v>2380</v>
      </c>
      <c r="C27" s="288">
        <f ca="1">C28</f>
        <v>1591</v>
      </c>
      <c r="D27" s="278">
        <f ca="1">C29</f>
        <v>3.8E-3</v>
      </c>
      <c r="E27" s="279" t="s">
        <v>2381</v>
      </c>
      <c r="F27" s="289">
        <f ca="1">IF(B1="",'数据-取费表'!Q16,INDIRECT("'数据-取费表'!q"&amp;$G$1))</f>
        <v>0.2</v>
      </c>
      <c r="G27" s="290" t="s">
        <v>2382</v>
      </c>
    </row>
    <row r="28" spans="1:7" s="257" customFormat="1" ht="13.5" customHeight="1">
      <c r="A28" s="950" t="s">
        <v>791</v>
      </c>
      <c r="B28" s="291" t="s">
        <v>2383</v>
      </c>
      <c r="C28" s="292">
        <f ca="1">ROUND((C5+C19+C20)*F27*'数据-取费表'!B21/'数据-取费表'!B20,0)</f>
        <v>1591</v>
      </c>
      <c r="D28" s="278"/>
      <c r="E28" s="279"/>
      <c r="F28" s="289"/>
      <c r="G28" s="290"/>
    </row>
    <row r="29" spans="1:7" s="257" customFormat="1" ht="13.5" customHeight="1">
      <c r="A29" s="950" t="s">
        <v>792</v>
      </c>
      <c r="B29" s="291" t="s">
        <v>2384</v>
      </c>
      <c r="C29" s="281">
        <f ca="1">ROUND(C21*F27*'数据-取费表'!B21/'数据-取费表'!B20,4)</f>
        <v>3.8E-3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12387</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4042</v>
      </c>
      <c r="D33" s="275"/>
      <c r="E33" s="255"/>
      <c r="F33" s="284"/>
      <c r="G33" s="277"/>
    </row>
    <row r="34" spans="1:7" s="301" customFormat="1" ht="13.5" customHeight="1">
      <c r="A34" s="950" t="s">
        <v>791</v>
      </c>
      <c r="B34" s="258" t="s">
        <v>2392</v>
      </c>
      <c r="C34" s="263">
        <f ca="1">IF(B1="",IF(F34=100%,'数据-取费表'!M16,'数据-取费表'!O16),IF(F34=100%,INDIRECT("'数据-取费表'!m"&amp;$G$1)+INDIRECT("'数据-取费表'!t"&amp;$G$1),INDIRECT("'数据-取费表'!o"&amp;$G$1)+INDIRECT("'数据-取费表'!aq"&amp;$G$1)))</f>
        <v>3520</v>
      </c>
      <c r="D34" s="260"/>
      <c r="E34" s="263"/>
      <c r="F34" s="300">
        <f ca="1">IF('数据-取费表'!B24=0,1,IF(B1="",'数据-取费表'!N16,INDIRECT("'数据-取费表'!n"&amp;$G$1)))</f>
        <v>0.95</v>
      </c>
      <c r="G34" s="262" t="s">
        <v>2393</v>
      </c>
    </row>
    <row r="35" spans="1:7" ht="13.5" customHeight="1">
      <c r="A35" s="950" t="s">
        <v>796</v>
      </c>
      <c r="B35" s="258" t="s">
        <v>2394</v>
      </c>
      <c r="C35" s="263">
        <f ca="1">ROUND(C34*F35,0)</f>
        <v>106</v>
      </c>
      <c r="D35" s="263"/>
      <c r="E35" s="263"/>
      <c r="F35" s="302">
        <f>'数据-取费表'!B33</f>
        <v>0.03</v>
      </c>
      <c r="G35" s="262" t="s">
        <v>2395</v>
      </c>
    </row>
    <row r="36" spans="1:7" ht="24">
      <c r="A36" s="950" t="s">
        <v>797</v>
      </c>
      <c r="B36" s="258" t="s">
        <v>2396</v>
      </c>
      <c r="C36" s="263">
        <f ca="1">ROUND(IF(B1="",SUMIF('数据-取费表'!C:C,"住宅",IF(F34=100%,'数据-取费表'!M:M,'数据-取费表'!O:O))*F36,IF(INDIRECT("'数据-取费表'!c"&amp;$G$1)="住宅",IF(F34=100%,INDIRECT("'数据-取费表'!m"&amp;$G$1)*F36,INDIRECT("'数据-取费表'!o"&amp;$G$1)*F36),0)),0)</f>
        <v>12</v>
      </c>
      <c r="D36" s="263"/>
      <c r="E36" s="263"/>
      <c r="F36" s="302">
        <f>'数据-取费表'!B34</f>
        <v>0.05</v>
      </c>
      <c r="G36" s="303" t="s">
        <v>2397</v>
      </c>
    </row>
    <row r="37" spans="1:7" s="301" customFormat="1" ht="13.5" customHeight="1">
      <c r="A37" s="950" t="s">
        <v>798</v>
      </c>
      <c r="B37" s="258" t="s">
        <v>2398</v>
      </c>
      <c r="C37" s="292">
        <f ca="1">ROUND(E37*D37*F34/10000,0)</f>
        <v>351</v>
      </c>
      <c r="D37" s="260">
        <f ca="1">D19</f>
        <v>18470.39</v>
      </c>
      <c r="E37" s="292">
        <f>'数据-取费表'!B35</f>
        <v>200</v>
      </c>
      <c r="F37" s="302"/>
      <c r="G37" s="304" t="s">
        <v>2399</v>
      </c>
    </row>
    <row r="38" spans="1:7" ht="13.5" customHeight="1">
      <c r="A38" s="950" t="s">
        <v>799</v>
      </c>
      <c r="B38" s="258" t="s">
        <v>2400</v>
      </c>
      <c r="C38" s="263">
        <f ca="1">ROUND(C34*F38,0)</f>
        <v>53</v>
      </c>
      <c r="D38" s="263"/>
      <c r="E38" s="263"/>
      <c r="F38" s="302">
        <f>'数据-取费表'!B36</f>
        <v>1.4999999999999999E-2</v>
      </c>
      <c r="G38" s="262" t="s">
        <v>2395</v>
      </c>
    </row>
    <row r="39" spans="1:7" s="257" customFormat="1" ht="13.5" customHeight="1">
      <c r="A39" s="298" t="s">
        <v>2401</v>
      </c>
      <c r="B39" s="253" t="s">
        <v>2402</v>
      </c>
      <c r="C39" s="275">
        <f ca="1">ROUND(C33*F20,0)</f>
        <v>81</v>
      </c>
      <c r="D39" s="275"/>
      <c r="E39" s="275"/>
      <c r="F39" s="276"/>
      <c r="G39" s="277" t="s">
        <v>2403</v>
      </c>
    </row>
    <row r="40" spans="1:7" s="257" customFormat="1" ht="13.5" customHeight="1">
      <c r="A40" s="298" t="s">
        <v>2404</v>
      </c>
      <c r="B40" s="253" t="s">
        <v>2405</v>
      </c>
      <c r="C40" s="1726">
        <f>F21</f>
        <v>0.02</v>
      </c>
      <c r="D40" s="279" t="s">
        <v>2406</v>
      </c>
      <c r="E40" s="275"/>
      <c r="F40" s="276"/>
      <c r="G40" s="277" t="s">
        <v>2407</v>
      </c>
    </row>
    <row r="41" spans="1:7" s="257" customFormat="1" ht="13.5" customHeight="1">
      <c r="A41" s="298" t="s">
        <v>2408</v>
      </c>
      <c r="B41" s="253" t="s">
        <v>2409</v>
      </c>
      <c r="C41" s="275">
        <f ca="1">ROUND(SUM(C42:C43),0)</f>
        <v>328</v>
      </c>
      <c r="D41" s="278">
        <f ca="1">C44</f>
        <v>1.6000000000000001E-3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ROUND(IF('数据-取费表'!B22&lt;=1,C33*F22*'数据-取费表'!B21/2,C33*(POWER((1+F22),'数据-取费表'!B21/2)-1)),0)</f>
        <v>322</v>
      </c>
      <c r="D42" s="281"/>
      <c r="E42" s="281"/>
      <c r="F42" s="282"/>
      <c r="G42" s="3208" t="s">
        <v>2411</v>
      </c>
    </row>
    <row r="43" spans="1:7" ht="13.5" customHeight="1">
      <c r="A43" s="950" t="s">
        <v>792</v>
      </c>
      <c r="B43" s="258" t="s">
        <v>2412</v>
      </c>
      <c r="C43" s="281">
        <f ca="1">ROUND(IF('数据-取费表'!B22&lt;=1,C39*F22*'数据-取费表'!B21/2,C39*(POWER((1+F22),'数据-取费表'!B21/2)-1)),0)</f>
        <v>6</v>
      </c>
      <c r="D43" s="281"/>
      <c r="E43" s="281"/>
      <c r="F43" s="282"/>
      <c r="G43" s="3209"/>
    </row>
    <row r="44" spans="1:7" ht="13.5" customHeight="1">
      <c r="A44" s="950" t="s">
        <v>793</v>
      </c>
      <c r="B44" s="258" t="s">
        <v>2413</v>
      </c>
      <c r="C44" s="281">
        <f ca="1">ROUND(IF('数据-取费表'!B22&lt;=1,C40*F22*'数据-取费表'!B21/2,C40*(POWER((1+F22),'数据-取费表'!B21/2)-1)),4)</f>
        <v>1.6000000000000001E-3</v>
      </c>
      <c r="D44" s="281"/>
      <c r="E44" s="281"/>
      <c r="F44" s="282"/>
      <c r="G44" s="3210"/>
    </row>
    <row r="45" spans="1:7" s="257" customFormat="1" ht="13.5" customHeight="1">
      <c r="A45" s="298" t="s">
        <v>2414</v>
      </c>
      <c r="B45" s="287" t="s">
        <v>2380</v>
      </c>
      <c r="C45" s="288">
        <f ca="1">C46</f>
        <v>825</v>
      </c>
      <c r="D45" s="278">
        <f ca="1">C47</f>
        <v>4.0000000000000001E-3</v>
      </c>
      <c r="E45" s="279" t="s">
        <v>2406</v>
      </c>
      <c r="F45" s="289"/>
      <c r="G45" s="290" t="s">
        <v>2415</v>
      </c>
    </row>
    <row r="46" spans="1:7" s="257" customFormat="1" ht="13.5" customHeight="1">
      <c r="A46" s="950" t="s">
        <v>791</v>
      </c>
      <c r="B46" s="291" t="s">
        <v>2416</v>
      </c>
      <c r="C46" s="292">
        <f ca="1">ROUND((C33+C39)*F27,0)</f>
        <v>825</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1726">
        <f>ROUND(F30/(1+'数据-取费表'!C42),4)</f>
        <v>5.33E-2</v>
      </c>
      <c r="D48" s="279" t="s">
        <v>2406</v>
      </c>
      <c r="E48" s="275"/>
      <c r="F48" s="280"/>
      <c r="G48" s="277" t="s">
        <v>2419</v>
      </c>
    </row>
    <row r="49" spans="1:7" ht="16.5" customHeight="1">
      <c r="A49" s="298" t="s">
        <v>2385</v>
      </c>
      <c r="B49" s="253" t="s">
        <v>2420</v>
      </c>
      <c r="C49" s="275">
        <f ca="1">ROUND((C33+C39+C41+C45)/(1-C40-D41-D45-C48),0)</f>
        <v>5728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5728</v>
      </c>
      <c r="D51" s="275"/>
      <c r="E51" s="275"/>
      <c r="F51" s="307"/>
      <c r="G51" s="277" t="s">
        <v>2427</v>
      </c>
    </row>
    <row r="52" spans="1:7" s="251" customFormat="1" ht="16.5" thickBot="1">
      <c r="A52" s="308" t="s">
        <v>2428</v>
      </c>
      <c r="B52" s="309"/>
      <c r="C52" s="310">
        <f ca="1">C31+C51</f>
        <v>18115</v>
      </c>
      <c r="D52" s="309"/>
      <c r="E52" s="309"/>
      <c r="F52" s="309"/>
      <c r="G52" s="311"/>
    </row>
    <row r="55" spans="1:7" ht="15">
      <c r="B55" s="313" t="s">
        <v>2429</v>
      </c>
      <c r="C55" s="314"/>
    </row>
    <row r="56" spans="1:7">
      <c r="B56" s="316" t="s">
        <v>1508</v>
      </c>
      <c r="C56" s="318">
        <f ca="1">1-C57</f>
        <v>0.68399999999999994</v>
      </c>
    </row>
    <row r="57" spans="1:7">
      <c r="B57" s="316" t="s">
        <v>1509</v>
      </c>
      <c r="C57" s="317">
        <f ca="1">ROUND(C51/C52,3)</f>
        <v>0.316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4"/>
      <c r="C1" s="2553" t="s">
        <v>2430</v>
      </c>
      <c r="D1" s="241"/>
      <c r="E1" s="241"/>
      <c r="F1" s="241"/>
      <c r="G1" s="1378">
        <f>MATCH(B1,'数据-取费表'!A6:A16,0)+5</f>
        <v>8</v>
      </c>
      <c r="H1" s="1281" t="str">
        <f>IF(ISERROR(FIND("住宅",B1)),"非住宅","住宅")</f>
        <v>非住宅</v>
      </c>
    </row>
    <row r="2" spans="1:8" s="243" customFormat="1" ht="18" customHeight="1">
      <c r="A2" s="244" t="s">
        <v>2329</v>
      </c>
      <c r="B2" s="245">
        <f ca="1">ROUND(IF(D2="——",C52/10000,C52/10000-E2),0)</f>
        <v>7291</v>
      </c>
      <c r="C2" s="242" t="s">
        <v>2330</v>
      </c>
      <c r="D2" s="2547" t="s">
        <v>70</v>
      </c>
      <c r="E2" s="1438" t="e">
        <f ca="1">SUMIF(INDIRECT("'"&amp;G2&amp;"'"&amp;"!A:A"),"承租人权益价值",INDIRECT("'"&amp;G2&amp;"'"&amp;"!c:c"))</f>
        <v>#REF!</v>
      </c>
      <c r="F2" s="2548" t="s">
        <v>2330</v>
      </c>
      <c r="G2" s="2549"/>
    </row>
    <row r="3" spans="1:8" s="243" customFormat="1" ht="18" customHeight="1" thickBot="1">
      <c r="A3" s="246" t="s">
        <v>2331</v>
      </c>
      <c r="B3" s="247">
        <f ca="1">ROUND(B2*10000/(IF(B1="",'数据-汇总表'!E3,INDIRECT("'数据-取费表'!k"&amp;$G$1))),0)</f>
        <v>3947</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4432894</v>
      </c>
      <c r="D5" s="254" t="s">
        <v>2336</v>
      </c>
      <c r="E5" s="255" t="s">
        <v>2337</v>
      </c>
      <c r="F5" s="255" t="s">
        <v>2338</v>
      </c>
      <c r="G5" s="256"/>
    </row>
    <row r="6" spans="1:8" s="257" customFormat="1" ht="13.5" customHeight="1">
      <c r="A6" s="948" t="s">
        <v>2339</v>
      </c>
      <c r="B6" s="258" t="s">
        <v>2340</v>
      </c>
      <c r="C6" s="259"/>
      <c r="D6" s="260"/>
      <c r="E6" s="261"/>
      <c r="F6" s="261"/>
      <c r="G6" s="262"/>
    </row>
    <row r="7" spans="1:8" s="257" customFormat="1" ht="13.5" customHeight="1">
      <c r="A7" s="948" t="s">
        <v>2341</v>
      </c>
      <c r="B7" s="258" t="s">
        <v>2342</v>
      </c>
      <c r="C7" s="263">
        <f>ROUND(C6*F7,0)</f>
        <v>0</v>
      </c>
      <c r="D7" s="263"/>
      <c r="E7" s="261"/>
      <c r="F7" s="264">
        <f>IF(项目基本情况!B8="出让",0,'数据-取费表'!B48+'数据-取费表'!B49)</f>
        <v>3.0499999999999999E-2</v>
      </c>
      <c r="G7" s="262"/>
    </row>
    <row r="8" spans="1:8" s="266" customFormat="1">
      <c r="A8" s="948" t="s">
        <v>2343</v>
      </c>
      <c r="B8" s="258" t="s">
        <v>2344</v>
      </c>
      <c r="C8" s="263">
        <f ca="1">IF(G8="已包含在土地购买价格中",0,C9+C10)</f>
        <v>4432894</v>
      </c>
      <c r="D8" s="265"/>
      <c r="E8" s="263"/>
      <c r="F8" s="264"/>
      <c r="G8" s="2550"/>
    </row>
    <row r="9" spans="1:8" s="257" customFormat="1" ht="13.5" customHeight="1">
      <c r="A9" s="949" t="s">
        <v>800</v>
      </c>
      <c r="B9" s="267" t="s">
        <v>2345</v>
      </c>
      <c r="C9" s="268">
        <f ca="1">ROUND(D9*E9,0)</f>
        <v>290321</v>
      </c>
      <c r="D9" s="1031">
        <f ca="1">IF(B1="",'数据-汇总表'!E5,IF(INDIRECT("'数据-取费表'!c"&amp;$G$1)="住宅",INDIRECT("'数据-取费表'!k"&amp;$G$1),0))</f>
        <v>1209.67</v>
      </c>
      <c r="E9" s="268">
        <f>'数据-取费表'!B27</f>
        <v>240</v>
      </c>
      <c r="F9" s="264"/>
      <c r="G9" s="269"/>
    </row>
    <row r="10" spans="1:8" s="257" customFormat="1" ht="13.5" customHeight="1">
      <c r="A10" s="949" t="s">
        <v>801</v>
      </c>
      <c r="B10" s="267" t="s">
        <v>2347</v>
      </c>
      <c r="C10" s="268">
        <f ca="1">ROUND(D10*E10,0)</f>
        <v>4142573</v>
      </c>
      <c r="D10" s="1031">
        <f ca="1">IF(B1="",'数据-汇总表'!E6,IF(INDIRECT("'数据-取费表'!c"&amp;$G$1)="住宅",INDIRECT("'数据-取费表'!s"&amp;$G$1),INDIRECT("'数据-取费表'!k"&amp;$G$1)+INDIRECT("'数据-取费表'!s"&amp;$G$1)))</f>
        <v>17260.72</v>
      </c>
      <c r="E10" s="268">
        <f>'数据-取费表'!B28</f>
        <v>240</v>
      </c>
      <c r="F10" s="264"/>
      <c r="G10" s="269"/>
    </row>
    <row r="11" spans="1:8" s="257" customFormat="1" ht="13.5" hidden="1" customHeight="1">
      <c r="A11" s="270" t="s">
        <v>7</v>
      </c>
      <c r="B11" s="258" t="s">
        <v>2348</v>
      </c>
      <c r="C11" s="254"/>
      <c r="D11" s="1033"/>
      <c r="E11" s="261"/>
      <c r="F11" s="261"/>
      <c r="G11" s="262"/>
    </row>
    <row r="12" spans="1:8" s="257" customFormat="1" ht="13.5" hidden="1" customHeight="1">
      <c r="A12" s="270" t="s">
        <v>8</v>
      </c>
      <c r="B12" s="258" t="s">
        <v>2431</v>
      </c>
      <c r="C12" s="254">
        <v>0</v>
      </c>
      <c r="D12" s="1033"/>
      <c r="E12" s="271"/>
      <c r="F12" s="264">
        <v>3.0499999999999999E-2</v>
      </c>
      <c r="G12" s="262"/>
    </row>
    <row r="13" spans="1:8" s="257" customFormat="1" ht="13.5" hidden="1" customHeight="1">
      <c r="A13" s="270" t="s">
        <v>9</v>
      </c>
      <c r="B13" s="258" t="s">
        <v>2432</v>
      </c>
      <c r="C13" s="254"/>
      <c r="D13" s="1033"/>
      <c r="E13" s="261"/>
      <c r="F13" s="261"/>
      <c r="G13" s="262"/>
    </row>
    <row r="14" spans="1:8" s="257" customFormat="1" ht="13.5" hidden="1" customHeight="1">
      <c r="A14" s="270" t="s">
        <v>10</v>
      </c>
      <c r="B14" s="258" t="s">
        <v>2344</v>
      </c>
      <c r="C14" s="254"/>
      <c r="D14" s="1033"/>
      <c r="E14" s="261"/>
      <c r="F14" s="261"/>
      <c r="G14" s="262" t="s">
        <v>2433</v>
      </c>
    </row>
    <row r="15" spans="1:8" s="257" customFormat="1" ht="13.5" hidden="1" customHeight="1">
      <c r="A15" s="270" t="s">
        <v>11</v>
      </c>
      <c r="B15" s="258" t="s">
        <v>2434</v>
      </c>
      <c r="C15" s="263"/>
      <c r="D15" s="1033"/>
      <c r="E15" s="261"/>
      <c r="F15" s="261"/>
      <c r="G15" s="262" t="s">
        <v>2435</v>
      </c>
    </row>
    <row r="16" spans="1:8" s="257" customFormat="1" ht="13.5" hidden="1" customHeight="1">
      <c r="A16" s="270" t="s">
        <v>12</v>
      </c>
      <c r="B16" s="258" t="s">
        <v>2344</v>
      </c>
      <c r="C16" s="263"/>
      <c r="D16" s="1033"/>
      <c r="E16" s="261"/>
      <c r="F16" s="261"/>
      <c r="G16" s="262"/>
    </row>
    <row r="17" spans="1:7" s="257" customFormat="1" ht="13.5" hidden="1" customHeight="1">
      <c r="A17" s="270" t="s">
        <v>13</v>
      </c>
      <c r="B17" s="258" t="s">
        <v>2436</v>
      </c>
      <c r="C17" s="272"/>
      <c r="D17" s="1034"/>
      <c r="E17" s="272"/>
      <c r="F17" s="272"/>
      <c r="G17" s="262" t="s">
        <v>2435</v>
      </c>
    </row>
    <row r="18" spans="1:7" s="257" customFormat="1" ht="13.5" hidden="1" customHeight="1">
      <c r="A18" s="270" t="s">
        <v>14</v>
      </c>
      <c r="B18" s="258" t="s">
        <v>2437</v>
      </c>
      <c r="C18" s="263">
        <v>0</v>
      </c>
      <c r="D18" s="1033"/>
      <c r="E18" s="261"/>
      <c r="F18" s="264">
        <v>3.0499999999999999E-2</v>
      </c>
      <c r="G18" s="262" t="s">
        <v>2438</v>
      </c>
    </row>
    <row r="19" spans="1:7" s="266" customFormat="1" ht="13.5" customHeight="1">
      <c r="A19" s="298" t="s">
        <v>2439</v>
      </c>
      <c r="B19" s="253" t="s">
        <v>2440</v>
      </c>
      <c r="C19" s="254">
        <f ca="1">IF(G19="已包含在土地取得成本中","0",ROUND(D19*E19,0))</f>
        <v>3694078</v>
      </c>
      <c r="D19" s="1035">
        <f ca="1">D9+D10</f>
        <v>18470.39</v>
      </c>
      <c r="E19" s="254">
        <f>'数据-取费表'!B31</f>
        <v>200</v>
      </c>
      <c r="F19" s="274"/>
      <c r="G19" s="2550"/>
    </row>
    <row r="20" spans="1:7" s="257" customFormat="1" ht="13.5" customHeight="1">
      <c r="A20" s="298" t="s">
        <v>2441</v>
      </c>
      <c r="B20" s="253" t="s">
        <v>2442</v>
      </c>
      <c r="C20" s="275">
        <f ca="1">ROUND((C5+C19)*F20,0)</f>
        <v>162539</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79">
        <f ca="1">ROUND(SUM(C23:C25),0)</f>
        <v>1446999</v>
      </c>
      <c r="D22" s="278">
        <f ca="1">C26</f>
        <v>1.6999999999999999E-3</v>
      </c>
      <c r="E22" s="279" t="s">
        <v>2446</v>
      </c>
      <c r="F22" s="280">
        <f ca="1">'数据-取费表'!B40</f>
        <v>4.7500000000000001E-2</v>
      </c>
      <c r="G22" s="277" t="str">
        <f>IF('数据-取费表'!B22&lt;=1,"单利计息","复利计息")</f>
        <v>复利计息</v>
      </c>
    </row>
    <row r="23" spans="1:7" s="257" customFormat="1" ht="13.5" customHeight="1">
      <c r="A23" s="950" t="s">
        <v>2339</v>
      </c>
      <c r="B23" s="258" t="s">
        <v>2450</v>
      </c>
      <c r="C23" s="1380">
        <f ca="1">ROUND(IF('数据-取费表'!B22&lt;=1,C5*F22*'数据-取费表'!B22,C5*(POWER((1+F22),'数据-取费表'!B22)-1)),0)</f>
        <v>781772</v>
      </c>
      <c r="D23" s="281"/>
      <c r="E23" s="281"/>
      <c r="F23" s="282"/>
      <c r="G23" s="283" t="s">
        <v>2451</v>
      </c>
    </row>
    <row r="24" spans="1:7" s="257" customFormat="1" ht="13.5" customHeight="1">
      <c r="A24" s="950" t="s">
        <v>2341</v>
      </c>
      <c r="B24" s="258" t="s">
        <v>2452</v>
      </c>
      <c r="C24" s="1380">
        <f ca="1">ROUND(IF('数据-取费表'!B22&lt;=1,C19*F22*('数据-取费表'!B19/2+'数据-取费表'!B20),C19*(POWER((1+F22),('数据-取费表'!B19/2+'数据-取费表'!B20))-1)),0)</f>
        <v>651476</v>
      </c>
      <c r="D24" s="281"/>
      <c r="E24" s="281"/>
      <c r="F24" s="282"/>
      <c r="G24" s="283" t="s">
        <v>2453</v>
      </c>
    </row>
    <row r="25" spans="1:7" s="257" customFormat="1" ht="24">
      <c r="A25" s="950" t="s">
        <v>2343</v>
      </c>
      <c r="B25" s="258" t="s">
        <v>2454</v>
      </c>
      <c r="C25" s="1380">
        <f ca="1">ROUND(IF('数据-取费表'!B22&lt;=1,C20*F22*'数据-取费表'!B22/2,C20*(POWER((1+F22),'数据-取费表'!B22/2)-1)),0)</f>
        <v>13751</v>
      </c>
      <c r="D25" s="281"/>
      <c r="E25" s="284"/>
      <c r="F25" s="282"/>
      <c r="G25" s="285" t="s">
        <v>2455</v>
      </c>
    </row>
    <row r="26" spans="1:7" s="257" customFormat="1">
      <c r="A26" s="950" t="s">
        <v>795</v>
      </c>
      <c r="B26" s="258" t="s">
        <v>2378</v>
      </c>
      <c r="C26" s="281">
        <f ca="1">ROUND(IF('数据-取费表'!B22&lt;=1,F21*F22*'数据-取费表'!B22/2,F21*(POWER((1+F22),'数据-取费表'!B22/2)-1)),4)</f>
        <v>1.6999999999999999E-3</v>
      </c>
      <c r="D26" s="281"/>
      <c r="E26" s="284"/>
      <c r="F26" s="282"/>
      <c r="G26" s="286"/>
    </row>
    <row r="27" spans="1:7" s="257" customFormat="1" ht="24.75">
      <c r="A27" s="298" t="s">
        <v>2379</v>
      </c>
      <c r="B27" s="287" t="s">
        <v>2380</v>
      </c>
      <c r="C27" s="288">
        <f ca="1">C28</f>
        <v>1657902</v>
      </c>
      <c r="D27" s="278">
        <f ca="1">C29</f>
        <v>4.0000000000000001E-3</v>
      </c>
      <c r="E27" s="279" t="s">
        <v>2381</v>
      </c>
      <c r="F27" s="289">
        <f ca="1">IF(B1="",'数据-取费表'!Q16,INDIRECT("'数据-取费表'!q"&amp;$G$1))</f>
        <v>0.2</v>
      </c>
      <c r="G27" s="290" t="s">
        <v>2382</v>
      </c>
    </row>
    <row r="28" spans="1:7" s="257" customFormat="1" ht="13.5" customHeight="1">
      <c r="A28" s="950" t="s">
        <v>791</v>
      </c>
      <c r="B28" s="291" t="s">
        <v>2383</v>
      </c>
      <c r="C28" s="292">
        <f ca="1">ROUND((C5+C19+C20)*F27,0)</f>
        <v>1657902</v>
      </c>
      <c r="D28" s="278"/>
      <c r="E28" s="279"/>
      <c r="F28" s="289"/>
      <c r="G28" s="290"/>
    </row>
    <row r="29" spans="1:7" s="257" customFormat="1" ht="13.5" customHeight="1">
      <c r="A29" s="950"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12371783</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42550618</v>
      </c>
      <c r="D33" s="275"/>
      <c r="E33" s="255"/>
      <c r="F33" s="284"/>
      <c r="G33" s="277"/>
    </row>
    <row r="34" spans="1:7" s="301" customFormat="1" ht="13.5" customHeight="1">
      <c r="A34" s="950" t="s">
        <v>791</v>
      </c>
      <c r="B34" s="258" t="s">
        <v>2392</v>
      </c>
      <c r="C34" s="263">
        <f ca="1">ROUND(IF(B1="",SUMPRODUCT('数据-取费表'!K6:K14,'数据-取费表'!L6:L14),INDIRECT("'数据-取费表'!l"&amp;$G$1)*INDIRECT("'数据-取费表'!k"&amp;$G$1)+'数据-取费表'!L14*INDIRECT("'数据-取费表'!S"&amp;$G$1)),0)</f>
        <v>37061747</v>
      </c>
      <c r="D34" s="260"/>
      <c r="E34" s="263"/>
      <c r="F34" s="300"/>
      <c r="G34" s="262"/>
    </row>
    <row r="35" spans="1:7" ht="13.5" customHeight="1">
      <c r="A35" s="950" t="s">
        <v>796</v>
      </c>
      <c r="B35" s="258" t="s">
        <v>2394</v>
      </c>
      <c r="C35" s="263">
        <f ca="1">ROUND(C34*F35,0)</f>
        <v>1111852</v>
      </c>
      <c r="D35" s="263"/>
      <c r="E35" s="263"/>
      <c r="F35" s="302">
        <f>'数据-取费表'!B33</f>
        <v>0.03</v>
      </c>
      <c r="G35" s="262" t="s">
        <v>2395</v>
      </c>
    </row>
    <row r="36" spans="1:7" ht="24">
      <c r="A36" s="950" t="s">
        <v>797</v>
      </c>
      <c r="B36" s="258" t="s">
        <v>2396</v>
      </c>
      <c r="C36" s="263">
        <f ca="1">ROUND(IF(B1="",SUM('数据-取费表'!AP6:AP13)*F36,IF(INDIRECT("'数据-取费表'!c"&amp;$G$1)="住宅",INDIRECT("'数据-取费表'!k"&amp;$G$1)*INDIRECT("'数据-取费表'!l"&amp;$G$1)*F36,0)),0)</f>
        <v>127015</v>
      </c>
      <c r="D36" s="263"/>
      <c r="E36" s="263"/>
      <c r="F36" s="302">
        <f>'数据-取费表'!B34</f>
        <v>0.05</v>
      </c>
      <c r="G36" s="303" t="s">
        <v>2397</v>
      </c>
    </row>
    <row r="37" spans="1:7" s="301" customFormat="1" ht="13.5" customHeight="1">
      <c r="A37" s="950" t="s">
        <v>798</v>
      </c>
      <c r="B37" s="258" t="s">
        <v>2398</v>
      </c>
      <c r="C37" s="292">
        <f ca="1">ROUND(E37*D37,0)</f>
        <v>3694078</v>
      </c>
      <c r="D37" s="260">
        <f ca="1">D19</f>
        <v>18470.39</v>
      </c>
      <c r="E37" s="292">
        <f>'数据-取费表'!B35</f>
        <v>200</v>
      </c>
      <c r="F37" s="302"/>
      <c r="G37" s="304"/>
    </row>
    <row r="38" spans="1:7" ht="13.5" customHeight="1">
      <c r="A38" s="950" t="s">
        <v>799</v>
      </c>
      <c r="B38" s="258" t="s">
        <v>2400</v>
      </c>
      <c r="C38" s="263">
        <f ca="1">ROUND(C34*F38,0)</f>
        <v>555926</v>
      </c>
      <c r="D38" s="263"/>
      <c r="E38" s="263"/>
      <c r="F38" s="302">
        <f>'数据-取费表'!B36</f>
        <v>1.4999999999999999E-2</v>
      </c>
      <c r="G38" s="262" t="s">
        <v>2395</v>
      </c>
    </row>
    <row r="39" spans="1:7" s="257" customFormat="1" ht="13.5" customHeight="1">
      <c r="A39" s="298" t="s">
        <v>2401</v>
      </c>
      <c r="B39" s="253" t="s">
        <v>2402</v>
      </c>
      <c r="C39" s="275">
        <f ca="1">ROUND(C33*F20,0)</f>
        <v>851012</v>
      </c>
      <c r="D39" s="275"/>
      <c r="E39" s="275"/>
      <c r="F39" s="276"/>
      <c r="G39" s="277" t="s">
        <v>2403</v>
      </c>
    </row>
    <row r="40" spans="1:7" s="257" customFormat="1" ht="13.5" customHeight="1">
      <c r="A40" s="298" t="s">
        <v>2404</v>
      </c>
      <c r="B40" s="253" t="s">
        <v>2405</v>
      </c>
      <c r="C40" s="1726">
        <f>F21</f>
        <v>0.02</v>
      </c>
      <c r="D40" s="279" t="s">
        <v>2406</v>
      </c>
      <c r="E40" s="275"/>
      <c r="F40" s="276"/>
      <c r="G40" s="277" t="s">
        <v>2407</v>
      </c>
    </row>
    <row r="41" spans="1:7" s="257" customFormat="1" ht="13.5" customHeight="1">
      <c r="A41" s="298" t="s">
        <v>2408</v>
      </c>
      <c r="B41" s="253" t="s">
        <v>2409</v>
      </c>
      <c r="C41" s="275">
        <f ca="1">ROUND(SUM(C42:C43),0)</f>
        <v>3671774</v>
      </c>
      <c r="D41" s="278">
        <f ca="1">C44</f>
        <v>1.6999999999999999E-3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ROUND(IF('数据-取费表'!B22&lt;=1,C33*F22*'数据-取费表'!B20/2,C33*(POWER((1+F22),'数据-取费表'!B20/2)-1)),0)</f>
        <v>3599778</v>
      </c>
      <c r="D42" s="281"/>
      <c r="E42" s="281"/>
      <c r="F42" s="282"/>
      <c r="G42" s="3208" t="s">
        <v>2458</v>
      </c>
    </row>
    <row r="43" spans="1:7" ht="13.5" customHeight="1">
      <c r="A43" s="950" t="s">
        <v>792</v>
      </c>
      <c r="B43" s="258" t="s">
        <v>2412</v>
      </c>
      <c r="C43" s="281">
        <f ca="1">ROUND(IF('数据-取费表'!B22&lt;=1,C39*F22*'数据-取费表'!B20/2,C39*(POWER((1+F22),'数据-取费表'!B20/2)-1)),0)</f>
        <v>71996</v>
      </c>
      <c r="D43" s="281"/>
      <c r="E43" s="281"/>
      <c r="F43" s="282"/>
      <c r="G43" s="3209"/>
    </row>
    <row r="44" spans="1:7" ht="13.5" customHeight="1">
      <c r="A44" s="950" t="s">
        <v>793</v>
      </c>
      <c r="B44" s="258" t="s">
        <v>2413</v>
      </c>
      <c r="C44" s="281">
        <f ca="1">ROUND(IF('数据-取费表'!B22&lt;=1,C40*F22*'数据-取费表'!B20/2,C40*(POWER((1+F22),'数据-取费表'!B20/2)-1)),4)</f>
        <v>1.6999999999999999E-3</v>
      </c>
      <c r="D44" s="281"/>
      <c r="E44" s="281"/>
      <c r="F44" s="282"/>
      <c r="G44" s="3210"/>
    </row>
    <row r="45" spans="1:7" s="257" customFormat="1" ht="13.5" customHeight="1">
      <c r="A45" s="298" t="s">
        <v>2414</v>
      </c>
      <c r="B45" s="287" t="s">
        <v>2380</v>
      </c>
      <c r="C45" s="288">
        <f ca="1">C46</f>
        <v>8680326</v>
      </c>
      <c r="D45" s="278">
        <f ca="1">C47</f>
        <v>4.0000000000000001E-3</v>
      </c>
      <c r="E45" s="279" t="s">
        <v>2406</v>
      </c>
      <c r="F45" s="289"/>
      <c r="G45" s="290" t="s">
        <v>2415</v>
      </c>
    </row>
    <row r="46" spans="1:7" s="257" customFormat="1" ht="13.5" customHeight="1">
      <c r="A46" s="950" t="s">
        <v>791</v>
      </c>
      <c r="B46" s="291" t="s">
        <v>2416</v>
      </c>
      <c r="C46" s="292">
        <f ca="1">ROUND((C33+C39)*F27,0)</f>
        <v>8680326</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5.33E-2</v>
      </c>
      <c r="D48" s="279" t="s">
        <v>2406</v>
      </c>
      <c r="E48" s="275"/>
      <c r="F48" s="280"/>
      <c r="G48" s="277" t="s">
        <v>2419</v>
      </c>
    </row>
    <row r="49" spans="1:7" ht="16.5" customHeight="1">
      <c r="A49" s="298" t="s">
        <v>2385</v>
      </c>
      <c r="B49" s="253" t="s">
        <v>2459</v>
      </c>
      <c r="C49" s="275">
        <f ca="1">ROUND((C33+C39+C41+C45)/(1-C40-D41-D45-C48),0)</f>
        <v>60536080</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60536080</v>
      </c>
      <c r="D51" s="275"/>
      <c r="E51" s="275"/>
      <c r="F51" s="307"/>
      <c r="G51" s="277" t="s">
        <v>2427</v>
      </c>
    </row>
    <row r="52" spans="1:7" s="251" customFormat="1" ht="16.5" thickBot="1">
      <c r="A52" s="308" t="s">
        <v>2428</v>
      </c>
      <c r="B52" s="309"/>
      <c r="C52" s="310">
        <f ca="1">C31+C51</f>
        <v>72907863</v>
      </c>
      <c r="D52" s="309"/>
      <c r="E52" s="309"/>
      <c r="F52" s="309"/>
      <c r="G52" s="311"/>
    </row>
    <row r="55" spans="1:7" ht="15">
      <c r="B55" s="313" t="s">
        <v>2429</v>
      </c>
      <c r="C55" s="314"/>
    </row>
    <row r="56" spans="1:7">
      <c r="B56" s="316" t="s">
        <v>1508</v>
      </c>
      <c r="C56" s="318">
        <f ca="1">1-C57</f>
        <v>0.17000000000000004</v>
      </c>
    </row>
    <row r="57" spans="1:7">
      <c r="B57" s="316" t="s">
        <v>1509</v>
      </c>
      <c r="C57" s="317">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C47" sqref="C47"/>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7824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4236</v>
      </c>
      <c r="C3" s="246" t="s">
        <v>2745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29" t="s">
        <v>2645</v>
      </c>
      <c r="D4" s="3230"/>
      <c r="E4" s="3231" t="s">
        <v>2646</v>
      </c>
      <c r="F4" s="3232"/>
      <c r="G4" s="3229" t="s">
        <v>2647</v>
      </c>
      <c r="H4" s="3230"/>
      <c r="I4" s="3229" t="s">
        <v>2648</v>
      </c>
      <c r="J4" s="3230"/>
      <c r="K4" s="609" t="s">
        <v>2649</v>
      </c>
      <c r="L4" s="1129"/>
      <c r="M4" s="1130"/>
      <c r="N4" s="1130"/>
      <c r="O4" s="1130"/>
      <c r="P4" s="3233" t="s">
        <v>2650</v>
      </c>
      <c r="Q4" s="3234"/>
      <c r="R4" s="3216" t="s">
        <v>2646</v>
      </c>
      <c r="S4" s="3217"/>
      <c r="T4" s="3216" t="s">
        <v>2647</v>
      </c>
      <c r="U4" s="3217"/>
      <c r="V4" s="3241" t="s">
        <v>2648</v>
      </c>
      <c r="W4" s="3241"/>
      <c r="X4" s="1811"/>
      <c r="Y4" s="3216" t="s">
        <v>2650</v>
      </c>
      <c r="Z4" s="3217"/>
      <c r="AA4" s="3211" t="s">
        <v>2646</v>
      </c>
      <c r="AB4" s="3212" t="s">
        <v>2647</v>
      </c>
      <c r="AC4" s="3211" t="s">
        <v>2648</v>
      </c>
    </row>
    <row r="5" spans="1:30" ht="15">
      <c r="A5" s="403"/>
      <c r="B5" s="404"/>
      <c r="C5" s="3222" t="s">
        <v>2541</v>
      </c>
      <c r="D5" s="3223"/>
      <c r="E5" s="3220" t="str">
        <f>土地案例!A4</f>
        <v>未央区元朔路以东、郑西铁路以南、西铜路以西</v>
      </c>
      <c r="F5" s="3221"/>
      <c r="G5" s="3222" t="str">
        <f>土地案例!A5</f>
        <v>未央区元朔路以东、郑西铁路以南、西铜路以西</v>
      </c>
      <c r="H5" s="3223"/>
      <c r="I5" s="3222" t="str">
        <f>土地案例!A19</f>
        <v>未央区新行政中心以东、太华路北延伸线西侧</v>
      </c>
      <c r="J5" s="3223"/>
      <c r="K5" s="609"/>
      <c r="L5" s="1129"/>
      <c r="M5" s="1130"/>
      <c r="N5" s="1130"/>
      <c r="O5" s="1130"/>
      <c r="P5" s="3235"/>
      <c r="Q5" s="3236"/>
      <c r="R5" s="3218"/>
      <c r="S5" s="3219"/>
      <c r="T5" s="3218"/>
      <c r="U5" s="3219"/>
      <c r="V5" s="3241"/>
      <c r="W5" s="3241"/>
      <c r="X5" s="1811"/>
      <c r="Y5" s="3218"/>
      <c r="Z5" s="3219"/>
      <c r="AA5" s="3212"/>
      <c r="AB5" s="3212"/>
      <c r="AC5" s="3212"/>
    </row>
    <row r="6" spans="1:30" ht="15.75" thickBot="1">
      <c r="A6" s="405"/>
      <c r="B6" s="406"/>
      <c r="C6" s="3224" t="s">
        <v>2545</v>
      </c>
      <c r="D6" s="3225"/>
      <c r="E6" s="3226" t="s">
        <v>2545</v>
      </c>
      <c r="F6" s="3227"/>
      <c r="G6" s="3224" t="s">
        <v>2545</v>
      </c>
      <c r="H6" s="3225"/>
      <c r="I6" s="3224" t="s">
        <v>2545</v>
      </c>
      <c r="J6" s="3225"/>
      <c r="K6" s="609" t="s">
        <v>2546</v>
      </c>
      <c r="L6" s="1129"/>
      <c r="M6" s="1130"/>
      <c r="N6" s="1130"/>
      <c r="O6" s="1130"/>
      <c r="P6" s="3237"/>
      <c r="Q6" s="3238"/>
      <c r="R6" s="3218"/>
      <c r="S6" s="3219"/>
      <c r="T6" s="3239"/>
      <c r="U6" s="3240"/>
      <c r="V6" s="3241"/>
      <c r="W6" s="3241"/>
      <c r="X6" s="1811"/>
      <c r="Y6" s="3239"/>
      <c r="Z6" s="3240"/>
      <c r="AA6" s="3213"/>
      <c r="AB6" s="3213"/>
      <c r="AC6" s="3213"/>
    </row>
    <row r="7" spans="1:30" s="117" customFormat="1" ht="15.75" thickBot="1">
      <c r="A7" s="407" t="s">
        <v>2547</v>
      </c>
      <c r="B7" s="408"/>
      <c r="C7" s="409">
        <f>'数据-取费表'!B2</f>
        <v>43714</v>
      </c>
      <c r="D7" s="410">
        <v>100</v>
      </c>
      <c r="E7" s="411" t="str">
        <f>土地案例!H4</f>
        <v>2019-06-12</v>
      </c>
      <c r="F7" s="412">
        <f>SUMIF(70:70,YEAR(E7)&amp;"-"&amp;INT((MONTH(E7)+2)/3),71:71)</f>
        <v>98</v>
      </c>
      <c r="G7" s="2696" t="str">
        <f>土地案例!H5</f>
        <v>2019-06-12</v>
      </c>
      <c r="H7" s="410">
        <f>SUMIF(70:70,YEAR(G7)&amp;"-"&amp;INT((MONTH(G7)+2)/3),71:71)</f>
        <v>98</v>
      </c>
      <c r="I7" s="2696" t="str">
        <f>土地案例!H19</f>
        <v>2017-08-29</v>
      </c>
      <c r="J7" s="410">
        <f>SUMIF(70:70,YEAR(I7)&amp;"-"&amp;INT((MONTH(I7)+2)/3),71:71)</f>
        <v>84</v>
      </c>
      <c r="K7" s="610"/>
      <c r="L7" s="1131"/>
      <c r="M7" s="1132"/>
      <c r="N7" s="1132"/>
      <c r="O7" s="1132"/>
      <c r="P7" s="3214" t="s">
        <v>2548</v>
      </c>
      <c r="Q7" s="3242"/>
      <c r="R7" s="769" t="s">
        <v>17</v>
      </c>
      <c r="S7" s="770">
        <f t="shared" ref="S7:S15" si="0">F7</f>
        <v>98</v>
      </c>
      <c r="T7" s="769" t="s">
        <v>17</v>
      </c>
      <c r="U7" s="770">
        <f t="shared" ref="U7:U15" si="1">H7</f>
        <v>98</v>
      </c>
      <c r="V7" s="769" t="s">
        <v>17</v>
      </c>
      <c r="W7" s="770">
        <f t="shared" ref="W7:W15" si="2">J7</f>
        <v>84</v>
      </c>
      <c r="X7" s="771"/>
      <c r="Y7" s="3214" t="s">
        <v>2548</v>
      </c>
      <c r="Z7" s="3215"/>
      <c r="AA7" s="772">
        <f>D7/F7</f>
        <v>1.0204081632653061</v>
      </c>
      <c r="AB7" s="772">
        <f>D7/H7</f>
        <v>1.0204081632653061</v>
      </c>
      <c r="AC7" s="772">
        <f>D7/J7</f>
        <v>1.1904761904761905</v>
      </c>
    </row>
    <row r="8" spans="1:30" s="117" customFormat="1" ht="15.75" thickBot="1">
      <c r="A8" s="407" t="s">
        <v>2549</v>
      </c>
      <c r="B8" s="408"/>
      <c r="C8" s="413" t="s">
        <v>2550</v>
      </c>
      <c r="D8" s="410">
        <v>100</v>
      </c>
      <c r="E8" s="413" t="s">
        <v>3107</v>
      </c>
      <c r="F8" s="412">
        <f>SUMIF(73:73,E8,74:74)-SUMIF(73:73,C8,74:74)+100</f>
        <v>100</v>
      </c>
      <c r="G8" s="413" t="s">
        <v>3107</v>
      </c>
      <c r="H8" s="410">
        <f>SUMIF(73:73,G8,74:74)-SUMIF(73:73,C8,74:74)+100</f>
        <v>100</v>
      </c>
      <c r="I8" s="413" t="s">
        <v>3107</v>
      </c>
      <c r="J8" s="410">
        <f>SUMIF(73:73,I8,74:74)-SUMIF(73:73,C8,74:74)+100</f>
        <v>100</v>
      </c>
      <c r="K8" s="610"/>
      <c r="L8" s="1131"/>
      <c r="M8" s="1132"/>
      <c r="N8" s="1132"/>
      <c r="O8" s="1132"/>
      <c r="P8" s="3214" t="s">
        <v>2551</v>
      </c>
      <c r="Q8" s="3215"/>
      <c r="R8" s="769" t="s">
        <v>17</v>
      </c>
      <c r="S8" s="770">
        <f t="shared" si="0"/>
        <v>100</v>
      </c>
      <c r="T8" s="769" t="s">
        <v>17</v>
      </c>
      <c r="U8" s="770">
        <f t="shared" si="1"/>
        <v>100</v>
      </c>
      <c r="V8" s="769" t="s">
        <v>17</v>
      </c>
      <c r="W8" s="770">
        <f t="shared" si="2"/>
        <v>100</v>
      </c>
      <c r="X8" s="771"/>
      <c r="Y8" s="3214" t="s">
        <v>2551</v>
      </c>
      <c r="Z8" s="3215"/>
      <c r="AA8" s="772">
        <f t="shared" ref="AA8:AA45" si="3">D8/F8</f>
        <v>1</v>
      </c>
      <c r="AB8" s="772">
        <f t="shared" ref="AB8:AB45" si="4">D8/H8</f>
        <v>1</v>
      </c>
      <c r="AC8" s="772">
        <f t="shared" ref="AC8:AC45" si="5">D8/J8</f>
        <v>1</v>
      </c>
    </row>
    <row r="9" spans="1:30" s="117" customFormat="1">
      <c r="A9" s="414" t="s">
        <v>2552</v>
      </c>
      <c r="B9" s="71" t="s">
        <v>2553</v>
      </c>
      <c r="C9" s="2699" t="s">
        <v>3289</v>
      </c>
      <c r="D9" s="134">
        <v>100</v>
      </c>
      <c r="E9" s="2699" t="s">
        <v>3289</v>
      </c>
      <c r="F9" s="134">
        <f>SUMIF(75:75,E9,76:76)-SUMIF(75:75,C9,76:76)+100</f>
        <v>100</v>
      </c>
      <c r="G9" s="2699" t="s">
        <v>3289</v>
      </c>
      <c r="H9" s="134">
        <f>SUMIF(75:75,G9,76:76)-SUMIF(75:75,C9,76:76)+100</f>
        <v>100</v>
      </c>
      <c r="I9" s="2699" t="s">
        <v>3289</v>
      </c>
      <c r="J9" s="134">
        <f>SUMIF(75:75,I9,76:76)-SUMIF(75:75,C9,76:76)+100</f>
        <v>100</v>
      </c>
      <c r="K9" s="610"/>
      <c r="L9" s="1131"/>
      <c r="M9" s="1132"/>
      <c r="N9" s="1132"/>
      <c r="O9" s="1133"/>
      <c r="P9" s="3228" t="s">
        <v>2554</v>
      </c>
      <c r="Q9" s="1793" t="str">
        <f t="shared" ref="Q9:Q15" si="6">B9</f>
        <v>用途</v>
      </c>
      <c r="R9" s="769" t="s">
        <v>17</v>
      </c>
      <c r="S9" s="770">
        <f t="shared" si="0"/>
        <v>100</v>
      </c>
      <c r="T9" s="769" t="s">
        <v>17</v>
      </c>
      <c r="U9" s="770">
        <f t="shared" si="1"/>
        <v>100</v>
      </c>
      <c r="V9" s="769" t="s">
        <v>17</v>
      </c>
      <c r="W9" s="770">
        <f t="shared" si="2"/>
        <v>100</v>
      </c>
      <c r="X9" s="771"/>
      <c r="Y9" s="3079"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104</v>
      </c>
      <c r="G10" s="462"/>
      <c r="H10" s="135">
        <f>ROUND(100/'数据-取费表'!G16,0)</f>
        <v>104</v>
      </c>
      <c r="I10" s="462"/>
      <c r="J10" s="135">
        <f>ROUND(100/'数据-取费表'!G16,0)</f>
        <v>104</v>
      </c>
      <c r="K10" s="671"/>
      <c r="L10" s="1134"/>
      <c r="M10" s="1135"/>
      <c r="N10" s="1135"/>
      <c r="O10" s="1136"/>
      <c r="P10" s="3228"/>
      <c r="Q10" s="1793" t="str">
        <f t="shared" si="6"/>
        <v>土地使用年限（年）</v>
      </c>
      <c r="R10" s="769" t="s">
        <v>17</v>
      </c>
      <c r="S10" s="770">
        <f t="shared" si="0"/>
        <v>104</v>
      </c>
      <c r="T10" s="769" t="s">
        <v>17</v>
      </c>
      <c r="U10" s="770">
        <f t="shared" si="1"/>
        <v>104</v>
      </c>
      <c r="V10" s="769" t="s">
        <v>17</v>
      </c>
      <c r="W10" s="770">
        <f t="shared" si="2"/>
        <v>104</v>
      </c>
      <c r="X10" s="771"/>
      <c r="Y10" s="3079"/>
      <c r="Z10" s="55" t="str">
        <f t="shared" si="7"/>
        <v>土地使用年限（年）</v>
      </c>
      <c r="AA10" s="772">
        <f t="shared" si="3"/>
        <v>0.96153846153846156</v>
      </c>
      <c r="AB10" s="772">
        <f t="shared" si="4"/>
        <v>0.96153846153846156</v>
      </c>
      <c r="AC10" s="772">
        <f t="shared" si="5"/>
        <v>0.96153846153846156</v>
      </c>
    </row>
    <row r="11" spans="1:30" ht="15">
      <c r="A11" s="427"/>
      <c r="B11" s="421" t="s">
        <v>2557</v>
      </c>
      <c r="C11" s="428">
        <f>'数据-汇总表'!I4</f>
        <v>4.12</v>
      </c>
      <c r="D11" s="135">
        <v>100</v>
      </c>
      <c r="E11" s="428">
        <v>3.22</v>
      </c>
      <c r="F11" s="135">
        <f>LOOKUP(E11,80:80,81:81)-LOOKUP(C11,80:80,81:81)+100</f>
        <v>102</v>
      </c>
      <c r="G11" s="429">
        <v>3.5</v>
      </c>
      <c r="H11" s="135">
        <f>LOOKUP(G11,80:80,81:81)-LOOKUP(C11,80:80,81:81)+100</f>
        <v>102</v>
      </c>
      <c r="I11" s="428">
        <v>4.34</v>
      </c>
      <c r="J11" s="135">
        <f>LOOKUP(I11,80:80,81:81)-LOOKUP(C11,80:80,81:81)+100</f>
        <v>100</v>
      </c>
      <c r="K11" s="672">
        <v>2</v>
      </c>
      <c r="L11" s="1137"/>
      <c r="M11" s="1130"/>
      <c r="N11" s="1130"/>
      <c r="O11" s="1138"/>
      <c r="P11" s="3228"/>
      <c r="Q11" s="1793" t="str">
        <f t="shared" si="6"/>
        <v>容积率</v>
      </c>
      <c r="R11" s="769" t="s">
        <v>17</v>
      </c>
      <c r="S11" s="770">
        <f t="shared" si="0"/>
        <v>102</v>
      </c>
      <c r="T11" s="769" t="s">
        <v>17</v>
      </c>
      <c r="U11" s="770">
        <f t="shared" si="1"/>
        <v>102</v>
      </c>
      <c r="V11" s="769" t="s">
        <v>17</v>
      </c>
      <c r="W11" s="770">
        <f t="shared" si="2"/>
        <v>100</v>
      </c>
      <c r="X11" s="771"/>
      <c r="Y11" s="3079"/>
      <c r="Z11" s="55" t="str">
        <f t="shared" si="7"/>
        <v>容积率</v>
      </c>
      <c r="AA11" s="772">
        <f t="shared" si="3"/>
        <v>0.98039215686274506</v>
      </c>
      <c r="AB11" s="772">
        <f t="shared" si="4"/>
        <v>0.98039215686274506</v>
      </c>
      <c r="AC11" s="772">
        <f t="shared" si="5"/>
        <v>1</v>
      </c>
    </row>
    <row r="12" spans="1:30" s="117" customFormat="1" ht="15">
      <c r="A12" s="430"/>
      <c r="B12" s="2600"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28"/>
      <c r="Q12" s="1793" t="str">
        <f t="shared" si="6"/>
        <v>配建</v>
      </c>
      <c r="R12" s="769" t="s">
        <v>17</v>
      </c>
      <c r="S12" s="770">
        <f t="shared" si="0"/>
        <v>100</v>
      </c>
      <c r="T12" s="769" t="s">
        <v>17</v>
      </c>
      <c r="U12" s="770">
        <f t="shared" si="1"/>
        <v>100</v>
      </c>
      <c r="V12" s="769" t="s">
        <v>17</v>
      </c>
      <c r="W12" s="770">
        <f t="shared" si="2"/>
        <v>100</v>
      </c>
      <c r="X12" s="771"/>
      <c r="Y12" s="3079"/>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28"/>
      <c r="Q13" s="1793">
        <f t="shared" si="6"/>
        <v>111</v>
      </c>
      <c r="R13" s="769" t="s">
        <v>17</v>
      </c>
      <c r="S13" s="770">
        <f t="shared" si="0"/>
        <v>100</v>
      </c>
      <c r="T13" s="769" t="s">
        <v>17</v>
      </c>
      <c r="U13" s="770">
        <f t="shared" si="1"/>
        <v>100</v>
      </c>
      <c r="V13" s="769" t="s">
        <v>17</v>
      </c>
      <c r="W13" s="770">
        <f t="shared" si="2"/>
        <v>100</v>
      </c>
      <c r="X13" s="771"/>
      <c r="Y13" s="3079"/>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8"/>
      <c r="Q14" s="1793">
        <f t="shared" si="6"/>
        <v>111</v>
      </c>
      <c r="R14" s="769" t="s">
        <v>17</v>
      </c>
      <c r="S14" s="770">
        <f t="shared" si="0"/>
        <v>100</v>
      </c>
      <c r="T14" s="769" t="s">
        <v>17</v>
      </c>
      <c r="U14" s="770">
        <f t="shared" si="1"/>
        <v>100</v>
      </c>
      <c r="V14" s="769" t="s">
        <v>17</v>
      </c>
      <c r="W14" s="770">
        <f t="shared" si="2"/>
        <v>100</v>
      </c>
      <c r="X14" s="771"/>
      <c r="Y14" s="3079"/>
      <c r="Z14" s="55">
        <f t="shared" si="7"/>
        <v>111</v>
      </c>
      <c r="AA14" s="772">
        <f>D14/F14</f>
        <v>1</v>
      </c>
      <c r="AB14" s="772">
        <f>D14/H14</f>
        <v>1</v>
      </c>
      <c r="AC14" s="772">
        <f>D14/J14</f>
        <v>1</v>
      </c>
    </row>
    <row r="15" spans="1:30" ht="99.75">
      <c r="A15" s="439" t="s">
        <v>2558</v>
      </c>
      <c r="B15" s="69" t="s">
        <v>2085</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39"/>
      <c r="M15" s="1130"/>
      <c r="N15" s="1130"/>
      <c r="O15" s="1138"/>
      <c r="P15" s="3243" t="s">
        <v>2559</v>
      </c>
      <c r="Q15" s="1808" t="str">
        <f t="shared" si="6"/>
        <v>居住社区成熟度</v>
      </c>
      <c r="R15" s="773" t="s">
        <v>17</v>
      </c>
      <c r="S15" s="774">
        <f t="shared" si="0"/>
        <v>100</v>
      </c>
      <c r="T15" s="773" t="s">
        <v>17</v>
      </c>
      <c r="U15" s="774">
        <f t="shared" si="1"/>
        <v>100</v>
      </c>
      <c r="V15" s="773" t="s">
        <v>17</v>
      </c>
      <c r="W15" s="774">
        <f t="shared" si="2"/>
        <v>100</v>
      </c>
      <c r="X15" s="1811"/>
      <c r="Y15" s="3243" t="s">
        <v>2559</v>
      </c>
      <c r="Z15" s="1812" t="str">
        <f t="shared" si="7"/>
        <v>居住社区成熟度</v>
      </c>
      <c r="AA15" s="1809">
        <f t="shared" si="3"/>
        <v>1</v>
      </c>
      <c r="AB15" s="1809">
        <f t="shared" si="4"/>
        <v>1</v>
      </c>
      <c r="AC15" s="1809">
        <f t="shared" si="5"/>
        <v>1</v>
      </c>
    </row>
    <row r="16" spans="1:30" ht="15">
      <c r="A16" s="427"/>
      <c r="B16" s="445"/>
      <c r="C16" s="446" t="s">
        <v>3110</v>
      </c>
      <c r="D16" s="447"/>
      <c r="E16" s="2605" t="s">
        <v>3110</v>
      </c>
      <c r="F16" s="447"/>
      <c r="G16" s="2605" t="s">
        <v>3110</v>
      </c>
      <c r="H16" s="449"/>
      <c r="I16" s="2604" t="s">
        <v>3110</v>
      </c>
      <c r="J16" s="447"/>
      <c r="K16" s="671"/>
      <c r="L16" s="1139"/>
      <c r="M16" s="1130"/>
      <c r="N16" s="1130"/>
      <c r="O16" s="1138"/>
      <c r="P16" s="3244"/>
      <c r="Q16" s="1808"/>
      <c r="R16" s="773"/>
      <c r="S16" s="774"/>
      <c r="T16" s="773"/>
      <c r="U16" s="774"/>
      <c r="V16" s="773"/>
      <c r="W16" s="774"/>
      <c r="X16" s="1811"/>
      <c r="Y16" s="3244"/>
      <c r="Z16" s="1812"/>
      <c r="AA16" s="1809">
        <v>1</v>
      </c>
      <c r="AB16" s="1809">
        <v>1</v>
      </c>
      <c r="AC16" s="1809">
        <v>1</v>
      </c>
    </row>
    <row r="17" spans="1:29" ht="71.25">
      <c r="A17" s="427"/>
      <c r="B17" s="450" t="s">
        <v>2652</v>
      </c>
      <c r="C17" s="2664" t="str">
        <f>估价对象房地状况!C16</f>
        <v>估价对象位于XX商圈，周边商业氛围成熟，人流量大，商业繁华度好</v>
      </c>
      <c r="D17" s="449">
        <v>100</v>
      </c>
      <c r="E17" s="451"/>
      <c r="F17" s="449">
        <f>SUMIF(90:90,E18,91:91)-SUMIF(90:90,C18,91:91)+100</f>
        <v>95</v>
      </c>
      <c r="G17" s="451"/>
      <c r="H17" s="454">
        <f>SUMIF(90:90,G18,91:91)-SUMIF(90:90,C18,91:91)+100</f>
        <v>95</v>
      </c>
      <c r="I17" s="453"/>
      <c r="J17" s="454">
        <f>SUMIF(90:90,I18,91:91)-SUMIF(90:90,C18,91:91)+100</f>
        <v>100</v>
      </c>
      <c r="K17" s="672">
        <v>5</v>
      </c>
      <c r="L17" s="1139"/>
      <c r="M17" s="1130"/>
      <c r="N17" s="1130"/>
      <c r="O17" s="1138"/>
      <c r="P17" s="3244"/>
      <c r="Q17" s="1808" t="str">
        <f>B17</f>
        <v>商业繁华度</v>
      </c>
      <c r="R17" s="773" t="s">
        <v>17</v>
      </c>
      <c r="S17" s="774">
        <f>F17</f>
        <v>95</v>
      </c>
      <c r="T17" s="773" t="s">
        <v>17</v>
      </c>
      <c r="U17" s="774">
        <f>H17</f>
        <v>95</v>
      </c>
      <c r="V17" s="773" t="s">
        <v>17</v>
      </c>
      <c r="W17" s="774">
        <f>J17</f>
        <v>100</v>
      </c>
      <c r="X17" s="1811"/>
      <c r="Y17" s="3244"/>
      <c r="Z17" s="1812" t="str">
        <f>Q17</f>
        <v>商业繁华度</v>
      </c>
      <c r="AA17" s="1809">
        <f t="shared" si="3"/>
        <v>1.0526315789473684</v>
      </c>
      <c r="AB17" s="1809">
        <f t="shared" si="4"/>
        <v>1.0526315789473684</v>
      </c>
      <c r="AC17" s="1809">
        <f t="shared" si="5"/>
        <v>1</v>
      </c>
    </row>
    <row r="18" spans="1:29" ht="15">
      <c r="A18" s="427"/>
      <c r="B18" s="455"/>
      <c r="C18" s="2608" t="s">
        <v>3110</v>
      </c>
      <c r="D18" s="449"/>
      <c r="E18" s="2610" t="s">
        <v>3307</v>
      </c>
      <c r="F18" s="449"/>
      <c r="G18" s="2610" t="s">
        <v>3307</v>
      </c>
      <c r="H18" s="447"/>
      <c r="I18" s="2609" t="s">
        <v>3110</v>
      </c>
      <c r="J18" s="447"/>
      <c r="K18" s="671"/>
      <c r="L18" s="1139"/>
      <c r="M18" s="1130"/>
      <c r="N18" s="1130"/>
      <c r="O18" s="1138"/>
      <c r="P18" s="3244"/>
      <c r="Q18" s="1808"/>
      <c r="R18" s="773"/>
      <c r="S18" s="774"/>
      <c r="T18" s="773"/>
      <c r="U18" s="774"/>
      <c r="V18" s="773"/>
      <c r="W18" s="774"/>
      <c r="X18" s="1811"/>
      <c r="Y18" s="3244"/>
      <c r="Z18" s="1812"/>
      <c r="AA18" s="1809">
        <v>1</v>
      </c>
      <c r="AB18" s="1809">
        <v>1</v>
      </c>
      <c r="AC18" s="1809">
        <v>1</v>
      </c>
    </row>
    <row r="19" spans="1:29" ht="71.25" hidden="1">
      <c r="A19" s="427"/>
      <c r="B19" s="450" t="s">
        <v>2686</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44"/>
      <c r="Q19" s="1808" t="str">
        <f>B19</f>
        <v>办公集聚程度</v>
      </c>
      <c r="R19" s="773" t="s">
        <v>17</v>
      </c>
      <c r="S19" s="774">
        <f>F19</f>
        <v>100</v>
      </c>
      <c r="T19" s="773" t="s">
        <v>17</v>
      </c>
      <c r="U19" s="774">
        <f>H19</f>
        <v>100</v>
      </c>
      <c r="V19" s="773" t="s">
        <v>17</v>
      </c>
      <c r="W19" s="774">
        <f>J19</f>
        <v>100</v>
      </c>
      <c r="X19" s="1811"/>
      <c r="Y19" s="3244"/>
      <c r="Z19" s="1812" t="str">
        <f>Q19</f>
        <v>办公集聚程度</v>
      </c>
      <c r="AA19" s="1809">
        <f t="shared" si="3"/>
        <v>1</v>
      </c>
      <c r="AB19" s="1809">
        <f t="shared" si="4"/>
        <v>1</v>
      </c>
      <c r="AC19" s="1809">
        <f t="shared" si="5"/>
        <v>1</v>
      </c>
    </row>
    <row r="20" spans="1:29" ht="15" hidden="1">
      <c r="A20" s="427"/>
      <c r="B20" s="455"/>
      <c r="C20" s="446"/>
      <c r="D20" s="447"/>
      <c r="E20" s="2605"/>
      <c r="F20" s="447"/>
      <c r="G20" s="2605"/>
      <c r="H20" s="447"/>
      <c r="I20" s="2604"/>
      <c r="J20" s="447"/>
      <c r="K20" s="671"/>
      <c r="L20" s="1139"/>
      <c r="M20" s="1130"/>
      <c r="N20" s="1130"/>
      <c r="O20" s="1138"/>
      <c r="P20" s="3244"/>
      <c r="Q20" s="1808"/>
      <c r="R20" s="773"/>
      <c r="S20" s="774"/>
      <c r="T20" s="773"/>
      <c r="U20" s="774"/>
      <c r="V20" s="773"/>
      <c r="W20" s="774"/>
      <c r="X20" s="1811"/>
      <c r="Y20" s="3244"/>
      <c r="Z20" s="1812"/>
      <c r="AA20" s="1809">
        <v>1</v>
      </c>
      <c r="AB20" s="1809">
        <v>1</v>
      </c>
      <c r="AC20" s="1809">
        <v>1</v>
      </c>
    </row>
    <row r="21" spans="1:29" ht="85.5">
      <c r="A21" s="427"/>
      <c r="B21" s="450" t="s">
        <v>2708</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9"/>
      <c r="M21" s="1130"/>
      <c r="N21" s="1130"/>
      <c r="O21" s="1138"/>
      <c r="P21" s="3244"/>
      <c r="Q21" s="1808" t="str">
        <f>B21</f>
        <v>交通便捷度</v>
      </c>
      <c r="R21" s="773" t="s">
        <v>17</v>
      </c>
      <c r="S21" s="774">
        <f>F21</f>
        <v>100</v>
      </c>
      <c r="T21" s="773" t="s">
        <v>17</v>
      </c>
      <c r="U21" s="774">
        <f>H21</f>
        <v>100</v>
      </c>
      <c r="V21" s="773" t="s">
        <v>17</v>
      </c>
      <c r="W21" s="774">
        <f>J21</f>
        <v>100</v>
      </c>
      <c r="X21" s="1811"/>
      <c r="Y21" s="3244"/>
      <c r="Z21" s="1812" t="str">
        <f>Q21</f>
        <v>交通便捷度</v>
      </c>
      <c r="AA21" s="1809">
        <f t="shared" si="3"/>
        <v>1</v>
      </c>
      <c r="AB21" s="1809">
        <f t="shared" si="4"/>
        <v>1</v>
      </c>
      <c r="AC21" s="1809">
        <f t="shared" si="5"/>
        <v>1</v>
      </c>
    </row>
    <row r="22" spans="1:29" ht="15">
      <c r="A22" s="427"/>
      <c r="B22" s="1383"/>
      <c r="C22" s="446" t="s">
        <v>3110</v>
      </c>
      <c r="D22" s="449"/>
      <c r="E22" s="2605" t="s">
        <v>3110</v>
      </c>
      <c r="F22" s="447"/>
      <c r="G22" s="2605" t="s">
        <v>3110</v>
      </c>
      <c r="H22" s="447"/>
      <c r="I22" s="2604" t="s">
        <v>3110</v>
      </c>
      <c r="J22" s="447"/>
      <c r="K22" s="671"/>
      <c r="L22" s="1139"/>
      <c r="M22" s="1130"/>
      <c r="N22" s="1130"/>
      <c r="O22" s="1138"/>
      <c r="P22" s="3244"/>
      <c r="Q22" s="1808"/>
      <c r="R22" s="773"/>
      <c r="S22" s="774"/>
      <c r="T22" s="773"/>
      <c r="U22" s="774"/>
      <c r="V22" s="773"/>
      <c r="W22" s="774"/>
      <c r="X22" s="1811"/>
      <c r="Y22" s="3244"/>
      <c r="Z22" s="1812"/>
      <c r="AA22" s="1809">
        <v>1</v>
      </c>
      <c r="AB22" s="1809">
        <v>1</v>
      </c>
      <c r="AC22" s="1809">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44"/>
      <c r="Q23" s="1808" t="str">
        <f t="shared" ref="Q23:Q37" si="8">B23</f>
        <v>区域土地利用方向</v>
      </c>
      <c r="R23" s="773" t="s">
        <v>17</v>
      </c>
      <c r="S23" s="774">
        <f>F23</f>
        <v>100</v>
      </c>
      <c r="T23" s="773" t="s">
        <v>17</v>
      </c>
      <c r="U23" s="774">
        <f>H23</f>
        <v>100</v>
      </c>
      <c r="V23" s="773" t="s">
        <v>17</v>
      </c>
      <c r="W23" s="774">
        <f>J23</f>
        <v>100</v>
      </c>
      <c r="X23" s="1811"/>
      <c r="Y23" s="3244"/>
      <c r="Z23" s="1812" t="str">
        <f>Q23</f>
        <v>区域土地利用方向</v>
      </c>
      <c r="AA23" s="1809">
        <f t="shared" si="3"/>
        <v>1</v>
      </c>
      <c r="AB23" s="1809">
        <f t="shared" si="4"/>
        <v>1</v>
      </c>
      <c r="AC23" s="1809">
        <f t="shared" si="5"/>
        <v>1</v>
      </c>
    </row>
    <row r="24" spans="1:29" ht="15">
      <c r="A24" s="403"/>
      <c r="B24" s="455"/>
      <c r="C24" s="615"/>
      <c r="D24" s="447"/>
      <c r="E24" s="2605"/>
      <c r="F24" s="447"/>
      <c r="G24" s="2604"/>
      <c r="H24" s="447"/>
      <c r="I24" s="2604"/>
      <c r="J24" s="447"/>
      <c r="K24" s="811"/>
      <c r="L24" s="1139"/>
      <c r="M24" s="1130"/>
      <c r="N24" s="1130"/>
      <c r="O24" s="1138"/>
      <c r="P24" s="3244"/>
      <c r="Q24" s="1808"/>
      <c r="R24" s="773"/>
      <c r="S24" s="774"/>
      <c r="T24" s="773"/>
      <c r="U24" s="774"/>
      <c r="V24" s="773"/>
      <c r="W24" s="774"/>
      <c r="X24" s="1811"/>
      <c r="Y24" s="3244"/>
      <c r="Z24" s="1812"/>
      <c r="AA24" s="1809"/>
      <c r="AB24" s="1809"/>
      <c r="AC24" s="1809"/>
    </row>
    <row r="25" spans="1:29" ht="57">
      <c r="A25" s="403"/>
      <c r="B25" s="1383" t="s">
        <v>2748</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1</v>
      </c>
      <c r="L25" s="1139"/>
      <c r="M25" s="1130"/>
      <c r="N25" s="1130"/>
      <c r="O25" s="1138"/>
      <c r="P25" s="3244"/>
      <c r="Q25" s="1808" t="str">
        <f t="shared" si="8"/>
        <v>自然及人文环境状况</v>
      </c>
      <c r="R25" s="773" t="s">
        <v>17</v>
      </c>
      <c r="S25" s="774">
        <f>F25</f>
        <v>100</v>
      </c>
      <c r="T25" s="773" t="s">
        <v>17</v>
      </c>
      <c r="U25" s="774">
        <f>H25</f>
        <v>100</v>
      </c>
      <c r="V25" s="773" t="s">
        <v>17</v>
      </c>
      <c r="W25" s="774">
        <f>J25</f>
        <v>100</v>
      </c>
      <c r="X25" s="1811"/>
      <c r="Y25" s="3244"/>
      <c r="Z25" s="1812" t="str">
        <f>Q25</f>
        <v>自然及人文环境状况</v>
      </c>
      <c r="AA25" s="1809">
        <f t="shared" si="3"/>
        <v>1</v>
      </c>
      <c r="AB25" s="1809">
        <f t="shared" si="4"/>
        <v>1</v>
      </c>
      <c r="AC25" s="1809">
        <f t="shared" si="5"/>
        <v>1</v>
      </c>
    </row>
    <row r="26" spans="1:29" ht="15">
      <c r="A26" s="403"/>
      <c r="B26" s="455"/>
      <c r="C26" s="446" t="s">
        <v>3110</v>
      </c>
      <c r="D26" s="447"/>
      <c r="E26" s="2611" t="s">
        <v>3110</v>
      </c>
      <c r="F26" s="447"/>
      <c r="G26" s="2611" t="s">
        <v>3110</v>
      </c>
      <c r="H26" s="447"/>
      <c r="I26" s="446" t="s">
        <v>3110</v>
      </c>
      <c r="J26" s="447"/>
      <c r="K26" s="671"/>
      <c r="L26" s="1139"/>
      <c r="M26" s="1130"/>
      <c r="N26" s="1130"/>
      <c r="O26" s="1138"/>
      <c r="P26" s="3244"/>
      <c r="Q26" s="1808"/>
      <c r="R26" s="773"/>
      <c r="S26" s="774"/>
      <c r="T26" s="773"/>
      <c r="U26" s="774"/>
      <c r="V26" s="773"/>
      <c r="W26" s="774"/>
      <c r="X26" s="1811"/>
      <c r="Y26" s="3244"/>
      <c r="Z26" s="1812"/>
      <c r="AA26" s="1809">
        <v>1</v>
      </c>
      <c r="AB26" s="1809">
        <v>1</v>
      </c>
      <c r="AC26" s="1809">
        <v>1</v>
      </c>
    </row>
    <row r="27" spans="1:29" s="117" customFormat="1" ht="42.75">
      <c r="A27" s="648"/>
      <c r="B27" s="1383" t="s">
        <v>2653</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1"/>
      <c r="M27" s="1132"/>
      <c r="N27" s="1132"/>
      <c r="O27" s="1133"/>
      <c r="P27" s="3244"/>
      <c r="Q27" s="1793" t="str">
        <f t="shared" si="8"/>
        <v>公共配套设施</v>
      </c>
      <c r="R27" s="769" t="s">
        <v>17</v>
      </c>
      <c r="S27" s="770">
        <f>F27</f>
        <v>100</v>
      </c>
      <c r="T27" s="769" t="s">
        <v>17</v>
      </c>
      <c r="U27" s="770">
        <f>H27</f>
        <v>100</v>
      </c>
      <c r="V27" s="769" t="s">
        <v>17</v>
      </c>
      <c r="W27" s="770">
        <f>J27</f>
        <v>100</v>
      </c>
      <c r="X27" s="771"/>
      <c r="Y27" s="3244"/>
      <c r="Z27" s="55" t="str">
        <f>Q27</f>
        <v>公共配套设施</v>
      </c>
      <c r="AA27" s="1809">
        <f>D27/F27</f>
        <v>1</v>
      </c>
      <c r="AB27" s="1809">
        <f>D27/H27</f>
        <v>1</v>
      </c>
      <c r="AC27" s="1809">
        <f>D27/J27</f>
        <v>1</v>
      </c>
    </row>
    <row r="28" spans="1:29" s="117" customFormat="1" ht="15">
      <c r="A28" s="648"/>
      <c r="B28" s="455"/>
      <c r="C28" s="2700" t="s">
        <v>3110</v>
      </c>
      <c r="D28" s="447"/>
      <c r="E28" s="2611" t="s">
        <v>3110</v>
      </c>
      <c r="F28" s="447"/>
      <c r="G28" s="2611" t="s">
        <v>3110</v>
      </c>
      <c r="H28" s="447"/>
      <c r="I28" s="446" t="s">
        <v>3110</v>
      </c>
      <c r="J28" s="447"/>
      <c r="K28" s="671"/>
      <c r="L28" s="1131"/>
      <c r="M28" s="1132"/>
      <c r="N28" s="1132"/>
      <c r="O28" s="1133"/>
      <c r="P28" s="3244"/>
      <c r="Q28" s="1793"/>
      <c r="R28" s="769"/>
      <c r="S28" s="770"/>
      <c r="T28" s="769"/>
      <c r="U28" s="770"/>
      <c r="V28" s="769"/>
      <c r="W28" s="770"/>
      <c r="X28" s="771"/>
      <c r="Y28" s="3244"/>
      <c r="Z28" s="55"/>
      <c r="AA28" s="1809">
        <v>1</v>
      </c>
      <c r="AB28" s="1809">
        <v>1</v>
      </c>
      <c r="AC28" s="1809">
        <v>1</v>
      </c>
    </row>
    <row r="29" spans="1:29" s="117" customFormat="1" ht="28.5">
      <c r="A29" s="648"/>
      <c r="B29" s="1383" t="s">
        <v>2654</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1"/>
      <c r="M29" s="1132"/>
      <c r="N29" s="1132"/>
      <c r="O29" s="1133"/>
      <c r="P29" s="3244"/>
      <c r="Q29" s="1793" t="str">
        <f t="shared" ref="Q29" si="9">B29</f>
        <v>基础设施水平</v>
      </c>
      <c r="R29" s="769" t="s">
        <v>17</v>
      </c>
      <c r="S29" s="770">
        <f>F29</f>
        <v>100</v>
      </c>
      <c r="T29" s="769" t="s">
        <v>17</v>
      </c>
      <c r="U29" s="770">
        <f>H29</f>
        <v>100</v>
      </c>
      <c r="V29" s="769" t="s">
        <v>17</v>
      </c>
      <c r="W29" s="770">
        <f>J29</f>
        <v>100</v>
      </c>
      <c r="X29" s="771"/>
      <c r="Y29" s="3244"/>
      <c r="Z29" s="55" t="str">
        <f>Q29</f>
        <v>基础设施水平</v>
      </c>
      <c r="AA29" s="1809">
        <f>D29/F29</f>
        <v>1</v>
      </c>
      <c r="AB29" s="1809">
        <f>D29/H29</f>
        <v>1</v>
      </c>
      <c r="AC29" s="1809">
        <f>D29/J29</f>
        <v>1</v>
      </c>
    </row>
    <row r="30" spans="1:29" s="117" customFormat="1" ht="15">
      <c r="A30" s="648"/>
      <c r="B30" s="455"/>
      <c r="C30" s="2700" t="s">
        <v>3112</v>
      </c>
      <c r="D30" s="447"/>
      <c r="E30" s="2701" t="s">
        <v>3112</v>
      </c>
      <c r="F30" s="447"/>
      <c r="G30" s="2701" t="s">
        <v>3112</v>
      </c>
      <c r="H30" s="447"/>
      <c r="I30" s="2701" t="s">
        <v>3112</v>
      </c>
      <c r="J30" s="447"/>
      <c r="K30" s="671"/>
      <c r="L30" s="1131"/>
      <c r="M30" s="1132"/>
      <c r="N30" s="1132"/>
      <c r="O30" s="1133"/>
      <c r="P30" s="3244"/>
      <c r="Q30" s="1793"/>
      <c r="R30" s="769"/>
      <c r="S30" s="770"/>
      <c r="T30" s="769"/>
      <c r="U30" s="770"/>
      <c r="V30" s="769"/>
      <c r="W30" s="770"/>
      <c r="X30" s="771"/>
      <c r="Y30" s="3244"/>
      <c r="Z30" s="55"/>
      <c r="AA30" s="1809">
        <v>1</v>
      </c>
      <c r="AB30" s="1809">
        <v>1</v>
      </c>
      <c r="AC30" s="1809">
        <v>1</v>
      </c>
    </row>
    <row r="31" spans="1:29" ht="15">
      <c r="A31" s="427"/>
      <c r="B31" s="455" t="s">
        <v>2655</v>
      </c>
      <c r="C31" s="615" t="s">
        <v>3309</v>
      </c>
      <c r="D31" s="434">
        <v>100</v>
      </c>
      <c r="E31" s="633" t="s">
        <v>3129</v>
      </c>
      <c r="F31" s="434">
        <f>SUMIF(104:104,E31,105:105)-SUMIF(104:104,C31,105:105)+100</f>
        <v>99</v>
      </c>
      <c r="G31" s="633" t="s">
        <v>3314</v>
      </c>
      <c r="H31" s="434">
        <f>SUMIF(104:104,G31,105:105)-SUMIF(104:104,C31,105:105)+100</f>
        <v>98</v>
      </c>
      <c r="I31" s="633" t="s">
        <v>3129</v>
      </c>
      <c r="J31" s="434">
        <f>SUMIF(104:104,I31,105:105)-SUMIF(104:104,C31,105:105)+100</f>
        <v>99</v>
      </c>
      <c r="K31" s="672">
        <v>1</v>
      </c>
      <c r="L31" s="1139"/>
      <c r="M31" s="1130"/>
      <c r="N31" s="1130"/>
      <c r="O31" s="1138"/>
      <c r="P31" s="3244"/>
      <c r="Q31" s="1808" t="str">
        <f t="shared" si="8"/>
        <v>临街状况</v>
      </c>
      <c r="R31" s="773" t="s">
        <v>17</v>
      </c>
      <c r="S31" s="774">
        <f t="shared" ref="S31:S45" si="10">F31</f>
        <v>99</v>
      </c>
      <c r="T31" s="773" t="s">
        <v>17</v>
      </c>
      <c r="U31" s="774">
        <f t="shared" ref="U31:U45" si="11">H31</f>
        <v>98</v>
      </c>
      <c r="V31" s="773" t="s">
        <v>17</v>
      </c>
      <c r="W31" s="774">
        <f t="shared" ref="W31:W45" si="12">J31</f>
        <v>99</v>
      </c>
      <c r="X31" s="1811"/>
      <c r="Y31" s="3244"/>
      <c r="Z31" s="1812" t="str">
        <f t="shared" ref="Z31:Z45" si="13">Q31</f>
        <v>临街状况</v>
      </c>
      <c r="AA31" s="1809">
        <f t="shared" si="3"/>
        <v>1.0101010101010102</v>
      </c>
      <c r="AB31" s="1809">
        <f t="shared" si="4"/>
        <v>1.0204081632653061</v>
      </c>
      <c r="AC31" s="1809">
        <f t="shared" si="5"/>
        <v>1.0101010101010102</v>
      </c>
    </row>
    <row r="32" spans="1:29" ht="27">
      <c r="A32" s="427"/>
      <c r="B32" s="1383" t="s">
        <v>2690</v>
      </c>
      <c r="C32" s="3001" t="s">
        <v>3310</v>
      </c>
      <c r="D32" s="449">
        <v>100</v>
      </c>
      <c r="E32" s="3002" t="s">
        <v>3311</v>
      </c>
      <c r="F32" s="449">
        <f>SUMIF(106:106,E33,107:107)-SUMIF(106:106,C33,107:107)+100</f>
        <v>99</v>
      </c>
      <c r="G32" s="3002" t="s">
        <v>3312</v>
      </c>
      <c r="H32" s="449">
        <f>SUMIF(106:106,G33,107:107)-SUMIF(106:106,C33,107:107)+100</f>
        <v>99</v>
      </c>
      <c r="I32" s="3001" t="s">
        <v>3313</v>
      </c>
      <c r="J32" s="449">
        <f>SUMIF(106:106,I33,107:107)-SUMIF(106:106,C33,107:107)+100</f>
        <v>99</v>
      </c>
      <c r="K32" s="672">
        <v>1</v>
      </c>
      <c r="L32" s="1139"/>
      <c r="M32" s="1130"/>
      <c r="N32" s="1130"/>
      <c r="O32" s="1138"/>
      <c r="P32" s="3244"/>
      <c r="Q32" s="1808" t="str">
        <f t="shared" si="8"/>
        <v>毗邻道路的类型与等级</v>
      </c>
      <c r="R32" s="773" t="s">
        <v>17</v>
      </c>
      <c r="S32" s="774">
        <f t="shared" si="10"/>
        <v>99</v>
      </c>
      <c r="T32" s="773" t="s">
        <v>17</v>
      </c>
      <c r="U32" s="774">
        <f t="shared" si="11"/>
        <v>99</v>
      </c>
      <c r="V32" s="773" t="s">
        <v>17</v>
      </c>
      <c r="W32" s="774">
        <f t="shared" si="12"/>
        <v>99</v>
      </c>
      <c r="X32" s="1811"/>
      <c r="Y32" s="3244"/>
      <c r="Z32" s="1812" t="str">
        <f t="shared" si="13"/>
        <v>毗邻道路的类型与等级</v>
      </c>
      <c r="AA32" s="1809">
        <f t="shared" si="3"/>
        <v>1.0101010101010102</v>
      </c>
      <c r="AB32" s="1809">
        <f t="shared" si="4"/>
        <v>1.0101010101010102</v>
      </c>
      <c r="AC32" s="1809">
        <f t="shared" si="5"/>
        <v>1.0101010101010102</v>
      </c>
    </row>
    <row r="33" spans="1:29" ht="15">
      <c r="A33" s="427"/>
      <c r="B33" s="455"/>
      <c r="C33" s="446" t="s">
        <v>3292</v>
      </c>
      <c r="D33" s="447"/>
      <c r="E33" s="2611" t="s">
        <v>3294</v>
      </c>
      <c r="F33" s="447"/>
      <c r="G33" s="2611" t="s">
        <v>3294</v>
      </c>
      <c r="H33" s="447"/>
      <c r="I33" s="446" t="s">
        <v>3294</v>
      </c>
      <c r="J33" s="447"/>
      <c r="K33" s="612"/>
      <c r="L33" s="1139"/>
      <c r="M33" s="1130"/>
      <c r="N33" s="1130"/>
      <c r="O33" s="1138"/>
      <c r="P33" s="3244"/>
      <c r="Q33" s="1808"/>
      <c r="R33" s="773"/>
      <c r="S33" s="774"/>
      <c r="T33" s="773"/>
      <c r="U33" s="774"/>
      <c r="V33" s="773"/>
      <c r="W33" s="774"/>
      <c r="X33" s="1811"/>
      <c r="Y33" s="3244"/>
      <c r="Z33" s="1812"/>
      <c r="AA33" s="1809">
        <v>1</v>
      </c>
      <c r="AB33" s="1809">
        <v>1</v>
      </c>
      <c r="AC33" s="1809">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44"/>
      <c r="Q34" s="1808" t="str">
        <f t="shared" si="8"/>
        <v>土地级别</v>
      </c>
      <c r="R34" s="773" t="s">
        <v>17</v>
      </c>
      <c r="S34" s="774">
        <f t="shared" si="10"/>
        <v>100</v>
      </c>
      <c r="T34" s="773" t="s">
        <v>17</v>
      </c>
      <c r="U34" s="774">
        <f t="shared" si="11"/>
        <v>100</v>
      </c>
      <c r="V34" s="773" t="s">
        <v>17</v>
      </c>
      <c r="W34" s="774">
        <f t="shared" si="12"/>
        <v>100</v>
      </c>
      <c r="X34" s="1811"/>
      <c r="Y34" s="3244"/>
      <c r="Z34" s="1812" t="str">
        <f t="shared" si="13"/>
        <v>土地级别</v>
      </c>
      <c r="AA34" s="1809">
        <f t="shared" si="3"/>
        <v>1</v>
      </c>
      <c r="AB34" s="1809">
        <f t="shared" si="4"/>
        <v>1</v>
      </c>
      <c r="AC34" s="1809">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44"/>
      <c r="Q35" s="1808">
        <f t="shared" si="8"/>
        <v>111</v>
      </c>
      <c r="R35" s="773" t="s">
        <v>17</v>
      </c>
      <c r="S35" s="774">
        <f t="shared" si="10"/>
        <v>100</v>
      </c>
      <c r="T35" s="773" t="s">
        <v>17</v>
      </c>
      <c r="U35" s="774">
        <f t="shared" si="11"/>
        <v>100</v>
      </c>
      <c r="V35" s="773" t="s">
        <v>17</v>
      </c>
      <c r="W35" s="774">
        <f t="shared" si="12"/>
        <v>100</v>
      </c>
      <c r="X35" s="1811"/>
      <c r="Y35" s="3244"/>
      <c r="Z35" s="1812">
        <f t="shared" si="13"/>
        <v>111</v>
      </c>
      <c r="AA35" s="1809">
        <f t="shared" si="3"/>
        <v>1</v>
      </c>
      <c r="AB35" s="1809">
        <f t="shared" si="4"/>
        <v>1</v>
      </c>
      <c r="AC35" s="1809">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5" t="s">
        <v>2564</v>
      </c>
      <c r="Q36" s="1808">
        <f t="shared" si="8"/>
        <v>111</v>
      </c>
      <c r="R36" s="773" t="s">
        <v>17</v>
      </c>
      <c r="S36" s="774">
        <f t="shared" si="10"/>
        <v>100</v>
      </c>
      <c r="T36" s="773" t="s">
        <v>17</v>
      </c>
      <c r="U36" s="774">
        <f t="shared" si="11"/>
        <v>100</v>
      </c>
      <c r="V36" s="773" t="s">
        <v>17</v>
      </c>
      <c r="W36" s="774">
        <f t="shared" si="12"/>
        <v>100</v>
      </c>
      <c r="X36" s="1811"/>
      <c r="Y36" s="3246" t="s">
        <v>2564</v>
      </c>
      <c r="Z36" s="1812">
        <f t="shared" si="13"/>
        <v>111</v>
      </c>
      <c r="AA36" s="1809">
        <f t="shared" si="3"/>
        <v>1</v>
      </c>
      <c r="AB36" s="1809">
        <f t="shared" si="4"/>
        <v>1</v>
      </c>
      <c r="AC36" s="1809">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46"/>
      <c r="Q37" s="1808">
        <f t="shared" si="8"/>
        <v>111</v>
      </c>
      <c r="R37" s="776" t="s">
        <v>17</v>
      </c>
      <c r="S37" s="777">
        <f t="shared" si="10"/>
        <v>100</v>
      </c>
      <c r="T37" s="776" t="s">
        <v>17</v>
      </c>
      <c r="U37" s="777">
        <f t="shared" si="11"/>
        <v>100</v>
      </c>
      <c r="V37" s="776" t="s">
        <v>17</v>
      </c>
      <c r="W37" s="777">
        <f t="shared" si="12"/>
        <v>100</v>
      </c>
      <c r="X37" s="778"/>
      <c r="Y37" s="3246"/>
      <c r="Z37" s="779">
        <f t="shared" si="13"/>
        <v>111</v>
      </c>
      <c r="AA37" s="1809">
        <f t="shared" si="3"/>
        <v>1</v>
      </c>
      <c r="AB37" s="1809">
        <f t="shared" si="4"/>
        <v>1</v>
      </c>
      <c r="AC37" s="1809">
        <f t="shared" si="5"/>
        <v>1</v>
      </c>
    </row>
    <row r="38" spans="1:29" ht="15">
      <c r="A38" s="471" t="s">
        <v>2562</v>
      </c>
      <c r="B38" s="455" t="s">
        <v>2750</v>
      </c>
      <c r="C38" s="678">
        <f>'数据-基础表'!A3</f>
        <v>48643.89</v>
      </c>
      <c r="D38" s="466">
        <v>100</v>
      </c>
      <c r="E38" s="678">
        <f>土地案例!$D$2</f>
        <v>16942.189999999999</v>
      </c>
      <c r="F38" s="466">
        <f>LOOKUP(E38,117:117,118:118)-LOOKUP(C38,117:117,118:118)+100</f>
        <v>99</v>
      </c>
      <c r="G38" s="678">
        <f>土地案例!D4</f>
        <v>20827.82</v>
      </c>
      <c r="H38" s="466">
        <f>LOOKUP(G38,117:117,118:118)-LOOKUP(C38,117:117,118:118)+100</f>
        <v>100</v>
      </c>
      <c r="I38" s="529">
        <f>土地案例!D19</f>
        <v>61909.65</v>
      </c>
      <c r="J38" s="466">
        <f>LOOKUP(I38,117:117,118:118)-LOOKUP(C38,117:117,118:118)+100</f>
        <v>101</v>
      </c>
      <c r="K38" s="612"/>
      <c r="L38" s="1139"/>
      <c r="M38" s="1130"/>
      <c r="N38" s="1130"/>
      <c r="O38" s="1138"/>
      <c r="P38" s="3246"/>
      <c r="Q38" s="1808" t="str">
        <f>B38</f>
        <v>宗地面积</v>
      </c>
      <c r="R38" s="773" t="s">
        <v>17</v>
      </c>
      <c r="S38" s="774">
        <f t="shared" si="10"/>
        <v>99</v>
      </c>
      <c r="T38" s="773" t="s">
        <v>17</v>
      </c>
      <c r="U38" s="774">
        <f t="shared" si="11"/>
        <v>100</v>
      </c>
      <c r="V38" s="773" t="s">
        <v>17</v>
      </c>
      <c r="W38" s="774">
        <f t="shared" si="12"/>
        <v>101</v>
      </c>
      <c r="X38" s="1811"/>
      <c r="Y38" s="3246"/>
      <c r="Z38" s="1812" t="str">
        <f t="shared" si="13"/>
        <v>宗地面积</v>
      </c>
      <c r="AA38" s="1809">
        <f t="shared" si="3"/>
        <v>1.0101010101010102</v>
      </c>
      <c r="AB38" s="1809">
        <f t="shared" si="4"/>
        <v>1</v>
      </c>
      <c r="AC38" s="1809">
        <f t="shared" si="5"/>
        <v>0.99009900990099009</v>
      </c>
    </row>
    <row r="39" spans="1:29" ht="15">
      <c r="A39" s="471"/>
      <c r="B39" s="421" t="s">
        <v>2751</v>
      </c>
      <c r="C39" s="2613" t="s">
        <v>3299</v>
      </c>
      <c r="D39" s="434">
        <v>100</v>
      </c>
      <c r="E39" s="2613" t="s">
        <v>3297</v>
      </c>
      <c r="F39" s="434">
        <f>SUMIF(119:119,E39,120:120)-SUMIF(119:119,C39,120:120)+100</f>
        <v>100</v>
      </c>
      <c r="G39" s="2613" t="s">
        <v>3297</v>
      </c>
      <c r="H39" s="434">
        <f>SUMIF(119:119,G39,120:120)-SUMIF(119:119,C39,120:120)+100</f>
        <v>100</v>
      </c>
      <c r="I39" s="2613" t="s">
        <v>3299</v>
      </c>
      <c r="J39" s="434">
        <f>SUMIF(119:119,I39,120:120)-SUMIF(119:119,C39,120:120)+100</f>
        <v>100</v>
      </c>
      <c r="K39" s="611"/>
      <c r="L39" s="1139"/>
      <c r="M39" s="1130"/>
      <c r="N39" s="1130"/>
      <c r="O39" s="1138"/>
      <c r="P39" s="3246"/>
      <c r="Q39" s="1808" t="str">
        <f t="shared" ref="Q39:Q45" si="14">B39</f>
        <v>宗地形状</v>
      </c>
      <c r="R39" s="773" t="s">
        <v>17</v>
      </c>
      <c r="S39" s="774">
        <f t="shared" si="10"/>
        <v>100</v>
      </c>
      <c r="T39" s="773" t="s">
        <v>17</v>
      </c>
      <c r="U39" s="774">
        <f t="shared" si="11"/>
        <v>100</v>
      </c>
      <c r="V39" s="773" t="s">
        <v>17</v>
      </c>
      <c r="W39" s="774">
        <f t="shared" si="12"/>
        <v>100</v>
      </c>
      <c r="X39" s="1811"/>
      <c r="Y39" s="3246"/>
      <c r="Z39" s="1812" t="str">
        <f t="shared" si="13"/>
        <v>宗地形状</v>
      </c>
      <c r="AA39" s="1809">
        <f t="shared" si="3"/>
        <v>1</v>
      </c>
      <c r="AB39" s="1809">
        <f t="shared" si="4"/>
        <v>1</v>
      </c>
      <c r="AC39" s="1809">
        <f t="shared" si="5"/>
        <v>1</v>
      </c>
    </row>
    <row r="40" spans="1:29" ht="15">
      <c r="A40" s="471"/>
      <c r="B40" s="421" t="s">
        <v>2752</v>
      </c>
      <c r="C40" s="2613" t="s">
        <v>3110</v>
      </c>
      <c r="D40" s="434">
        <v>100</v>
      </c>
      <c r="E40" s="2613" t="s">
        <v>3110</v>
      </c>
      <c r="F40" s="434">
        <f>SUMIF(121:121,E40,122:122)-SUMIF(121:121,C40,122:122)+100</f>
        <v>100</v>
      </c>
      <c r="G40" s="2613" t="s">
        <v>3110</v>
      </c>
      <c r="H40" s="434">
        <f>SUMIF(121:121,G40,122:122)-SUMIF(121:121,C40,122:122)+100</f>
        <v>100</v>
      </c>
      <c r="I40" s="2613" t="s">
        <v>3110</v>
      </c>
      <c r="J40" s="434">
        <f>SUMIF(121:121,I40,122:122)-SUMIF(121:121,C40,122:122)+100</f>
        <v>100</v>
      </c>
      <c r="K40" s="611"/>
      <c r="L40" s="1139"/>
      <c r="M40" s="1130"/>
      <c r="N40" s="1130"/>
      <c r="O40" s="1138"/>
      <c r="P40" s="3246"/>
      <c r="Q40" s="1808" t="str">
        <f t="shared" si="14"/>
        <v>临街宽度及深度</v>
      </c>
      <c r="R40" s="773" t="s">
        <v>17</v>
      </c>
      <c r="S40" s="774">
        <f t="shared" si="10"/>
        <v>100</v>
      </c>
      <c r="T40" s="773" t="s">
        <v>17</v>
      </c>
      <c r="U40" s="774">
        <f t="shared" si="11"/>
        <v>100</v>
      </c>
      <c r="V40" s="773" t="s">
        <v>17</v>
      </c>
      <c r="W40" s="774">
        <f t="shared" si="12"/>
        <v>100</v>
      </c>
      <c r="X40" s="1811"/>
      <c r="Y40" s="3246"/>
      <c r="Z40" s="1812" t="str">
        <f t="shared" si="13"/>
        <v>临街宽度及深度</v>
      </c>
      <c r="AA40" s="1809">
        <f t="shared" si="3"/>
        <v>1</v>
      </c>
      <c r="AB40" s="1809">
        <f t="shared" si="4"/>
        <v>1</v>
      </c>
      <c r="AC40" s="1809">
        <f t="shared" si="5"/>
        <v>1</v>
      </c>
    </row>
    <row r="41" spans="1:29" s="117" customFormat="1" ht="15">
      <c r="A41" s="472"/>
      <c r="B41" s="421" t="s">
        <v>2753</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1"/>
      <c r="M41" s="1132"/>
      <c r="N41" s="1132"/>
      <c r="O41" s="1133"/>
      <c r="P41" s="3246"/>
      <c r="Q41" s="1808" t="str">
        <f t="shared" si="14"/>
        <v>宗地开发程度</v>
      </c>
      <c r="R41" s="769" t="s">
        <v>17</v>
      </c>
      <c r="S41" s="770">
        <f t="shared" si="10"/>
        <v>100</v>
      </c>
      <c r="T41" s="769" t="s">
        <v>17</v>
      </c>
      <c r="U41" s="770">
        <f t="shared" si="11"/>
        <v>100</v>
      </c>
      <c r="V41" s="769" t="s">
        <v>17</v>
      </c>
      <c r="W41" s="770">
        <f t="shared" si="12"/>
        <v>100</v>
      </c>
      <c r="X41" s="771"/>
      <c r="Y41" s="3246"/>
      <c r="Z41" s="55" t="str">
        <f t="shared" si="13"/>
        <v>宗地开发程度</v>
      </c>
      <c r="AA41" s="772">
        <f t="shared" si="3"/>
        <v>1</v>
      </c>
      <c r="AB41" s="772">
        <f t="shared" si="4"/>
        <v>1</v>
      </c>
      <c r="AC41" s="772">
        <f t="shared" si="5"/>
        <v>1</v>
      </c>
    </row>
    <row r="42" spans="1:29" ht="15">
      <c r="A42" s="471"/>
      <c r="B42" s="421" t="s">
        <v>2754</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39"/>
      <c r="M42" s="1130"/>
      <c r="N42" s="1130"/>
      <c r="O42" s="1138"/>
      <c r="P42" s="3246" t="s">
        <v>2564</v>
      </c>
      <c r="Q42" s="1808" t="str">
        <f t="shared" si="14"/>
        <v>工程地质条件</v>
      </c>
      <c r="R42" s="773" t="s">
        <v>17</v>
      </c>
      <c r="S42" s="774">
        <f t="shared" si="10"/>
        <v>100</v>
      </c>
      <c r="T42" s="773" t="s">
        <v>17</v>
      </c>
      <c r="U42" s="774">
        <f t="shared" si="11"/>
        <v>100</v>
      </c>
      <c r="V42" s="773" t="s">
        <v>17</v>
      </c>
      <c r="W42" s="774">
        <f t="shared" si="12"/>
        <v>100</v>
      </c>
      <c r="X42" s="1811"/>
      <c r="Y42" s="3246" t="s">
        <v>2564</v>
      </c>
      <c r="Z42" s="1812" t="str">
        <f t="shared" si="13"/>
        <v>工程地质条件</v>
      </c>
      <c r="AA42" s="1809">
        <f t="shared" si="3"/>
        <v>1</v>
      </c>
      <c r="AB42" s="1809">
        <f t="shared" si="4"/>
        <v>1</v>
      </c>
      <c r="AC42" s="1809">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46"/>
      <c r="Q43" s="1808">
        <f t="shared" si="14"/>
        <v>111</v>
      </c>
      <c r="R43" s="773" t="s">
        <v>17</v>
      </c>
      <c r="S43" s="774">
        <f t="shared" si="10"/>
        <v>100</v>
      </c>
      <c r="T43" s="773" t="s">
        <v>17</v>
      </c>
      <c r="U43" s="774">
        <f t="shared" si="11"/>
        <v>100</v>
      </c>
      <c r="V43" s="773" t="s">
        <v>17</v>
      </c>
      <c r="W43" s="774">
        <f t="shared" si="12"/>
        <v>100</v>
      </c>
      <c r="X43" s="1811"/>
      <c r="Y43" s="3246"/>
      <c r="Z43" s="1812">
        <f t="shared" si="13"/>
        <v>111</v>
      </c>
      <c r="AA43" s="1809">
        <f t="shared" si="3"/>
        <v>1</v>
      </c>
      <c r="AB43" s="1809">
        <f t="shared" si="4"/>
        <v>1</v>
      </c>
      <c r="AC43" s="1809">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46"/>
      <c r="Q44" s="1808">
        <f t="shared" si="14"/>
        <v>111</v>
      </c>
      <c r="R44" s="773" t="s">
        <v>17</v>
      </c>
      <c r="S44" s="774">
        <f t="shared" si="10"/>
        <v>100</v>
      </c>
      <c r="T44" s="773" t="s">
        <v>17</v>
      </c>
      <c r="U44" s="774">
        <f t="shared" si="11"/>
        <v>100</v>
      </c>
      <c r="V44" s="773" t="s">
        <v>17</v>
      </c>
      <c r="W44" s="774">
        <f t="shared" si="12"/>
        <v>100</v>
      </c>
      <c r="X44" s="1811"/>
      <c r="Y44" s="3246"/>
      <c r="Z44" s="1812">
        <f t="shared" si="13"/>
        <v>111</v>
      </c>
      <c r="AA44" s="1809">
        <f t="shared" si="3"/>
        <v>1</v>
      </c>
      <c r="AB44" s="1809">
        <f t="shared" si="4"/>
        <v>1</v>
      </c>
      <c r="AC44" s="1809">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46"/>
      <c r="Q45" s="1808">
        <f t="shared" si="14"/>
        <v>111</v>
      </c>
      <c r="R45" s="776" t="s">
        <v>17</v>
      </c>
      <c r="S45" s="777">
        <f t="shared" si="10"/>
        <v>100</v>
      </c>
      <c r="T45" s="776" t="s">
        <v>17</v>
      </c>
      <c r="U45" s="777">
        <f t="shared" si="11"/>
        <v>100</v>
      </c>
      <c r="V45" s="776" t="s">
        <v>17</v>
      </c>
      <c r="W45" s="777">
        <f t="shared" si="12"/>
        <v>100</v>
      </c>
      <c r="X45" s="778"/>
      <c r="Y45" s="3246"/>
      <c r="Z45" s="779">
        <f t="shared" si="13"/>
        <v>111</v>
      </c>
      <c r="AA45" s="1809">
        <f t="shared" si="3"/>
        <v>1</v>
      </c>
      <c r="AB45" s="1809">
        <f t="shared" si="4"/>
        <v>1</v>
      </c>
      <c r="AC45" s="1809">
        <f t="shared" si="5"/>
        <v>1</v>
      </c>
    </row>
    <row r="46" spans="1:29" ht="15">
      <c r="A46" s="478" t="s">
        <v>2719</v>
      </c>
      <c r="B46" s="2704" t="s">
        <v>2755</v>
      </c>
      <c r="C46" s="681" t="s">
        <v>1</v>
      </c>
      <c r="D46" s="480"/>
      <c r="E46" s="481">
        <f>土地案例!$L$2</f>
        <v>4182</v>
      </c>
      <c r="F46" s="482"/>
      <c r="G46" s="483">
        <f>土地案例!L4</f>
        <v>4247</v>
      </c>
      <c r="H46" s="484"/>
      <c r="I46" s="481">
        <f>土地案例!L19</f>
        <v>3384</v>
      </c>
      <c r="J46" s="484"/>
      <c r="K46" s="782"/>
      <c r="L46" s="1142"/>
      <c r="M46" s="1143"/>
      <c r="N46" s="1130"/>
      <c r="O46" s="1143"/>
      <c r="P46" s="3228" t="str">
        <f>A46</f>
        <v>成交单价</v>
      </c>
      <c r="Q46" s="3228"/>
      <c r="R46" s="3241">
        <f>E46</f>
        <v>4182</v>
      </c>
      <c r="S46" s="3241"/>
      <c r="T46" s="3241">
        <f>G46</f>
        <v>4247</v>
      </c>
      <c r="U46" s="3241"/>
      <c r="V46" s="3241">
        <f>I46</f>
        <v>3384</v>
      </c>
      <c r="W46" s="3241"/>
      <c r="X46" s="758"/>
      <c r="Y46" s="780"/>
      <c r="Z46" s="758"/>
      <c r="AA46" s="758"/>
      <c r="AB46" s="758"/>
      <c r="AC46" s="758"/>
    </row>
    <row r="47" spans="1:29" ht="15.75" thickBot="1">
      <c r="A47" s="485" t="s">
        <v>2668</v>
      </c>
      <c r="B47" s="682"/>
      <c r="C47" s="3004">
        <f>R48</f>
        <v>4236</v>
      </c>
      <c r="D47" s="488"/>
      <c r="E47" s="489">
        <f>R47</f>
        <v>4364</v>
      </c>
      <c r="F47" s="490"/>
      <c r="G47" s="487">
        <f>T47</f>
        <v>4432</v>
      </c>
      <c r="H47" s="488"/>
      <c r="I47" s="489">
        <f>V47</f>
        <v>3913</v>
      </c>
      <c r="J47" s="488"/>
      <c r="K47" s="783"/>
      <c r="L47" s="1142"/>
      <c r="M47" s="1143"/>
      <c r="N47" s="1143"/>
      <c r="O47" s="1143"/>
      <c r="P47" s="3228" t="str">
        <f>A47</f>
        <v>比较价值（元/平方米）</v>
      </c>
      <c r="Q47" s="3228"/>
      <c r="R47" s="3247">
        <f>ROUND(PRODUCT(R46,AA7:AA45),0)</f>
        <v>4364</v>
      </c>
      <c r="S47" s="3247"/>
      <c r="T47" s="3247">
        <f>ROUND(PRODUCT(T46,AB7:AB45),0)</f>
        <v>4432</v>
      </c>
      <c r="U47" s="3247"/>
      <c r="V47" s="3247">
        <f>ROUND(PRODUCT(V46,AC7:AC45),0)</f>
        <v>3913</v>
      </c>
      <c r="W47" s="3247"/>
      <c r="X47" s="758"/>
      <c r="Y47" s="758"/>
      <c r="Z47" s="758"/>
      <c r="AA47" s="758"/>
      <c r="AB47" s="758"/>
      <c r="AC47" s="758"/>
    </row>
    <row r="48" spans="1:29" ht="15.75" thickBot="1">
      <c r="A48" s="491" t="s">
        <v>2756</v>
      </c>
      <c r="B48" s="492"/>
      <c r="C48" s="493">
        <f>R48</f>
        <v>4236</v>
      </c>
      <c r="D48" s="493"/>
      <c r="E48" s="493"/>
      <c r="F48" s="493"/>
      <c r="G48" s="493"/>
      <c r="H48" s="493"/>
      <c r="I48" s="493"/>
      <c r="J48" s="493"/>
      <c r="K48" s="784"/>
      <c r="L48" s="1142"/>
      <c r="M48" s="1143"/>
      <c r="N48" s="1143"/>
      <c r="O48" s="1143"/>
      <c r="P48" s="3248" t="str">
        <f>A48</f>
        <v>估价对象XX用房的比较价值（楼面单价，元/平方米）</v>
      </c>
      <c r="Q48" s="3249"/>
      <c r="R48" s="3250">
        <f>ROUND(AVERAGE(R47:V47),0)</f>
        <v>4236</v>
      </c>
      <c r="S48" s="3250"/>
      <c r="T48" s="3250"/>
      <c r="U48" s="3250"/>
      <c r="V48" s="3250"/>
      <c r="W48" s="325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f>IF(E46&lt;E47,E47/E46-1,E46/E47-1)</f>
        <v>4.3519846963175457E-2</v>
      </c>
      <c r="F51" s="499" t="str">
        <f>IF(OR(E51&gt;=0.3,E51&lt;=-0.3),"超过30%","")</f>
        <v/>
      </c>
      <c r="G51" s="498">
        <f>IF(G46&lt;G47,G47/G46-1,G46/G47-1)</f>
        <v>4.3560160113020885E-2</v>
      </c>
      <c r="H51" s="499" t="str">
        <f>IF(OR(G51&gt;=0.3,G51&lt;=-0.3),"超过30%","")</f>
        <v/>
      </c>
      <c r="I51" s="498">
        <f>IF(I46&lt;I47,I47/I46-1,I46/I47-1)</f>
        <v>0.15632387706855799</v>
      </c>
      <c r="J51" s="499" t="str">
        <f>IF(OR(I51&gt;=0.3,I51&lt;=-0.3),"超过30%","")</f>
        <v/>
      </c>
      <c r="K51" s="1104"/>
      <c r="L51" s="1105"/>
      <c r="M51" s="1143"/>
      <c r="N51" s="1143"/>
      <c r="O51" s="1143"/>
    </row>
    <row r="52" spans="1:15" ht="13.5" customHeight="1">
      <c r="A52" s="1143"/>
      <c r="B52" s="1143"/>
      <c r="C52" s="496" t="s">
        <v>2671</v>
      </c>
      <c r="D52" s="500"/>
      <c r="E52" s="498">
        <f>IF(E47&lt;G47,G47/E47-1,E47/G47-1)</f>
        <v>1.5582034830430747E-2</v>
      </c>
      <c r="F52" s="499" t="str">
        <f>IF(OR(E52&gt;=0.2,E52&lt;=-0.2),"超过20%","")</f>
        <v/>
      </c>
      <c r="G52" s="498">
        <f>IF(G47&lt;I47,I47/G47-1,G47/I47-1)</f>
        <v>0.1326348070534118</v>
      </c>
      <c r="H52" s="499" t="str">
        <f>IF(OR(G52&gt;=0.2,G52&lt;=-0.2),"超过20%","")</f>
        <v/>
      </c>
      <c r="I52" s="498">
        <f>IF(I47&lt;E47,E47/I47-1,I47/E47-1)</f>
        <v>0.11525683618706872</v>
      </c>
      <c r="J52" s="499" t="str">
        <f>IF(OR(I52&gt;=0.2,I52&lt;=-0.2),"超过20%","")</f>
        <v/>
      </c>
      <c r="K52" s="1104"/>
      <c r="L52" s="1105"/>
      <c r="M52" s="1143"/>
      <c r="N52" s="1143"/>
      <c r="O52" s="1143"/>
    </row>
    <row r="53" spans="1:15" s="501" customFormat="1" ht="13.5" customHeight="1">
      <c r="A53" s="1144"/>
      <c r="B53" s="1144"/>
      <c r="C53" s="496" t="s">
        <v>2672</v>
      </c>
      <c r="D53" s="500"/>
      <c r="E53" s="498">
        <f>IF(E46&lt;G46,G46/E46-1,E46/G46-1)</f>
        <v>1.5542802486848473E-2</v>
      </c>
      <c r="F53" s="499" t="str">
        <f>IF(OR(E53&gt;=0.3,E53&lt;=-0.3),"超过30%","")</f>
        <v/>
      </c>
      <c r="G53" s="498">
        <f>IF(G46&lt;I46,I46/G46-1,G46/I46-1)</f>
        <v>0.25502364066193861</v>
      </c>
      <c r="H53" s="499" t="str">
        <f>IF(OR(G53&gt;=0.3,G53&lt;=-0.3),"超过30%","")</f>
        <v/>
      </c>
      <c r="I53" s="498">
        <f>IF(I46&lt;E46,E46/I46-1,I46/E46-1)</f>
        <v>0.23581560283687941</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705" t="s">
        <v>2759</v>
      </c>
      <c r="D55" s="2706" t="s">
        <v>2760</v>
      </c>
      <c r="E55" s="685" t="s">
        <v>2761</v>
      </c>
      <c r="F55" s="1106" t="s">
        <v>2762</v>
      </c>
      <c r="G55" s="3229" t="s">
        <v>2763</v>
      </c>
      <c r="H55" s="3251"/>
      <c r="I55" s="143" t="s">
        <v>2764</v>
      </c>
      <c r="J55" s="2707">
        <f>项目基本情况!F35</f>
        <v>0</v>
      </c>
      <c r="K55" s="2708" t="s">
        <v>2765</v>
      </c>
      <c r="L55" s="1105"/>
      <c r="M55" s="1143"/>
      <c r="N55" s="1143"/>
      <c r="O55" s="1143"/>
    </row>
    <row r="56" spans="1:15" s="691" customFormat="1">
      <c r="A56" s="687" t="s">
        <v>2766</v>
      </c>
      <c r="B56" s="688">
        <f>C48</f>
        <v>4236</v>
      </c>
      <c r="C56" s="689">
        <v>1</v>
      </c>
      <c r="D56" s="1162">
        <v>1</v>
      </c>
      <c r="E56" s="689">
        <f>'数据-汇总表'!E8+'数据-汇总表'!E9</f>
        <v>18470.39</v>
      </c>
      <c r="F56" s="1102">
        <f t="shared" ref="F56:F65" si="15">ROUND(B56*E56/10000,0)</f>
        <v>7824</v>
      </c>
      <c r="G56" s="3252"/>
      <c r="H56" s="3228"/>
      <c r="I56" s="1107">
        <v>1</v>
      </c>
      <c r="J56" s="1110">
        <v>1</v>
      </c>
      <c r="K56" s="1144"/>
      <c r="L56" s="940"/>
      <c r="M56" s="940"/>
      <c r="N56" s="940"/>
      <c r="O56" s="940"/>
    </row>
    <row r="57" spans="1:15" s="691" customFormat="1">
      <c r="A57" s="692" t="s">
        <v>2767</v>
      </c>
      <c r="B57" s="261">
        <f>ROUND($C$48*C57*D57,0)</f>
        <v>0</v>
      </c>
      <c r="C57" s="199">
        <f t="shared" ref="C57:C65" si="16">IF($C$55="北京市系数",I57,J57)</f>
        <v>0</v>
      </c>
      <c r="D57" s="1163">
        <v>0.25</v>
      </c>
      <c r="E57" s="693"/>
      <c r="F57" s="1102">
        <f t="shared" si="15"/>
        <v>0</v>
      </c>
      <c r="G57" s="3253" t="s">
        <v>2768</v>
      </c>
      <c r="H57" s="1103">
        <f>项目基本情况!B37</f>
        <v>0</v>
      </c>
      <c r="I57" s="1107">
        <f>SUMIF(修正!A45:A56,H57,修正!B45:B56)</f>
        <v>0</v>
      </c>
      <c r="J57" s="1111"/>
      <c r="K57" s="1143"/>
      <c r="L57" s="940"/>
      <c r="M57" s="940"/>
      <c r="N57" s="940"/>
      <c r="O57" s="940"/>
    </row>
    <row r="58" spans="1:15" s="691" customFormat="1">
      <c r="A58" s="692" t="s">
        <v>2769</v>
      </c>
      <c r="B58" s="261">
        <f t="shared" ref="B58:B65" si="17">ROUND($C$48*C58*D58,0)</f>
        <v>0</v>
      </c>
      <c r="C58" s="199">
        <f t="shared" si="16"/>
        <v>0</v>
      </c>
      <c r="D58" s="1163">
        <v>0.25</v>
      </c>
      <c r="E58" s="693"/>
      <c r="F58" s="1102">
        <f t="shared" si="15"/>
        <v>0</v>
      </c>
      <c r="G58" s="3253"/>
      <c r="H58" s="1103">
        <f>项目基本情况!B37</f>
        <v>0</v>
      </c>
      <c r="I58" s="1107">
        <f>SUMIF(修正!A45:A56,H58,修正!C45:C56)</f>
        <v>0</v>
      </c>
      <c r="J58" s="1111"/>
      <c r="K58" s="1144"/>
      <c r="L58" s="940"/>
      <c r="M58" s="940"/>
      <c r="N58" s="940"/>
      <c r="O58" s="940"/>
    </row>
    <row r="59" spans="1:15" s="691" customFormat="1">
      <c r="A59" s="692" t="s">
        <v>2770</v>
      </c>
      <c r="B59" s="261">
        <f t="shared" si="17"/>
        <v>0</v>
      </c>
      <c r="C59" s="199">
        <f t="shared" si="16"/>
        <v>0</v>
      </c>
      <c r="D59" s="1163">
        <v>0.25</v>
      </c>
      <c r="E59" s="693"/>
      <c r="F59" s="1102">
        <f t="shared" si="15"/>
        <v>0</v>
      </c>
      <c r="G59" s="3253"/>
      <c r="H59" s="1103">
        <f>项目基本情况!B37</f>
        <v>0</v>
      </c>
      <c r="I59" s="1107">
        <f>SUMIF(修正!A45:A56,H59,修正!D45:D56)</f>
        <v>0</v>
      </c>
      <c r="J59" s="1111"/>
      <c r="K59" s="1143"/>
      <c r="L59" s="940"/>
      <c r="M59" s="940"/>
      <c r="N59" s="940"/>
      <c r="O59" s="940"/>
    </row>
    <row r="60" spans="1:15" s="691" customFormat="1">
      <c r="A60" s="692" t="s">
        <v>2771</v>
      </c>
      <c r="B60" s="261">
        <f t="shared" si="17"/>
        <v>0</v>
      </c>
      <c r="C60" s="199">
        <f t="shared" si="16"/>
        <v>0</v>
      </c>
      <c r="D60" s="1163">
        <v>0.25</v>
      </c>
      <c r="E60" s="693"/>
      <c r="F60" s="1102">
        <f t="shared" si="15"/>
        <v>0</v>
      </c>
      <c r="G60" s="3253"/>
      <c r="H60" s="1103">
        <f>项目基本情况!B37</f>
        <v>0</v>
      </c>
      <c r="I60" s="1107">
        <f>SUMIF(修正!A45:A56,H60,修正!E45:E56)</f>
        <v>0</v>
      </c>
      <c r="J60" s="1111"/>
      <c r="K60" s="1144"/>
      <c r="L60" s="940"/>
      <c r="M60" s="940"/>
      <c r="N60" s="940"/>
      <c r="O60" s="940"/>
    </row>
    <row r="61" spans="1:15" s="691" customFormat="1">
      <c r="A61" s="692" t="s">
        <v>2772</v>
      </c>
      <c r="B61" s="261">
        <f t="shared" si="17"/>
        <v>0</v>
      </c>
      <c r="C61" s="199">
        <f t="shared" si="16"/>
        <v>0</v>
      </c>
      <c r="D61" s="1163">
        <v>0.25</v>
      </c>
      <c r="E61" s="260">
        <f>'数据-汇总表'!E11</f>
        <v>0</v>
      </c>
      <c r="F61" s="1102">
        <f t="shared" si="15"/>
        <v>0</v>
      </c>
      <c r="G61" s="2709" t="s">
        <v>2773</v>
      </c>
      <c r="H61" s="1103">
        <f>项目基本情况!C37</f>
        <v>0</v>
      </c>
      <c r="I61" s="1107">
        <f>SUMIF(修正!A45:A56,H61,修正!F45:F56)</f>
        <v>0</v>
      </c>
      <c r="J61" s="1111"/>
      <c r="K61" s="1143"/>
      <c r="L61" s="940"/>
      <c r="M61" s="940"/>
      <c r="N61" s="940"/>
      <c r="O61" s="940"/>
    </row>
    <row r="62" spans="1:15" s="691" customFormat="1">
      <c r="A62" s="692" t="s">
        <v>2774</v>
      </c>
      <c r="B62" s="261">
        <f t="shared" si="17"/>
        <v>0</v>
      </c>
      <c r="C62" s="199">
        <f t="shared" si="16"/>
        <v>0</v>
      </c>
      <c r="D62" s="1163">
        <v>0.25</v>
      </c>
      <c r="E62" s="260">
        <f>'数据-汇总表'!E12</f>
        <v>0</v>
      </c>
      <c r="F62" s="1102">
        <f t="shared" si="15"/>
        <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f t="shared" si="17"/>
        <v>0</v>
      </c>
      <c r="C63" s="199">
        <f t="shared" si="16"/>
        <v>0</v>
      </c>
      <c r="D63" s="1163">
        <v>0.25</v>
      </c>
      <c r="E63" s="260">
        <f>'数据-汇总表'!E13</f>
        <v>0</v>
      </c>
      <c r="F63" s="1102">
        <f t="shared" si="15"/>
        <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f t="shared" si="17"/>
        <v>0</v>
      </c>
      <c r="C64" s="199">
        <f t="shared" si="16"/>
        <v>0</v>
      </c>
      <c r="D64" s="1163">
        <v>0.25</v>
      </c>
      <c r="E64" s="260">
        <f>'数据-汇总表'!E14</f>
        <v>0</v>
      </c>
      <c r="F64" s="1102">
        <f t="shared" si="15"/>
        <v>0</v>
      </c>
      <c r="G64" s="2709" t="s">
        <v>2768</v>
      </c>
      <c r="H64" s="1103">
        <f>项目基本情况!B37</f>
        <v>0</v>
      </c>
      <c r="I64" s="1107">
        <f>SUMIF(修正!A45:A56,H64,修正!H45:H56)</f>
        <v>0</v>
      </c>
      <c r="J64" s="1111"/>
      <c r="K64" s="1144"/>
      <c r="L64" s="940"/>
      <c r="M64" s="940"/>
      <c r="N64" s="940"/>
      <c r="O64" s="940"/>
    </row>
    <row r="65" spans="1:17" s="691" customFormat="1" ht="15" thickBot="1">
      <c r="A65" s="692" t="s">
        <v>2779</v>
      </c>
      <c r="B65" s="261">
        <f t="shared" si="17"/>
        <v>0</v>
      </c>
      <c r="C65" s="199">
        <f t="shared" si="16"/>
        <v>0</v>
      </c>
      <c r="D65" s="1163">
        <v>0.25</v>
      </c>
      <c r="E65" s="260">
        <f>'数据-汇总表'!E15</f>
        <v>0</v>
      </c>
      <c r="F65" s="1102">
        <f t="shared" si="15"/>
        <v>0</v>
      </c>
      <c r="G65" s="2710"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1026</v>
      </c>
      <c r="E66" s="695">
        <f>IF(B46="楼面地价",SUM(E56:E65),'数据-汇总表'!D3)</f>
        <v>18470.39</v>
      </c>
      <c r="F66" s="696">
        <f>IF(B46="楼面地价",SUM(F56:F65),ROUND(C48*E66/10000,0))</f>
        <v>7824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11" t="s">
        <v>2781</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7" customFormat="1" ht="30" customHeight="1">
      <c r="A71" s="2712" t="s">
        <v>2782</v>
      </c>
      <c r="B71" s="331" t="str">
        <f>"北京市平均增长率"&amp;TEXT(SUMIF(基准地价修正!N21:N25,A71,基准地价修正!P21:P25),"0.00%")</f>
        <v>北京市平均增长率2.23%</v>
      </c>
      <c r="C71" s="602">
        <v>100</v>
      </c>
      <c r="D71" s="594">
        <v>98</v>
      </c>
      <c r="E71" s="594">
        <v>96</v>
      </c>
      <c r="F71" s="594">
        <v>94</v>
      </c>
      <c r="G71" s="594">
        <v>92</v>
      </c>
      <c r="H71" s="594">
        <v>90</v>
      </c>
      <c r="I71" s="594">
        <v>88</v>
      </c>
      <c r="J71" s="594">
        <v>86</v>
      </c>
      <c r="K71" s="594">
        <v>84</v>
      </c>
      <c r="L71" s="594">
        <v>82</v>
      </c>
      <c r="M71" s="1565"/>
      <c r="N71" s="594"/>
      <c r="O71" s="1566"/>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2984" t="s">
        <v>3290</v>
      </c>
      <c r="D75" s="529"/>
      <c r="E75" s="529"/>
      <c r="F75" s="529"/>
      <c r="G75" s="529"/>
      <c r="H75" s="529"/>
      <c r="I75" s="529"/>
      <c r="J75" s="529"/>
      <c r="K75" s="530"/>
      <c r="L75" s="531"/>
      <c r="M75" s="532"/>
      <c r="N75" s="1151"/>
      <c r="O75" s="1151"/>
      <c r="P75" s="45"/>
      <c r="Q75" s="503"/>
    </row>
    <row r="76" spans="1:17" ht="15.75" thickBot="1">
      <c r="A76" s="533"/>
      <c r="B76" s="534"/>
      <c r="C76" s="535">
        <v>100</v>
      </c>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2"/>
      <c r="O105" s="1152"/>
      <c r="P105" s="45"/>
      <c r="Q105" s="503"/>
    </row>
    <row r="106" spans="1:17" ht="27.75" thickTop="1">
      <c r="A106" s="533"/>
      <c r="B106" s="537" t="s">
        <v>2690</v>
      </c>
      <c r="C106" s="2985" t="s">
        <v>3291</v>
      </c>
      <c r="D106" s="2985" t="s">
        <v>3293</v>
      </c>
      <c r="E106" s="2985" t="s">
        <v>3295</v>
      </c>
      <c r="F106" s="553"/>
      <c r="G106" s="553"/>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2562</v>
      </c>
      <c r="B116" s="527" t="s">
        <v>2790</v>
      </c>
      <c r="C116" s="528" t="str">
        <f>C117&amp;"(含)"&amp;"-"&amp;D117</f>
        <v>0(含)-10000</v>
      </c>
      <c r="D116" s="528" t="str">
        <f t="shared" ref="D116:M116" si="25">D117&amp;"(含)"&amp;"-"&amp;E117</f>
        <v>10000(含)-20000</v>
      </c>
      <c r="E116" s="528" t="str">
        <f t="shared" si="25"/>
        <v>20000(含)-50000</v>
      </c>
      <c r="F116" s="528" t="str">
        <f t="shared" si="25"/>
        <v>50000(含)-80000</v>
      </c>
      <c r="G116" s="528" t="str">
        <f t="shared" si="25"/>
        <v>80000(含)-120000</v>
      </c>
      <c r="H116" s="528" t="str">
        <f t="shared" si="25"/>
        <v>120000(含)-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10000</v>
      </c>
      <c r="E117" s="594">
        <v>20000</v>
      </c>
      <c r="F117" s="594">
        <v>50000</v>
      </c>
      <c r="G117" s="594">
        <v>80000</v>
      </c>
      <c r="H117" s="594">
        <v>120000</v>
      </c>
      <c r="I117" s="594"/>
      <c r="J117" s="595"/>
      <c r="K117" s="595"/>
      <c r="L117" s="596"/>
      <c r="M117" s="597"/>
      <c r="N117" s="1151"/>
      <c r="O117" s="1151"/>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2"/>
      <c r="O118" s="1152"/>
      <c r="P118" s="45"/>
      <c r="Q118" s="503"/>
    </row>
    <row r="119" spans="1:17" ht="15" thickTop="1">
      <c r="A119" s="598"/>
      <c r="B119" s="537" t="s">
        <v>2791</v>
      </c>
      <c r="C119" s="2986" t="s">
        <v>3296</v>
      </c>
      <c r="D119" s="2986" t="s">
        <v>3298</v>
      </c>
      <c r="E119" s="2986" t="s">
        <v>3300</v>
      </c>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2985" t="s">
        <v>3305</v>
      </c>
      <c r="D121" s="2985" t="s">
        <v>3306</v>
      </c>
      <c r="E121" s="2985" t="s">
        <v>3308</v>
      </c>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2985" t="s">
        <v>3301</v>
      </c>
      <c r="D123" s="2985" t="s">
        <v>3302</v>
      </c>
      <c r="E123" s="2985" t="s">
        <v>3303</v>
      </c>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2985" t="s">
        <v>3304</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topLeftCell="E16" workbookViewId="0">
      <selection activeCell="I13" sqref="I13"/>
    </sheetView>
  </sheetViews>
  <sheetFormatPr defaultRowHeight="13.5"/>
  <cols>
    <col min="1" max="1" width="53.625" style="1633" customWidth="1"/>
    <col min="2" max="2" width="6.25" style="1633" hidden="1" customWidth="1"/>
    <col min="3" max="3" width="17.375" style="1633" bestFit="1" customWidth="1"/>
    <col min="4" max="4" width="9.25" style="1633" customWidth="1"/>
    <col min="5" max="5" width="9.875" style="1633" customWidth="1"/>
    <col min="6" max="6" width="13.375" style="2990" customWidth="1"/>
    <col min="7" max="7" width="13.375" style="1633" hidden="1" customWidth="1"/>
    <col min="8" max="8" width="13.375" style="1633" customWidth="1"/>
    <col min="9" max="10" width="10.625" style="1633" customWidth="1"/>
    <col min="11" max="11" width="18.5" style="1633" bestFit="1" customWidth="1"/>
    <col min="12" max="12" width="18.5" style="1633" customWidth="1"/>
    <col min="13" max="13" width="7.125" style="1633" bestFit="1" customWidth="1"/>
    <col min="14" max="14" width="31" style="1633" customWidth="1"/>
    <col min="15" max="15" width="7.875" style="1633" customWidth="1"/>
    <col min="16" max="257" width="9" style="1633"/>
    <col min="258" max="258" width="147.5" style="1633" customWidth="1"/>
    <col min="259" max="259" width="6.25" style="1633" customWidth="1"/>
    <col min="260" max="262" width="13.875" style="1633" customWidth="1"/>
    <col min="263" max="263" width="18.25" style="1633" customWidth="1"/>
    <col min="264" max="264" width="7.875" style="1633" customWidth="1"/>
    <col min="265" max="265" width="9" style="1633" customWidth="1"/>
    <col min="266" max="267" width="10.625" style="1633" customWidth="1"/>
    <col min="268" max="268" width="14.375" style="1633" customWidth="1"/>
    <col min="269" max="269" width="6.25" style="1633" customWidth="1"/>
    <col min="270" max="270" width="31" style="1633" customWidth="1"/>
    <col min="271" max="271" width="7.875" style="1633" customWidth="1"/>
    <col min="272" max="513" width="9" style="1633"/>
    <col min="514" max="514" width="147.5" style="1633" customWidth="1"/>
    <col min="515" max="515" width="6.25" style="1633" customWidth="1"/>
    <col min="516" max="518" width="13.875" style="1633" customWidth="1"/>
    <col min="519" max="519" width="18.25" style="1633" customWidth="1"/>
    <col min="520" max="520" width="7.875" style="1633" customWidth="1"/>
    <col min="521" max="521" width="9" style="1633" customWidth="1"/>
    <col min="522" max="523" width="10.625" style="1633" customWidth="1"/>
    <col min="524" max="524" width="14.375" style="1633" customWidth="1"/>
    <col min="525" max="525" width="6.25" style="1633" customWidth="1"/>
    <col min="526" max="526" width="31" style="1633" customWidth="1"/>
    <col min="527" max="527" width="7.875" style="1633" customWidth="1"/>
    <col min="528" max="769" width="9" style="1633"/>
    <col min="770" max="770" width="147.5" style="1633" customWidth="1"/>
    <col min="771" max="771" width="6.25" style="1633" customWidth="1"/>
    <col min="772" max="774" width="13.875" style="1633" customWidth="1"/>
    <col min="775" max="775" width="18.25" style="1633" customWidth="1"/>
    <col min="776" max="776" width="7.875" style="1633" customWidth="1"/>
    <col min="777" max="777" width="9" style="1633" customWidth="1"/>
    <col min="778" max="779" width="10.625" style="1633" customWidth="1"/>
    <col min="780" max="780" width="14.375" style="1633" customWidth="1"/>
    <col min="781" max="781" width="6.25" style="1633" customWidth="1"/>
    <col min="782" max="782" width="31" style="1633" customWidth="1"/>
    <col min="783" max="783" width="7.875" style="1633" customWidth="1"/>
    <col min="784" max="1025" width="9" style="1633"/>
    <col min="1026" max="1026" width="147.5" style="1633" customWidth="1"/>
    <col min="1027" max="1027" width="6.25" style="1633" customWidth="1"/>
    <col min="1028" max="1030" width="13.875" style="1633" customWidth="1"/>
    <col min="1031" max="1031" width="18.25" style="1633" customWidth="1"/>
    <col min="1032" max="1032" width="7.875" style="1633" customWidth="1"/>
    <col min="1033" max="1033" width="9" style="1633" customWidth="1"/>
    <col min="1034" max="1035" width="10.625" style="1633" customWidth="1"/>
    <col min="1036" max="1036" width="14.375" style="1633" customWidth="1"/>
    <col min="1037" max="1037" width="6.25" style="1633" customWidth="1"/>
    <col min="1038" max="1038" width="31" style="1633" customWidth="1"/>
    <col min="1039" max="1039" width="7.875" style="1633" customWidth="1"/>
    <col min="1040" max="1281" width="9" style="1633"/>
    <col min="1282" max="1282" width="147.5" style="1633" customWidth="1"/>
    <col min="1283" max="1283" width="6.25" style="1633" customWidth="1"/>
    <col min="1284" max="1286" width="13.875" style="1633" customWidth="1"/>
    <col min="1287" max="1287" width="18.25" style="1633" customWidth="1"/>
    <col min="1288" max="1288" width="7.875" style="1633" customWidth="1"/>
    <col min="1289" max="1289" width="9" style="1633" customWidth="1"/>
    <col min="1290" max="1291" width="10.625" style="1633" customWidth="1"/>
    <col min="1292" max="1292" width="14.375" style="1633" customWidth="1"/>
    <col min="1293" max="1293" width="6.25" style="1633" customWidth="1"/>
    <col min="1294" max="1294" width="31" style="1633" customWidth="1"/>
    <col min="1295" max="1295" width="7.875" style="1633" customWidth="1"/>
    <col min="1296" max="1537" width="9" style="1633"/>
    <col min="1538" max="1538" width="147.5" style="1633" customWidth="1"/>
    <col min="1539" max="1539" width="6.25" style="1633" customWidth="1"/>
    <col min="1540" max="1542" width="13.875" style="1633" customWidth="1"/>
    <col min="1543" max="1543" width="18.25" style="1633" customWidth="1"/>
    <col min="1544" max="1544" width="7.875" style="1633" customWidth="1"/>
    <col min="1545" max="1545" width="9" style="1633" customWidth="1"/>
    <col min="1546" max="1547" width="10.625" style="1633" customWidth="1"/>
    <col min="1548" max="1548" width="14.375" style="1633" customWidth="1"/>
    <col min="1549" max="1549" width="6.25" style="1633" customWidth="1"/>
    <col min="1550" max="1550" width="31" style="1633" customWidth="1"/>
    <col min="1551" max="1551" width="7.875" style="1633" customWidth="1"/>
    <col min="1552" max="1793" width="9" style="1633"/>
    <col min="1794" max="1794" width="147.5" style="1633" customWidth="1"/>
    <col min="1795" max="1795" width="6.25" style="1633" customWidth="1"/>
    <col min="1796" max="1798" width="13.875" style="1633" customWidth="1"/>
    <col min="1799" max="1799" width="18.25" style="1633" customWidth="1"/>
    <col min="1800" max="1800" width="7.875" style="1633" customWidth="1"/>
    <col min="1801" max="1801" width="9" style="1633" customWidth="1"/>
    <col min="1802" max="1803" width="10.625" style="1633" customWidth="1"/>
    <col min="1804" max="1804" width="14.375" style="1633" customWidth="1"/>
    <col min="1805" max="1805" width="6.25" style="1633" customWidth="1"/>
    <col min="1806" max="1806" width="31" style="1633" customWidth="1"/>
    <col min="1807" max="1807" width="7.875" style="1633" customWidth="1"/>
    <col min="1808" max="2049" width="9" style="1633"/>
    <col min="2050" max="2050" width="147.5" style="1633" customWidth="1"/>
    <col min="2051" max="2051" width="6.25" style="1633" customWidth="1"/>
    <col min="2052" max="2054" width="13.875" style="1633" customWidth="1"/>
    <col min="2055" max="2055" width="18.25" style="1633" customWidth="1"/>
    <col min="2056" max="2056" width="7.875" style="1633" customWidth="1"/>
    <col min="2057" max="2057" width="9" style="1633" customWidth="1"/>
    <col min="2058" max="2059" width="10.625" style="1633" customWidth="1"/>
    <col min="2060" max="2060" width="14.375" style="1633" customWidth="1"/>
    <col min="2061" max="2061" width="6.25" style="1633" customWidth="1"/>
    <col min="2062" max="2062" width="31" style="1633" customWidth="1"/>
    <col min="2063" max="2063" width="7.875" style="1633" customWidth="1"/>
    <col min="2064" max="2305" width="9" style="1633"/>
    <col min="2306" max="2306" width="147.5" style="1633" customWidth="1"/>
    <col min="2307" max="2307" width="6.25" style="1633" customWidth="1"/>
    <col min="2308" max="2310" width="13.875" style="1633" customWidth="1"/>
    <col min="2311" max="2311" width="18.25" style="1633" customWidth="1"/>
    <col min="2312" max="2312" width="7.875" style="1633" customWidth="1"/>
    <col min="2313" max="2313" width="9" style="1633" customWidth="1"/>
    <col min="2314" max="2315" width="10.625" style="1633" customWidth="1"/>
    <col min="2316" max="2316" width="14.375" style="1633" customWidth="1"/>
    <col min="2317" max="2317" width="6.25" style="1633" customWidth="1"/>
    <col min="2318" max="2318" width="31" style="1633" customWidth="1"/>
    <col min="2319" max="2319" width="7.875" style="1633" customWidth="1"/>
    <col min="2320" max="2561" width="9" style="1633"/>
    <col min="2562" max="2562" width="147.5" style="1633" customWidth="1"/>
    <col min="2563" max="2563" width="6.25" style="1633" customWidth="1"/>
    <col min="2564" max="2566" width="13.875" style="1633" customWidth="1"/>
    <col min="2567" max="2567" width="18.25" style="1633" customWidth="1"/>
    <col min="2568" max="2568" width="7.875" style="1633" customWidth="1"/>
    <col min="2569" max="2569" width="9" style="1633" customWidth="1"/>
    <col min="2570" max="2571" width="10.625" style="1633" customWidth="1"/>
    <col min="2572" max="2572" width="14.375" style="1633" customWidth="1"/>
    <col min="2573" max="2573" width="6.25" style="1633" customWidth="1"/>
    <col min="2574" max="2574" width="31" style="1633" customWidth="1"/>
    <col min="2575" max="2575" width="7.875" style="1633" customWidth="1"/>
    <col min="2576" max="2817" width="9" style="1633"/>
    <col min="2818" max="2818" width="147.5" style="1633" customWidth="1"/>
    <col min="2819" max="2819" width="6.25" style="1633" customWidth="1"/>
    <col min="2820" max="2822" width="13.875" style="1633" customWidth="1"/>
    <col min="2823" max="2823" width="18.25" style="1633" customWidth="1"/>
    <col min="2824" max="2824" width="7.875" style="1633" customWidth="1"/>
    <col min="2825" max="2825" width="9" style="1633" customWidth="1"/>
    <col min="2826" max="2827" width="10.625" style="1633" customWidth="1"/>
    <col min="2828" max="2828" width="14.375" style="1633" customWidth="1"/>
    <col min="2829" max="2829" width="6.25" style="1633" customWidth="1"/>
    <col min="2830" max="2830" width="31" style="1633" customWidth="1"/>
    <col min="2831" max="2831" width="7.875" style="1633" customWidth="1"/>
    <col min="2832" max="3073" width="9" style="1633"/>
    <col min="3074" max="3074" width="147.5" style="1633" customWidth="1"/>
    <col min="3075" max="3075" width="6.25" style="1633" customWidth="1"/>
    <col min="3076" max="3078" width="13.875" style="1633" customWidth="1"/>
    <col min="3079" max="3079" width="18.25" style="1633" customWidth="1"/>
    <col min="3080" max="3080" width="7.875" style="1633" customWidth="1"/>
    <col min="3081" max="3081" width="9" style="1633" customWidth="1"/>
    <col min="3082" max="3083" width="10.625" style="1633" customWidth="1"/>
    <col min="3084" max="3084" width="14.375" style="1633" customWidth="1"/>
    <col min="3085" max="3085" width="6.25" style="1633" customWidth="1"/>
    <col min="3086" max="3086" width="31" style="1633" customWidth="1"/>
    <col min="3087" max="3087" width="7.875" style="1633" customWidth="1"/>
    <col min="3088" max="3329" width="9" style="1633"/>
    <col min="3330" max="3330" width="147.5" style="1633" customWidth="1"/>
    <col min="3331" max="3331" width="6.25" style="1633" customWidth="1"/>
    <col min="3332" max="3334" width="13.875" style="1633" customWidth="1"/>
    <col min="3335" max="3335" width="18.25" style="1633" customWidth="1"/>
    <col min="3336" max="3336" width="7.875" style="1633" customWidth="1"/>
    <col min="3337" max="3337" width="9" style="1633" customWidth="1"/>
    <col min="3338" max="3339" width="10.625" style="1633" customWidth="1"/>
    <col min="3340" max="3340" width="14.375" style="1633" customWidth="1"/>
    <col min="3341" max="3341" width="6.25" style="1633" customWidth="1"/>
    <col min="3342" max="3342" width="31" style="1633" customWidth="1"/>
    <col min="3343" max="3343" width="7.875" style="1633" customWidth="1"/>
    <col min="3344" max="3585" width="9" style="1633"/>
    <col min="3586" max="3586" width="147.5" style="1633" customWidth="1"/>
    <col min="3587" max="3587" width="6.25" style="1633" customWidth="1"/>
    <col min="3588" max="3590" width="13.875" style="1633" customWidth="1"/>
    <col min="3591" max="3591" width="18.25" style="1633" customWidth="1"/>
    <col min="3592" max="3592" width="7.875" style="1633" customWidth="1"/>
    <col min="3593" max="3593" width="9" style="1633" customWidth="1"/>
    <col min="3594" max="3595" width="10.625" style="1633" customWidth="1"/>
    <col min="3596" max="3596" width="14.375" style="1633" customWidth="1"/>
    <col min="3597" max="3597" width="6.25" style="1633" customWidth="1"/>
    <col min="3598" max="3598" width="31" style="1633" customWidth="1"/>
    <col min="3599" max="3599" width="7.875" style="1633" customWidth="1"/>
    <col min="3600" max="3841" width="9" style="1633"/>
    <col min="3842" max="3842" width="147.5" style="1633" customWidth="1"/>
    <col min="3843" max="3843" width="6.25" style="1633" customWidth="1"/>
    <col min="3844" max="3846" width="13.875" style="1633" customWidth="1"/>
    <col min="3847" max="3847" width="18.25" style="1633" customWidth="1"/>
    <col min="3848" max="3848" width="7.875" style="1633" customWidth="1"/>
    <col min="3849" max="3849" width="9" style="1633" customWidth="1"/>
    <col min="3850" max="3851" width="10.625" style="1633" customWidth="1"/>
    <col min="3852" max="3852" width="14.375" style="1633" customWidth="1"/>
    <col min="3853" max="3853" width="6.25" style="1633" customWidth="1"/>
    <col min="3854" max="3854" width="31" style="1633" customWidth="1"/>
    <col min="3855" max="3855" width="7.875" style="1633" customWidth="1"/>
    <col min="3856" max="4097" width="9" style="1633"/>
    <col min="4098" max="4098" width="147.5" style="1633" customWidth="1"/>
    <col min="4099" max="4099" width="6.25" style="1633" customWidth="1"/>
    <col min="4100" max="4102" width="13.875" style="1633" customWidth="1"/>
    <col min="4103" max="4103" width="18.25" style="1633" customWidth="1"/>
    <col min="4104" max="4104" width="7.875" style="1633" customWidth="1"/>
    <col min="4105" max="4105" width="9" style="1633" customWidth="1"/>
    <col min="4106" max="4107" width="10.625" style="1633" customWidth="1"/>
    <col min="4108" max="4108" width="14.375" style="1633" customWidth="1"/>
    <col min="4109" max="4109" width="6.25" style="1633" customWidth="1"/>
    <col min="4110" max="4110" width="31" style="1633" customWidth="1"/>
    <col min="4111" max="4111" width="7.875" style="1633" customWidth="1"/>
    <col min="4112" max="4353" width="9" style="1633"/>
    <col min="4354" max="4354" width="147.5" style="1633" customWidth="1"/>
    <col min="4355" max="4355" width="6.25" style="1633" customWidth="1"/>
    <col min="4356" max="4358" width="13.875" style="1633" customWidth="1"/>
    <col min="4359" max="4359" width="18.25" style="1633" customWidth="1"/>
    <col min="4360" max="4360" width="7.875" style="1633" customWidth="1"/>
    <col min="4361" max="4361" width="9" style="1633" customWidth="1"/>
    <col min="4362" max="4363" width="10.625" style="1633" customWidth="1"/>
    <col min="4364" max="4364" width="14.375" style="1633" customWidth="1"/>
    <col min="4365" max="4365" width="6.25" style="1633" customWidth="1"/>
    <col min="4366" max="4366" width="31" style="1633" customWidth="1"/>
    <col min="4367" max="4367" width="7.875" style="1633" customWidth="1"/>
    <col min="4368" max="4609" width="9" style="1633"/>
    <col min="4610" max="4610" width="147.5" style="1633" customWidth="1"/>
    <col min="4611" max="4611" width="6.25" style="1633" customWidth="1"/>
    <col min="4612" max="4614" width="13.875" style="1633" customWidth="1"/>
    <col min="4615" max="4615" width="18.25" style="1633" customWidth="1"/>
    <col min="4616" max="4616" width="7.875" style="1633" customWidth="1"/>
    <col min="4617" max="4617" width="9" style="1633" customWidth="1"/>
    <col min="4618" max="4619" width="10.625" style="1633" customWidth="1"/>
    <col min="4620" max="4620" width="14.375" style="1633" customWidth="1"/>
    <col min="4621" max="4621" width="6.25" style="1633" customWidth="1"/>
    <col min="4622" max="4622" width="31" style="1633" customWidth="1"/>
    <col min="4623" max="4623" width="7.875" style="1633" customWidth="1"/>
    <col min="4624" max="4865" width="9" style="1633"/>
    <col min="4866" max="4866" width="147.5" style="1633" customWidth="1"/>
    <col min="4867" max="4867" width="6.25" style="1633" customWidth="1"/>
    <col min="4868" max="4870" width="13.875" style="1633" customWidth="1"/>
    <col min="4871" max="4871" width="18.25" style="1633" customWidth="1"/>
    <col min="4872" max="4872" width="7.875" style="1633" customWidth="1"/>
    <col min="4873" max="4873" width="9" style="1633" customWidth="1"/>
    <col min="4874" max="4875" width="10.625" style="1633" customWidth="1"/>
    <col min="4876" max="4876" width="14.375" style="1633" customWidth="1"/>
    <col min="4877" max="4877" width="6.25" style="1633" customWidth="1"/>
    <col min="4878" max="4878" width="31" style="1633" customWidth="1"/>
    <col min="4879" max="4879" width="7.875" style="1633" customWidth="1"/>
    <col min="4880" max="5121" width="9" style="1633"/>
    <col min="5122" max="5122" width="147.5" style="1633" customWidth="1"/>
    <col min="5123" max="5123" width="6.25" style="1633" customWidth="1"/>
    <col min="5124" max="5126" width="13.875" style="1633" customWidth="1"/>
    <col min="5127" max="5127" width="18.25" style="1633" customWidth="1"/>
    <col min="5128" max="5128" width="7.875" style="1633" customWidth="1"/>
    <col min="5129" max="5129" width="9" style="1633" customWidth="1"/>
    <col min="5130" max="5131" width="10.625" style="1633" customWidth="1"/>
    <col min="5132" max="5132" width="14.375" style="1633" customWidth="1"/>
    <col min="5133" max="5133" width="6.25" style="1633" customWidth="1"/>
    <col min="5134" max="5134" width="31" style="1633" customWidth="1"/>
    <col min="5135" max="5135" width="7.875" style="1633" customWidth="1"/>
    <col min="5136" max="5377" width="9" style="1633"/>
    <col min="5378" max="5378" width="147.5" style="1633" customWidth="1"/>
    <col min="5379" max="5379" width="6.25" style="1633" customWidth="1"/>
    <col min="5380" max="5382" width="13.875" style="1633" customWidth="1"/>
    <col min="5383" max="5383" width="18.25" style="1633" customWidth="1"/>
    <col min="5384" max="5384" width="7.875" style="1633" customWidth="1"/>
    <col min="5385" max="5385" width="9" style="1633" customWidth="1"/>
    <col min="5386" max="5387" width="10.625" style="1633" customWidth="1"/>
    <col min="5388" max="5388" width="14.375" style="1633" customWidth="1"/>
    <col min="5389" max="5389" width="6.25" style="1633" customWidth="1"/>
    <col min="5390" max="5390" width="31" style="1633" customWidth="1"/>
    <col min="5391" max="5391" width="7.875" style="1633" customWidth="1"/>
    <col min="5392" max="5633" width="9" style="1633"/>
    <col min="5634" max="5634" width="147.5" style="1633" customWidth="1"/>
    <col min="5635" max="5635" width="6.25" style="1633" customWidth="1"/>
    <col min="5636" max="5638" width="13.875" style="1633" customWidth="1"/>
    <col min="5639" max="5639" width="18.25" style="1633" customWidth="1"/>
    <col min="5640" max="5640" width="7.875" style="1633" customWidth="1"/>
    <col min="5641" max="5641" width="9" style="1633" customWidth="1"/>
    <col min="5642" max="5643" width="10.625" style="1633" customWidth="1"/>
    <col min="5644" max="5644" width="14.375" style="1633" customWidth="1"/>
    <col min="5645" max="5645" width="6.25" style="1633" customWidth="1"/>
    <col min="5646" max="5646" width="31" style="1633" customWidth="1"/>
    <col min="5647" max="5647" width="7.875" style="1633" customWidth="1"/>
    <col min="5648" max="5889" width="9" style="1633"/>
    <col min="5890" max="5890" width="147.5" style="1633" customWidth="1"/>
    <col min="5891" max="5891" width="6.25" style="1633" customWidth="1"/>
    <col min="5892" max="5894" width="13.875" style="1633" customWidth="1"/>
    <col min="5895" max="5895" width="18.25" style="1633" customWidth="1"/>
    <col min="5896" max="5896" width="7.875" style="1633" customWidth="1"/>
    <col min="5897" max="5897" width="9" style="1633" customWidth="1"/>
    <col min="5898" max="5899" width="10.625" style="1633" customWidth="1"/>
    <col min="5900" max="5900" width="14.375" style="1633" customWidth="1"/>
    <col min="5901" max="5901" width="6.25" style="1633" customWidth="1"/>
    <col min="5902" max="5902" width="31" style="1633" customWidth="1"/>
    <col min="5903" max="5903" width="7.875" style="1633" customWidth="1"/>
    <col min="5904" max="6145" width="9" style="1633"/>
    <col min="6146" max="6146" width="147.5" style="1633" customWidth="1"/>
    <col min="6147" max="6147" width="6.25" style="1633" customWidth="1"/>
    <col min="6148" max="6150" width="13.875" style="1633" customWidth="1"/>
    <col min="6151" max="6151" width="18.25" style="1633" customWidth="1"/>
    <col min="6152" max="6152" width="7.875" style="1633" customWidth="1"/>
    <col min="6153" max="6153" width="9" style="1633" customWidth="1"/>
    <col min="6154" max="6155" width="10.625" style="1633" customWidth="1"/>
    <col min="6156" max="6156" width="14.375" style="1633" customWidth="1"/>
    <col min="6157" max="6157" width="6.25" style="1633" customWidth="1"/>
    <col min="6158" max="6158" width="31" style="1633" customWidth="1"/>
    <col min="6159" max="6159" width="7.875" style="1633" customWidth="1"/>
    <col min="6160" max="6401" width="9" style="1633"/>
    <col min="6402" max="6402" width="147.5" style="1633" customWidth="1"/>
    <col min="6403" max="6403" width="6.25" style="1633" customWidth="1"/>
    <col min="6404" max="6406" width="13.875" style="1633" customWidth="1"/>
    <col min="6407" max="6407" width="18.25" style="1633" customWidth="1"/>
    <col min="6408" max="6408" width="7.875" style="1633" customWidth="1"/>
    <col min="6409" max="6409" width="9" style="1633" customWidth="1"/>
    <col min="6410" max="6411" width="10.625" style="1633" customWidth="1"/>
    <col min="6412" max="6412" width="14.375" style="1633" customWidth="1"/>
    <col min="6413" max="6413" width="6.25" style="1633" customWidth="1"/>
    <col min="6414" max="6414" width="31" style="1633" customWidth="1"/>
    <col min="6415" max="6415" width="7.875" style="1633" customWidth="1"/>
    <col min="6416" max="6657" width="9" style="1633"/>
    <col min="6658" max="6658" width="147.5" style="1633" customWidth="1"/>
    <col min="6659" max="6659" width="6.25" style="1633" customWidth="1"/>
    <col min="6660" max="6662" width="13.875" style="1633" customWidth="1"/>
    <col min="6663" max="6663" width="18.25" style="1633" customWidth="1"/>
    <col min="6664" max="6664" width="7.875" style="1633" customWidth="1"/>
    <col min="6665" max="6665" width="9" style="1633" customWidth="1"/>
    <col min="6666" max="6667" width="10.625" style="1633" customWidth="1"/>
    <col min="6668" max="6668" width="14.375" style="1633" customWidth="1"/>
    <col min="6669" max="6669" width="6.25" style="1633" customWidth="1"/>
    <col min="6670" max="6670" width="31" style="1633" customWidth="1"/>
    <col min="6671" max="6671" width="7.875" style="1633" customWidth="1"/>
    <col min="6672" max="6913" width="9" style="1633"/>
    <col min="6914" max="6914" width="147.5" style="1633" customWidth="1"/>
    <col min="6915" max="6915" width="6.25" style="1633" customWidth="1"/>
    <col min="6916" max="6918" width="13.875" style="1633" customWidth="1"/>
    <col min="6919" max="6919" width="18.25" style="1633" customWidth="1"/>
    <col min="6920" max="6920" width="7.875" style="1633" customWidth="1"/>
    <col min="6921" max="6921" width="9" style="1633" customWidth="1"/>
    <col min="6922" max="6923" width="10.625" style="1633" customWidth="1"/>
    <col min="6924" max="6924" width="14.375" style="1633" customWidth="1"/>
    <col min="6925" max="6925" width="6.25" style="1633" customWidth="1"/>
    <col min="6926" max="6926" width="31" style="1633" customWidth="1"/>
    <col min="6927" max="6927" width="7.875" style="1633" customWidth="1"/>
    <col min="6928" max="7169" width="9" style="1633"/>
    <col min="7170" max="7170" width="147.5" style="1633" customWidth="1"/>
    <col min="7171" max="7171" width="6.25" style="1633" customWidth="1"/>
    <col min="7172" max="7174" width="13.875" style="1633" customWidth="1"/>
    <col min="7175" max="7175" width="18.25" style="1633" customWidth="1"/>
    <col min="7176" max="7176" width="7.875" style="1633" customWidth="1"/>
    <col min="7177" max="7177" width="9" style="1633" customWidth="1"/>
    <col min="7178" max="7179" width="10.625" style="1633" customWidth="1"/>
    <col min="7180" max="7180" width="14.375" style="1633" customWidth="1"/>
    <col min="7181" max="7181" width="6.25" style="1633" customWidth="1"/>
    <col min="7182" max="7182" width="31" style="1633" customWidth="1"/>
    <col min="7183" max="7183" width="7.875" style="1633" customWidth="1"/>
    <col min="7184" max="7425" width="9" style="1633"/>
    <col min="7426" max="7426" width="147.5" style="1633" customWidth="1"/>
    <col min="7427" max="7427" width="6.25" style="1633" customWidth="1"/>
    <col min="7428" max="7430" width="13.875" style="1633" customWidth="1"/>
    <col min="7431" max="7431" width="18.25" style="1633" customWidth="1"/>
    <col min="7432" max="7432" width="7.875" style="1633" customWidth="1"/>
    <col min="7433" max="7433" width="9" style="1633" customWidth="1"/>
    <col min="7434" max="7435" width="10.625" style="1633" customWidth="1"/>
    <col min="7436" max="7436" width="14.375" style="1633" customWidth="1"/>
    <col min="7437" max="7437" width="6.25" style="1633" customWidth="1"/>
    <col min="7438" max="7438" width="31" style="1633" customWidth="1"/>
    <col min="7439" max="7439" width="7.875" style="1633" customWidth="1"/>
    <col min="7440" max="7681" width="9" style="1633"/>
    <col min="7682" max="7682" width="147.5" style="1633" customWidth="1"/>
    <col min="7683" max="7683" width="6.25" style="1633" customWidth="1"/>
    <col min="7684" max="7686" width="13.875" style="1633" customWidth="1"/>
    <col min="7687" max="7687" width="18.25" style="1633" customWidth="1"/>
    <col min="7688" max="7688" width="7.875" style="1633" customWidth="1"/>
    <col min="7689" max="7689" width="9" style="1633" customWidth="1"/>
    <col min="7690" max="7691" width="10.625" style="1633" customWidth="1"/>
    <col min="7692" max="7692" width="14.375" style="1633" customWidth="1"/>
    <col min="7693" max="7693" width="6.25" style="1633" customWidth="1"/>
    <col min="7694" max="7694" width="31" style="1633" customWidth="1"/>
    <col min="7695" max="7695" width="7.875" style="1633" customWidth="1"/>
    <col min="7696" max="7937" width="9" style="1633"/>
    <col min="7938" max="7938" width="147.5" style="1633" customWidth="1"/>
    <col min="7939" max="7939" width="6.25" style="1633" customWidth="1"/>
    <col min="7940" max="7942" width="13.875" style="1633" customWidth="1"/>
    <col min="7943" max="7943" width="18.25" style="1633" customWidth="1"/>
    <col min="7944" max="7944" width="7.875" style="1633" customWidth="1"/>
    <col min="7945" max="7945" width="9" style="1633" customWidth="1"/>
    <col min="7946" max="7947" width="10.625" style="1633" customWidth="1"/>
    <col min="7948" max="7948" width="14.375" style="1633" customWidth="1"/>
    <col min="7949" max="7949" width="6.25" style="1633" customWidth="1"/>
    <col min="7950" max="7950" width="31" style="1633" customWidth="1"/>
    <col min="7951" max="7951" width="7.875" style="1633" customWidth="1"/>
    <col min="7952" max="8193" width="9" style="1633"/>
    <col min="8194" max="8194" width="147.5" style="1633" customWidth="1"/>
    <col min="8195" max="8195" width="6.25" style="1633" customWidth="1"/>
    <col min="8196" max="8198" width="13.875" style="1633" customWidth="1"/>
    <col min="8199" max="8199" width="18.25" style="1633" customWidth="1"/>
    <col min="8200" max="8200" width="7.875" style="1633" customWidth="1"/>
    <col min="8201" max="8201" width="9" style="1633" customWidth="1"/>
    <col min="8202" max="8203" width="10.625" style="1633" customWidth="1"/>
    <col min="8204" max="8204" width="14.375" style="1633" customWidth="1"/>
    <col min="8205" max="8205" width="6.25" style="1633" customWidth="1"/>
    <col min="8206" max="8206" width="31" style="1633" customWidth="1"/>
    <col min="8207" max="8207" width="7.875" style="1633" customWidth="1"/>
    <col min="8208" max="8449" width="9" style="1633"/>
    <col min="8450" max="8450" width="147.5" style="1633" customWidth="1"/>
    <col min="8451" max="8451" width="6.25" style="1633" customWidth="1"/>
    <col min="8452" max="8454" width="13.875" style="1633" customWidth="1"/>
    <col min="8455" max="8455" width="18.25" style="1633" customWidth="1"/>
    <col min="8456" max="8456" width="7.875" style="1633" customWidth="1"/>
    <col min="8457" max="8457" width="9" style="1633" customWidth="1"/>
    <col min="8458" max="8459" width="10.625" style="1633" customWidth="1"/>
    <col min="8460" max="8460" width="14.375" style="1633" customWidth="1"/>
    <col min="8461" max="8461" width="6.25" style="1633" customWidth="1"/>
    <col min="8462" max="8462" width="31" style="1633" customWidth="1"/>
    <col min="8463" max="8463" width="7.875" style="1633" customWidth="1"/>
    <col min="8464" max="8705" width="9" style="1633"/>
    <col min="8706" max="8706" width="147.5" style="1633" customWidth="1"/>
    <col min="8707" max="8707" width="6.25" style="1633" customWidth="1"/>
    <col min="8708" max="8710" width="13.875" style="1633" customWidth="1"/>
    <col min="8711" max="8711" width="18.25" style="1633" customWidth="1"/>
    <col min="8712" max="8712" width="7.875" style="1633" customWidth="1"/>
    <col min="8713" max="8713" width="9" style="1633" customWidth="1"/>
    <col min="8714" max="8715" width="10.625" style="1633" customWidth="1"/>
    <col min="8716" max="8716" width="14.375" style="1633" customWidth="1"/>
    <col min="8717" max="8717" width="6.25" style="1633" customWidth="1"/>
    <col min="8718" max="8718" width="31" style="1633" customWidth="1"/>
    <col min="8719" max="8719" width="7.875" style="1633" customWidth="1"/>
    <col min="8720" max="8961" width="9" style="1633"/>
    <col min="8962" max="8962" width="147.5" style="1633" customWidth="1"/>
    <col min="8963" max="8963" width="6.25" style="1633" customWidth="1"/>
    <col min="8964" max="8966" width="13.875" style="1633" customWidth="1"/>
    <col min="8967" max="8967" width="18.25" style="1633" customWidth="1"/>
    <col min="8968" max="8968" width="7.875" style="1633" customWidth="1"/>
    <col min="8969" max="8969" width="9" style="1633" customWidth="1"/>
    <col min="8970" max="8971" width="10.625" style="1633" customWidth="1"/>
    <col min="8972" max="8972" width="14.375" style="1633" customWidth="1"/>
    <col min="8973" max="8973" width="6.25" style="1633" customWidth="1"/>
    <col min="8974" max="8974" width="31" style="1633" customWidth="1"/>
    <col min="8975" max="8975" width="7.875" style="1633" customWidth="1"/>
    <col min="8976" max="9217" width="9" style="1633"/>
    <col min="9218" max="9218" width="147.5" style="1633" customWidth="1"/>
    <col min="9219" max="9219" width="6.25" style="1633" customWidth="1"/>
    <col min="9220" max="9222" width="13.875" style="1633" customWidth="1"/>
    <col min="9223" max="9223" width="18.25" style="1633" customWidth="1"/>
    <col min="9224" max="9224" width="7.875" style="1633" customWidth="1"/>
    <col min="9225" max="9225" width="9" style="1633" customWidth="1"/>
    <col min="9226" max="9227" width="10.625" style="1633" customWidth="1"/>
    <col min="9228" max="9228" width="14.375" style="1633" customWidth="1"/>
    <col min="9229" max="9229" width="6.25" style="1633" customWidth="1"/>
    <col min="9230" max="9230" width="31" style="1633" customWidth="1"/>
    <col min="9231" max="9231" width="7.875" style="1633" customWidth="1"/>
    <col min="9232" max="9473" width="9" style="1633"/>
    <col min="9474" max="9474" width="147.5" style="1633" customWidth="1"/>
    <col min="9475" max="9475" width="6.25" style="1633" customWidth="1"/>
    <col min="9476" max="9478" width="13.875" style="1633" customWidth="1"/>
    <col min="9479" max="9479" width="18.25" style="1633" customWidth="1"/>
    <col min="9480" max="9480" width="7.875" style="1633" customWidth="1"/>
    <col min="9481" max="9481" width="9" style="1633" customWidth="1"/>
    <col min="9482" max="9483" width="10.625" style="1633" customWidth="1"/>
    <col min="9484" max="9484" width="14.375" style="1633" customWidth="1"/>
    <col min="9485" max="9485" width="6.25" style="1633" customWidth="1"/>
    <col min="9486" max="9486" width="31" style="1633" customWidth="1"/>
    <col min="9487" max="9487" width="7.875" style="1633" customWidth="1"/>
    <col min="9488" max="9729" width="9" style="1633"/>
    <col min="9730" max="9730" width="147.5" style="1633" customWidth="1"/>
    <col min="9731" max="9731" width="6.25" style="1633" customWidth="1"/>
    <col min="9732" max="9734" width="13.875" style="1633" customWidth="1"/>
    <col min="9735" max="9735" width="18.25" style="1633" customWidth="1"/>
    <col min="9736" max="9736" width="7.875" style="1633" customWidth="1"/>
    <col min="9737" max="9737" width="9" style="1633" customWidth="1"/>
    <col min="9738" max="9739" width="10.625" style="1633" customWidth="1"/>
    <col min="9740" max="9740" width="14.375" style="1633" customWidth="1"/>
    <col min="9741" max="9741" width="6.25" style="1633" customWidth="1"/>
    <col min="9742" max="9742" width="31" style="1633" customWidth="1"/>
    <col min="9743" max="9743" width="7.875" style="1633" customWidth="1"/>
    <col min="9744" max="9985" width="9" style="1633"/>
    <col min="9986" max="9986" width="147.5" style="1633" customWidth="1"/>
    <col min="9987" max="9987" width="6.25" style="1633" customWidth="1"/>
    <col min="9988" max="9990" width="13.875" style="1633" customWidth="1"/>
    <col min="9991" max="9991" width="18.25" style="1633" customWidth="1"/>
    <col min="9992" max="9992" width="7.875" style="1633" customWidth="1"/>
    <col min="9993" max="9993" width="9" style="1633" customWidth="1"/>
    <col min="9994" max="9995" width="10.625" style="1633" customWidth="1"/>
    <col min="9996" max="9996" width="14.375" style="1633" customWidth="1"/>
    <col min="9997" max="9997" width="6.25" style="1633" customWidth="1"/>
    <col min="9998" max="9998" width="31" style="1633" customWidth="1"/>
    <col min="9999" max="9999" width="7.875" style="1633" customWidth="1"/>
    <col min="10000" max="10241" width="9" style="1633"/>
    <col min="10242" max="10242" width="147.5" style="1633" customWidth="1"/>
    <col min="10243" max="10243" width="6.25" style="1633" customWidth="1"/>
    <col min="10244" max="10246" width="13.875" style="1633" customWidth="1"/>
    <col min="10247" max="10247" width="18.25" style="1633" customWidth="1"/>
    <col min="10248" max="10248" width="7.875" style="1633" customWidth="1"/>
    <col min="10249" max="10249" width="9" style="1633" customWidth="1"/>
    <col min="10250" max="10251" width="10.625" style="1633" customWidth="1"/>
    <col min="10252" max="10252" width="14.375" style="1633" customWidth="1"/>
    <col min="10253" max="10253" width="6.25" style="1633" customWidth="1"/>
    <col min="10254" max="10254" width="31" style="1633" customWidth="1"/>
    <col min="10255" max="10255" width="7.875" style="1633" customWidth="1"/>
    <col min="10256" max="10497" width="9" style="1633"/>
    <col min="10498" max="10498" width="147.5" style="1633" customWidth="1"/>
    <col min="10499" max="10499" width="6.25" style="1633" customWidth="1"/>
    <col min="10500" max="10502" width="13.875" style="1633" customWidth="1"/>
    <col min="10503" max="10503" width="18.25" style="1633" customWidth="1"/>
    <col min="10504" max="10504" width="7.875" style="1633" customWidth="1"/>
    <col min="10505" max="10505" width="9" style="1633" customWidth="1"/>
    <col min="10506" max="10507" width="10.625" style="1633" customWidth="1"/>
    <col min="10508" max="10508" width="14.375" style="1633" customWidth="1"/>
    <col min="10509" max="10509" width="6.25" style="1633" customWidth="1"/>
    <col min="10510" max="10510" width="31" style="1633" customWidth="1"/>
    <col min="10511" max="10511" width="7.875" style="1633" customWidth="1"/>
    <col min="10512" max="10753" width="9" style="1633"/>
    <col min="10754" max="10754" width="147.5" style="1633" customWidth="1"/>
    <col min="10755" max="10755" width="6.25" style="1633" customWidth="1"/>
    <col min="10756" max="10758" width="13.875" style="1633" customWidth="1"/>
    <col min="10759" max="10759" width="18.25" style="1633" customWidth="1"/>
    <col min="10760" max="10760" width="7.875" style="1633" customWidth="1"/>
    <col min="10761" max="10761" width="9" style="1633" customWidth="1"/>
    <col min="10762" max="10763" width="10.625" style="1633" customWidth="1"/>
    <col min="10764" max="10764" width="14.375" style="1633" customWidth="1"/>
    <col min="10765" max="10765" width="6.25" style="1633" customWidth="1"/>
    <col min="10766" max="10766" width="31" style="1633" customWidth="1"/>
    <col min="10767" max="10767" width="7.875" style="1633" customWidth="1"/>
    <col min="10768" max="11009" width="9" style="1633"/>
    <col min="11010" max="11010" width="147.5" style="1633" customWidth="1"/>
    <col min="11011" max="11011" width="6.25" style="1633" customWidth="1"/>
    <col min="11012" max="11014" width="13.875" style="1633" customWidth="1"/>
    <col min="11015" max="11015" width="18.25" style="1633" customWidth="1"/>
    <col min="11016" max="11016" width="7.875" style="1633" customWidth="1"/>
    <col min="11017" max="11017" width="9" style="1633" customWidth="1"/>
    <col min="11018" max="11019" width="10.625" style="1633" customWidth="1"/>
    <col min="11020" max="11020" width="14.375" style="1633" customWidth="1"/>
    <col min="11021" max="11021" width="6.25" style="1633" customWidth="1"/>
    <col min="11022" max="11022" width="31" style="1633" customWidth="1"/>
    <col min="11023" max="11023" width="7.875" style="1633" customWidth="1"/>
    <col min="11024" max="11265" width="9" style="1633"/>
    <col min="11266" max="11266" width="147.5" style="1633" customWidth="1"/>
    <col min="11267" max="11267" width="6.25" style="1633" customWidth="1"/>
    <col min="11268" max="11270" width="13.875" style="1633" customWidth="1"/>
    <col min="11271" max="11271" width="18.25" style="1633" customWidth="1"/>
    <col min="11272" max="11272" width="7.875" style="1633" customWidth="1"/>
    <col min="11273" max="11273" width="9" style="1633" customWidth="1"/>
    <col min="11274" max="11275" width="10.625" style="1633" customWidth="1"/>
    <col min="11276" max="11276" width="14.375" style="1633" customWidth="1"/>
    <col min="11277" max="11277" width="6.25" style="1633" customWidth="1"/>
    <col min="11278" max="11278" width="31" style="1633" customWidth="1"/>
    <col min="11279" max="11279" width="7.875" style="1633" customWidth="1"/>
    <col min="11280" max="11521" width="9" style="1633"/>
    <col min="11522" max="11522" width="147.5" style="1633" customWidth="1"/>
    <col min="11523" max="11523" width="6.25" style="1633" customWidth="1"/>
    <col min="11524" max="11526" width="13.875" style="1633" customWidth="1"/>
    <col min="11527" max="11527" width="18.25" style="1633" customWidth="1"/>
    <col min="11528" max="11528" width="7.875" style="1633" customWidth="1"/>
    <col min="11529" max="11529" width="9" style="1633" customWidth="1"/>
    <col min="11530" max="11531" width="10.625" style="1633" customWidth="1"/>
    <col min="11532" max="11532" width="14.375" style="1633" customWidth="1"/>
    <col min="11533" max="11533" width="6.25" style="1633" customWidth="1"/>
    <col min="11534" max="11534" width="31" style="1633" customWidth="1"/>
    <col min="11535" max="11535" width="7.875" style="1633" customWidth="1"/>
    <col min="11536" max="11777" width="9" style="1633"/>
    <col min="11778" max="11778" width="147.5" style="1633" customWidth="1"/>
    <col min="11779" max="11779" width="6.25" style="1633" customWidth="1"/>
    <col min="11780" max="11782" width="13.875" style="1633" customWidth="1"/>
    <col min="11783" max="11783" width="18.25" style="1633" customWidth="1"/>
    <col min="11784" max="11784" width="7.875" style="1633" customWidth="1"/>
    <col min="11785" max="11785" width="9" style="1633" customWidth="1"/>
    <col min="11786" max="11787" width="10.625" style="1633" customWidth="1"/>
    <col min="11788" max="11788" width="14.375" style="1633" customWidth="1"/>
    <col min="11789" max="11789" width="6.25" style="1633" customWidth="1"/>
    <col min="11790" max="11790" width="31" style="1633" customWidth="1"/>
    <col min="11791" max="11791" width="7.875" style="1633" customWidth="1"/>
    <col min="11792" max="12033" width="9" style="1633"/>
    <col min="12034" max="12034" width="147.5" style="1633" customWidth="1"/>
    <col min="12035" max="12035" width="6.25" style="1633" customWidth="1"/>
    <col min="12036" max="12038" width="13.875" style="1633" customWidth="1"/>
    <col min="12039" max="12039" width="18.25" style="1633" customWidth="1"/>
    <col min="12040" max="12040" width="7.875" style="1633" customWidth="1"/>
    <col min="12041" max="12041" width="9" style="1633" customWidth="1"/>
    <col min="12042" max="12043" width="10.625" style="1633" customWidth="1"/>
    <col min="12044" max="12044" width="14.375" style="1633" customWidth="1"/>
    <col min="12045" max="12045" width="6.25" style="1633" customWidth="1"/>
    <col min="12046" max="12046" width="31" style="1633" customWidth="1"/>
    <col min="12047" max="12047" width="7.875" style="1633" customWidth="1"/>
    <col min="12048" max="12289" width="9" style="1633"/>
    <col min="12290" max="12290" width="147.5" style="1633" customWidth="1"/>
    <col min="12291" max="12291" width="6.25" style="1633" customWidth="1"/>
    <col min="12292" max="12294" width="13.875" style="1633" customWidth="1"/>
    <col min="12295" max="12295" width="18.25" style="1633" customWidth="1"/>
    <col min="12296" max="12296" width="7.875" style="1633" customWidth="1"/>
    <col min="12297" max="12297" width="9" style="1633" customWidth="1"/>
    <col min="12298" max="12299" width="10.625" style="1633" customWidth="1"/>
    <col min="12300" max="12300" width="14.375" style="1633" customWidth="1"/>
    <col min="12301" max="12301" width="6.25" style="1633" customWidth="1"/>
    <col min="12302" max="12302" width="31" style="1633" customWidth="1"/>
    <col min="12303" max="12303" width="7.875" style="1633" customWidth="1"/>
    <col min="12304" max="12545" width="9" style="1633"/>
    <col min="12546" max="12546" width="147.5" style="1633" customWidth="1"/>
    <col min="12547" max="12547" width="6.25" style="1633" customWidth="1"/>
    <col min="12548" max="12550" width="13.875" style="1633" customWidth="1"/>
    <col min="12551" max="12551" width="18.25" style="1633" customWidth="1"/>
    <col min="12552" max="12552" width="7.875" style="1633" customWidth="1"/>
    <col min="12553" max="12553" width="9" style="1633" customWidth="1"/>
    <col min="12554" max="12555" width="10.625" style="1633" customWidth="1"/>
    <col min="12556" max="12556" width="14.375" style="1633" customWidth="1"/>
    <col min="12557" max="12557" width="6.25" style="1633" customWidth="1"/>
    <col min="12558" max="12558" width="31" style="1633" customWidth="1"/>
    <col min="12559" max="12559" width="7.875" style="1633" customWidth="1"/>
    <col min="12560" max="12801" width="9" style="1633"/>
    <col min="12802" max="12802" width="147.5" style="1633" customWidth="1"/>
    <col min="12803" max="12803" width="6.25" style="1633" customWidth="1"/>
    <col min="12804" max="12806" width="13.875" style="1633" customWidth="1"/>
    <col min="12807" max="12807" width="18.25" style="1633" customWidth="1"/>
    <col min="12808" max="12808" width="7.875" style="1633" customWidth="1"/>
    <col min="12809" max="12809" width="9" style="1633" customWidth="1"/>
    <col min="12810" max="12811" width="10.625" style="1633" customWidth="1"/>
    <col min="12812" max="12812" width="14.375" style="1633" customWidth="1"/>
    <col min="12813" max="12813" width="6.25" style="1633" customWidth="1"/>
    <col min="12814" max="12814" width="31" style="1633" customWidth="1"/>
    <col min="12815" max="12815" width="7.875" style="1633" customWidth="1"/>
    <col min="12816" max="13057" width="9" style="1633"/>
    <col min="13058" max="13058" width="147.5" style="1633" customWidth="1"/>
    <col min="13059" max="13059" width="6.25" style="1633" customWidth="1"/>
    <col min="13060" max="13062" width="13.875" style="1633" customWidth="1"/>
    <col min="13063" max="13063" width="18.25" style="1633" customWidth="1"/>
    <col min="13064" max="13064" width="7.875" style="1633" customWidth="1"/>
    <col min="13065" max="13065" width="9" style="1633" customWidth="1"/>
    <col min="13066" max="13067" width="10.625" style="1633" customWidth="1"/>
    <col min="13068" max="13068" width="14.375" style="1633" customWidth="1"/>
    <col min="13069" max="13069" width="6.25" style="1633" customWidth="1"/>
    <col min="13070" max="13070" width="31" style="1633" customWidth="1"/>
    <col min="13071" max="13071" width="7.875" style="1633" customWidth="1"/>
    <col min="13072" max="13313" width="9" style="1633"/>
    <col min="13314" max="13314" width="147.5" style="1633" customWidth="1"/>
    <col min="13315" max="13315" width="6.25" style="1633" customWidth="1"/>
    <col min="13316" max="13318" width="13.875" style="1633" customWidth="1"/>
    <col min="13319" max="13319" width="18.25" style="1633" customWidth="1"/>
    <col min="13320" max="13320" width="7.875" style="1633" customWidth="1"/>
    <col min="13321" max="13321" width="9" style="1633" customWidth="1"/>
    <col min="13322" max="13323" width="10.625" style="1633" customWidth="1"/>
    <col min="13324" max="13324" width="14.375" style="1633" customWidth="1"/>
    <col min="13325" max="13325" width="6.25" style="1633" customWidth="1"/>
    <col min="13326" max="13326" width="31" style="1633" customWidth="1"/>
    <col min="13327" max="13327" width="7.875" style="1633" customWidth="1"/>
    <col min="13328" max="13569" width="9" style="1633"/>
    <col min="13570" max="13570" width="147.5" style="1633" customWidth="1"/>
    <col min="13571" max="13571" width="6.25" style="1633" customWidth="1"/>
    <col min="13572" max="13574" width="13.875" style="1633" customWidth="1"/>
    <col min="13575" max="13575" width="18.25" style="1633" customWidth="1"/>
    <col min="13576" max="13576" width="7.875" style="1633" customWidth="1"/>
    <col min="13577" max="13577" width="9" style="1633" customWidth="1"/>
    <col min="13578" max="13579" width="10.625" style="1633" customWidth="1"/>
    <col min="13580" max="13580" width="14.375" style="1633" customWidth="1"/>
    <col min="13581" max="13581" width="6.25" style="1633" customWidth="1"/>
    <col min="13582" max="13582" width="31" style="1633" customWidth="1"/>
    <col min="13583" max="13583" width="7.875" style="1633" customWidth="1"/>
    <col min="13584" max="13825" width="9" style="1633"/>
    <col min="13826" max="13826" width="147.5" style="1633" customWidth="1"/>
    <col min="13827" max="13827" width="6.25" style="1633" customWidth="1"/>
    <col min="13828" max="13830" width="13.875" style="1633" customWidth="1"/>
    <col min="13831" max="13831" width="18.25" style="1633" customWidth="1"/>
    <col min="13832" max="13832" width="7.875" style="1633" customWidth="1"/>
    <col min="13833" max="13833" width="9" style="1633" customWidth="1"/>
    <col min="13834" max="13835" width="10.625" style="1633" customWidth="1"/>
    <col min="13836" max="13836" width="14.375" style="1633" customWidth="1"/>
    <col min="13837" max="13837" width="6.25" style="1633" customWidth="1"/>
    <col min="13838" max="13838" width="31" style="1633" customWidth="1"/>
    <col min="13839" max="13839" width="7.875" style="1633" customWidth="1"/>
    <col min="13840" max="14081" width="9" style="1633"/>
    <col min="14082" max="14082" width="147.5" style="1633" customWidth="1"/>
    <col min="14083" max="14083" width="6.25" style="1633" customWidth="1"/>
    <col min="14084" max="14086" width="13.875" style="1633" customWidth="1"/>
    <col min="14087" max="14087" width="18.25" style="1633" customWidth="1"/>
    <col min="14088" max="14088" width="7.875" style="1633" customWidth="1"/>
    <col min="14089" max="14089" width="9" style="1633" customWidth="1"/>
    <col min="14090" max="14091" width="10.625" style="1633" customWidth="1"/>
    <col min="14092" max="14092" width="14.375" style="1633" customWidth="1"/>
    <col min="14093" max="14093" width="6.25" style="1633" customWidth="1"/>
    <col min="14094" max="14094" width="31" style="1633" customWidth="1"/>
    <col min="14095" max="14095" width="7.875" style="1633" customWidth="1"/>
    <col min="14096" max="14337" width="9" style="1633"/>
    <col min="14338" max="14338" width="147.5" style="1633" customWidth="1"/>
    <col min="14339" max="14339" width="6.25" style="1633" customWidth="1"/>
    <col min="14340" max="14342" width="13.875" style="1633" customWidth="1"/>
    <col min="14343" max="14343" width="18.25" style="1633" customWidth="1"/>
    <col min="14344" max="14344" width="7.875" style="1633" customWidth="1"/>
    <col min="14345" max="14345" width="9" style="1633" customWidth="1"/>
    <col min="14346" max="14347" width="10.625" style="1633" customWidth="1"/>
    <col min="14348" max="14348" width="14.375" style="1633" customWidth="1"/>
    <col min="14349" max="14349" width="6.25" style="1633" customWidth="1"/>
    <col min="14350" max="14350" width="31" style="1633" customWidth="1"/>
    <col min="14351" max="14351" width="7.875" style="1633" customWidth="1"/>
    <col min="14352" max="14593" width="9" style="1633"/>
    <col min="14594" max="14594" width="147.5" style="1633" customWidth="1"/>
    <col min="14595" max="14595" width="6.25" style="1633" customWidth="1"/>
    <col min="14596" max="14598" width="13.875" style="1633" customWidth="1"/>
    <col min="14599" max="14599" width="18.25" style="1633" customWidth="1"/>
    <col min="14600" max="14600" width="7.875" style="1633" customWidth="1"/>
    <col min="14601" max="14601" width="9" style="1633" customWidth="1"/>
    <col min="14602" max="14603" width="10.625" style="1633" customWidth="1"/>
    <col min="14604" max="14604" width="14.375" style="1633" customWidth="1"/>
    <col min="14605" max="14605" width="6.25" style="1633" customWidth="1"/>
    <col min="14606" max="14606" width="31" style="1633" customWidth="1"/>
    <col min="14607" max="14607" width="7.875" style="1633" customWidth="1"/>
    <col min="14608" max="14849" width="9" style="1633"/>
    <col min="14850" max="14850" width="147.5" style="1633" customWidth="1"/>
    <col min="14851" max="14851" width="6.25" style="1633" customWidth="1"/>
    <col min="14852" max="14854" width="13.875" style="1633" customWidth="1"/>
    <col min="14855" max="14855" width="18.25" style="1633" customWidth="1"/>
    <col min="14856" max="14856" width="7.875" style="1633" customWidth="1"/>
    <col min="14857" max="14857" width="9" style="1633" customWidth="1"/>
    <col min="14858" max="14859" width="10.625" style="1633" customWidth="1"/>
    <col min="14860" max="14860" width="14.375" style="1633" customWidth="1"/>
    <col min="14861" max="14861" width="6.25" style="1633" customWidth="1"/>
    <col min="14862" max="14862" width="31" style="1633" customWidth="1"/>
    <col min="14863" max="14863" width="7.875" style="1633" customWidth="1"/>
    <col min="14864" max="15105" width="9" style="1633"/>
    <col min="15106" max="15106" width="147.5" style="1633" customWidth="1"/>
    <col min="15107" max="15107" width="6.25" style="1633" customWidth="1"/>
    <col min="15108" max="15110" width="13.875" style="1633" customWidth="1"/>
    <col min="15111" max="15111" width="18.25" style="1633" customWidth="1"/>
    <col min="15112" max="15112" width="7.875" style="1633" customWidth="1"/>
    <col min="15113" max="15113" width="9" style="1633" customWidth="1"/>
    <col min="15114" max="15115" width="10.625" style="1633" customWidth="1"/>
    <col min="15116" max="15116" width="14.375" style="1633" customWidth="1"/>
    <col min="15117" max="15117" width="6.25" style="1633" customWidth="1"/>
    <col min="15118" max="15118" width="31" style="1633" customWidth="1"/>
    <col min="15119" max="15119" width="7.875" style="1633" customWidth="1"/>
    <col min="15120" max="15361" width="9" style="1633"/>
    <col min="15362" max="15362" width="147.5" style="1633" customWidth="1"/>
    <col min="15363" max="15363" width="6.25" style="1633" customWidth="1"/>
    <col min="15364" max="15366" width="13.875" style="1633" customWidth="1"/>
    <col min="15367" max="15367" width="18.25" style="1633" customWidth="1"/>
    <col min="15368" max="15368" width="7.875" style="1633" customWidth="1"/>
    <col min="15369" max="15369" width="9" style="1633" customWidth="1"/>
    <col min="15370" max="15371" width="10.625" style="1633" customWidth="1"/>
    <col min="15372" max="15372" width="14.375" style="1633" customWidth="1"/>
    <col min="15373" max="15373" width="6.25" style="1633" customWidth="1"/>
    <col min="15374" max="15374" width="31" style="1633" customWidth="1"/>
    <col min="15375" max="15375" width="7.875" style="1633" customWidth="1"/>
    <col min="15376" max="15617" width="9" style="1633"/>
    <col min="15618" max="15618" width="147.5" style="1633" customWidth="1"/>
    <col min="15619" max="15619" width="6.25" style="1633" customWidth="1"/>
    <col min="15620" max="15622" width="13.875" style="1633" customWidth="1"/>
    <col min="15623" max="15623" width="18.25" style="1633" customWidth="1"/>
    <col min="15624" max="15624" width="7.875" style="1633" customWidth="1"/>
    <col min="15625" max="15625" width="9" style="1633" customWidth="1"/>
    <col min="15626" max="15627" width="10.625" style="1633" customWidth="1"/>
    <col min="15628" max="15628" width="14.375" style="1633" customWidth="1"/>
    <col min="15629" max="15629" width="6.25" style="1633" customWidth="1"/>
    <col min="15630" max="15630" width="31" style="1633" customWidth="1"/>
    <col min="15631" max="15631" width="7.875" style="1633" customWidth="1"/>
    <col min="15632" max="15873" width="9" style="1633"/>
    <col min="15874" max="15874" width="147.5" style="1633" customWidth="1"/>
    <col min="15875" max="15875" width="6.25" style="1633" customWidth="1"/>
    <col min="15876" max="15878" width="13.875" style="1633" customWidth="1"/>
    <col min="15879" max="15879" width="18.25" style="1633" customWidth="1"/>
    <col min="15880" max="15880" width="7.875" style="1633" customWidth="1"/>
    <col min="15881" max="15881" width="9" style="1633" customWidth="1"/>
    <col min="15882" max="15883" width="10.625" style="1633" customWidth="1"/>
    <col min="15884" max="15884" width="14.375" style="1633" customWidth="1"/>
    <col min="15885" max="15885" width="6.25" style="1633" customWidth="1"/>
    <col min="15886" max="15886" width="31" style="1633" customWidth="1"/>
    <col min="15887" max="15887" width="7.875" style="1633" customWidth="1"/>
    <col min="15888" max="16129" width="9" style="1633"/>
    <col min="16130" max="16130" width="147.5" style="1633" customWidth="1"/>
    <col min="16131" max="16131" width="6.25" style="1633" customWidth="1"/>
    <col min="16132" max="16134" width="13.875" style="1633" customWidth="1"/>
    <col min="16135" max="16135" width="18.25" style="1633" customWidth="1"/>
    <col min="16136" max="16136" width="7.875" style="1633" customWidth="1"/>
    <col min="16137" max="16137" width="9" style="1633" customWidth="1"/>
    <col min="16138" max="16139" width="10.625" style="1633" customWidth="1"/>
    <col min="16140" max="16140" width="14.375" style="1633" customWidth="1"/>
    <col min="16141" max="16141" width="6.25" style="1633" customWidth="1"/>
    <col min="16142" max="16142" width="31" style="1633" customWidth="1"/>
    <col min="16143" max="16143" width="7.875" style="1633" customWidth="1"/>
    <col min="16144" max="16384" width="9" style="1633"/>
  </cols>
  <sheetData>
    <row r="1" spans="1:15">
      <c r="A1" s="1633" t="s">
        <v>3162</v>
      </c>
      <c r="B1" s="1633" t="s">
        <v>3163</v>
      </c>
      <c r="C1" s="1633" t="s">
        <v>3164</v>
      </c>
      <c r="D1" s="1633" t="s">
        <v>3165</v>
      </c>
      <c r="E1" s="1633" t="s">
        <v>3166</v>
      </c>
      <c r="F1" s="2990" t="s">
        <v>3167</v>
      </c>
      <c r="G1" s="1633" t="s">
        <v>3168</v>
      </c>
      <c r="H1" s="1633" t="s">
        <v>3169</v>
      </c>
      <c r="I1" s="1633" t="s">
        <v>3170</v>
      </c>
      <c r="J1" s="1633" t="s">
        <v>3171</v>
      </c>
      <c r="K1" s="1633" t="s">
        <v>3172</v>
      </c>
      <c r="L1" s="2992" t="s">
        <v>3281</v>
      </c>
      <c r="M1" s="1633" t="s">
        <v>3173</v>
      </c>
      <c r="N1" s="1633" t="s">
        <v>3174</v>
      </c>
      <c r="O1" s="1633" t="s">
        <v>3175</v>
      </c>
    </row>
    <row r="2" spans="1:15" s="2993" customFormat="1">
      <c r="A2" s="2995" t="s">
        <v>3282</v>
      </c>
      <c r="B2" s="2993" t="s">
        <v>3177</v>
      </c>
      <c r="C2" s="2993" t="s">
        <v>3178</v>
      </c>
      <c r="D2" s="2993">
        <v>16942.189999999999</v>
      </c>
      <c r="E2" s="2993">
        <v>56248.07</v>
      </c>
      <c r="F2" s="2994" t="s">
        <v>3179</v>
      </c>
      <c r="G2" s="2993" t="s">
        <v>3180</v>
      </c>
      <c r="H2" s="2993" t="s">
        <v>3181</v>
      </c>
      <c r="I2" s="2993">
        <v>7085</v>
      </c>
      <c r="J2" s="2993">
        <v>7085</v>
      </c>
      <c r="K2" s="2993">
        <v>1259.5899999999999</v>
      </c>
      <c r="L2" s="2993">
        <f>ROUND(J2/D2*10000,0)</f>
        <v>4182</v>
      </c>
      <c r="M2" s="2993">
        <v>0</v>
      </c>
      <c r="N2" s="2993" t="s">
        <v>3182</v>
      </c>
      <c r="O2" s="2993" t="s">
        <v>3183</v>
      </c>
    </row>
    <row r="3" spans="1:15" s="2997" customFormat="1">
      <c r="A3" s="2997" t="s">
        <v>3176</v>
      </c>
      <c r="B3" s="2997" t="s">
        <v>3177</v>
      </c>
      <c r="C3" s="2997" t="s">
        <v>3178</v>
      </c>
      <c r="D3" s="2997">
        <v>19907.939999999999</v>
      </c>
      <c r="E3" s="2997">
        <v>72863.06</v>
      </c>
      <c r="F3" s="2998" t="s">
        <v>3184</v>
      </c>
      <c r="G3" s="2997" t="s">
        <v>3180</v>
      </c>
      <c r="H3" s="2997" t="s">
        <v>3181</v>
      </c>
      <c r="I3" s="2997">
        <v>8870</v>
      </c>
      <c r="J3" s="2997">
        <v>8870</v>
      </c>
      <c r="K3" s="2997">
        <v>1217.3399999999999</v>
      </c>
      <c r="L3" s="2997">
        <f t="shared" ref="L3:L35" si="0">ROUND(J3/D3*10000,0)</f>
        <v>4456</v>
      </c>
      <c r="M3" s="2997">
        <v>0</v>
      </c>
      <c r="N3" s="2997" t="s">
        <v>3182</v>
      </c>
      <c r="O3" s="2997" t="s">
        <v>3183</v>
      </c>
    </row>
    <row r="4" spans="1:15" s="2995" customFormat="1" ht="14.25" customHeight="1">
      <c r="A4" s="2995" t="s">
        <v>3282</v>
      </c>
      <c r="B4" s="2995" t="s">
        <v>3177</v>
      </c>
      <c r="C4" s="2995" t="s">
        <v>3178</v>
      </c>
      <c r="D4" s="2995">
        <v>20827.82</v>
      </c>
      <c r="E4" s="2995">
        <v>72897.37</v>
      </c>
      <c r="F4" s="2999" t="s">
        <v>3185</v>
      </c>
      <c r="G4" s="2995" t="s">
        <v>3180</v>
      </c>
      <c r="H4" s="2995" t="s">
        <v>3181</v>
      </c>
      <c r="I4" s="2995">
        <v>8845</v>
      </c>
      <c r="J4" s="2995">
        <v>8845</v>
      </c>
      <c r="K4" s="2995">
        <v>1213.3399999999999</v>
      </c>
      <c r="L4" s="2995">
        <f t="shared" si="0"/>
        <v>4247</v>
      </c>
      <c r="M4" s="2995">
        <v>0</v>
      </c>
      <c r="N4" s="2995" t="s">
        <v>3182</v>
      </c>
      <c r="O4" s="2995" t="s">
        <v>3183</v>
      </c>
    </row>
    <row r="5" spans="1:15" s="2996" customFormat="1">
      <c r="A5" s="2996" t="s">
        <v>3176</v>
      </c>
      <c r="B5" s="2996" t="s">
        <v>3177</v>
      </c>
      <c r="C5" s="2996" t="s">
        <v>3178</v>
      </c>
      <c r="D5" s="2996">
        <v>8974.61</v>
      </c>
      <c r="E5" s="2996">
        <v>31411.14</v>
      </c>
      <c r="F5" s="3000" t="s">
        <v>3185</v>
      </c>
      <c r="G5" s="2996" t="s">
        <v>3180</v>
      </c>
      <c r="H5" s="2996" t="s">
        <v>3181</v>
      </c>
      <c r="I5" s="2996">
        <v>3960</v>
      </c>
      <c r="J5" s="2996">
        <v>3960</v>
      </c>
      <c r="K5" s="2996">
        <v>1260.7</v>
      </c>
      <c r="L5" s="2996">
        <f t="shared" si="0"/>
        <v>4412</v>
      </c>
      <c r="M5" s="2996">
        <v>0</v>
      </c>
      <c r="N5" s="2996" t="s">
        <v>3182</v>
      </c>
      <c r="O5" s="2996" t="s">
        <v>3183</v>
      </c>
    </row>
    <row r="6" spans="1:15">
      <c r="A6" s="1633" t="s">
        <v>3186</v>
      </c>
      <c r="B6" s="1633" t="s">
        <v>3177</v>
      </c>
      <c r="C6" s="1633" t="s">
        <v>3178</v>
      </c>
      <c r="D6" s="1633">
        <v>53865.56</v>
      </c>
      <c r="E6" s="1633">
        <v>118288.8</v>
      </c>
      <c r="F6" s="2990" t="s">
        <v>3187</v>
      </c>
      <c r="G6" s="1633" t="s">
        <v>3180</v>
      </c>
      <c r="H6" s="1633" t="s">
        <v>3188</v>
      </c>
      <c r="I6" s="1633">
        <v>75000</v>
      </c>
      <c r="J6" s="1633">
        <v>107000</v>
      </c>
      <c r="K6" s="1633">
        <v>9045.65</v>
      </c>
      <c r="L6" s="1633">
        <f t="shared" si="0"/>
        <v>19864</v>
      </c>
      <c r="M6" s="1633">
        <v>42.67</v>
      </c>
      <c r="N6" s="1633" t="s">
        <v>3189</v>
      </c>
      <c r="O6" s="1633" t="s">
        <v>3190</v>
      </c>
    </row>
    <row r="7" spans="1:15">
      <c r="A7" s="1633" t="s">
        <v>3191</v>
      </c>
      <c r="B7" s="1633" t="s">
        <v>3177</v>
      </c>
      <c r="C7" s="1633" t="s">
        <v>3178</v>
      </c>
      <c r="D7" s="1633">
        <v>37240.43</v>
      </c>
      <c r="E7" s="1633">
        <v>130341.5</v>
      </c>
      <c r="F7" s="2990" t="s">
        <v>3192</v>
      </c>
      <c r="G7" s="1633" t="s">
        <v>3180</v>
      </c>
      <c r="H7" s="1633" t="s">
        <v>3193</v>
      </c>
      <c r="I7" s="1633">
        <v>52000</v>
      </c>
      <c r="J7" s="1633">
        <v>52000</v>
      </c>
      <c r="K7" s="1633">
        <v>3989.51</v>
      </c>
      <c r="L7" s="1633">
        <f t="shared" si="0"/>
        <v>13963</v>
      </c>
      <c r="M7" s="1633">
        <v>0</v>
      </c>
      <c r="N7" s="1633" t="s">
        <v>3194</v>
      </c>
      <c r="O7" s="1633" t="s">
        <v>3190</v>
      </c>
    </row>
    <row r="8" spans="1:15">
      <c r="A8" s="1633" t="s">
        <v>3195</v>
      </c>
      <c r="B8" s="1633" t="s">
        <v>3177</v>
      </c>
      <c r="C8" s="1633" t="s">
        <v>3178</v>
      </c>
      <c r="D8" s="1633">
        <v>91359.58</v>
      </c>
      <c r="E8" s="1633">
        <v>294817.40000000002</v>
      </c>
      <c r="F8" s="2990" t="s">
        <v>3196</v>
      </c>
      <c r="G8" s="1633" t="s">
        <v>3180</v>
      </c>
      <c r="H8" s="1633" t="s">
        <v>3193</v>
      </c>
      <c r="I8" s="1633">
        <v>117000</v>
      </c>
      <c r="J8" s="1633">
        <v>117000</v>
      </c>
      <c r="K8" s="1633">
        <v>3968.55</v>
      </c>
      <c r="L8" s="1633">
        <f t="shared" si="0"/>
        <v>12807</v>
      </c>
      <c r="M8" s="1633">
        <v>0</v>
      </c>
      <c r="N8" s="1633" t="s">
        <v>3197</v>
      </c>
      <c r="O8" s="1633" t="s">
        <v>3190</v>
      </c>
    </row>
    <row r="9" spans="1:15">
      <c r="A9" s="1633" t="s">
        <v>3198</v>
      </c>
      <c r="B9" s="1633" t="s">
        <v>3177</v>
      </c>
      <c r="C9" s="1633" t="s">
        <v>3178</v>
      </c>
      <c r="D9" s="1633">
        <v>25673.07</v>
      </c>
      <c r="E9" s="1633">
        <v>100125</v>
      </c>
      <c r="F9" s="2990" t="s">
        <v>3199</v>
      </c>
      <c r="G9" s="1633" t="s">
        <v>3180</v>
      </c>
      <c r="H9" s="1633" t="s">
        <v>3193</v>
      </c>
      <c r="I9" s="1633">
        <v>39000</v>
      </c>
      <c r="J9" s="1633">
        <v>39000</v>
      </c>
      <c r="K9" s="1633">
        <v>3895.13</v>
      </c>
      <c r="L9" s="1633">
        <f t="shared" si="0"/>
        <v>15191</v>
      </c>
      <c r="M9" s="1633">
        <v>0</v>
      </c>
      <c r="N9" s="1633" t="s">
        <v>3200</v>
      </c>
      <c r="O9" s="1633" t="s">
        <v>3190</v>
      </c>
    </row>
    <row r="10" spans="1:15">
      <c r="A10" s="1633" t="s">
        <v>3201</v>
      </c>
      <c r="B10" s="1633" t="s">
        <v>3177</v>
      </c>
      <c r="C10" s="1633" t="s">
        <v>3178</v>
      </c>
      <c r="D10" s="1633">
        <v>36042</v>
      </c>
      <c r="E10" s="1633">
        <v>100917.6</v>
      </c>
      <c r="F10" s="2990" t="s">
        <v>3202</v>
      </c>
      <c r="G10" s="1633" t="s">
        <v>3180</v>
      </c>
      <c r="H10" s="1633" t="s">
        <v>3193</v>
      </c>
      <c r="I10" s="1633">
        <v>50000</v>
      </c>
      <c r="J10" s="1633">
        <v>72400</v>
      </c>
      <c r="K10" s="1633">
        <v>7174.17</v>
      </c>
      <c r="L10" s="1633">
        <f t="shared" si="0"/>
        <v>20088</v>
      </c>
      <c r="M10" s="1633">
        <v>44.8</v>
      </c>
      <c r="N10" s="1633" t="s">
        <v>3189</v>
      </c>
      <c r="O10" s="1633" t="s">
        <v>3183</v>
      </c>
    </row>
    <row r="11" spans="1:15">
      <c r="A11" s="2991" t="s">
        <v>3285</v>
      </c>
      <c r="B11" s="1633" t="s">
        <v>3177</v>
      </c>
      <c r="C11" s="1633" t="s">
        <v>3178</v>
      </c>
      <c r="D11" s="1633">
        <v>2535.52</v>
      </c>
      <c r="E11" s="1633">
        <v>19016.400000000001</v>
      </c>
      <c r="F11" s="2990" t="s">
        <v>3203</v>
      </c>
      <c r="G11" s="1633" t="s">
        <v>3180</v>
      </c>
      <c r="H11" s="1633" t="s">
        <v>3204</v>
      </c>
      <c r="I11" s="1633">
        <v>3368</v>
      </c>
      <c r="J11" s="1633">
        <v>3368</v>
      </c>
      <c r="K11" s="1633">
        <v>1771.09</v>
      </c>
      <c r="L11" s="1633">
        <f t="shared" si="0"/>
        <v>13283</v>
      </c>
      <c r="M11" s="1633">
        <v>0</v>
      </c>
      <c r="N11" s="1633" t="s">
        <v>3205</v>
      </c>
      <c r="O11" s="1633" t="s">
        <v>3183</v>
      </c>
    </row>
    <row r="12" spans="1:15" s="2997" customFormat="1">
      <c r="A12" s="2996" t="s">
        <v>3283</v>
      </c>
      <c r="B12" s="2997" t="s">
        <v>3177</v>
      </c>
      <c r="C12" s="2997" t="s">
        <v>3206</v>
      </c>
      <c r="D12" s="2997">
        <v>7144.15</v>
      </c>
      <c r="E12" s="2997">
        <v>34363.360000000001</v>
      </c>
      <c r="F12" s="2998" t="s">
        <v>3207</v>
      </c>
      <c r="G12" s="2997" t="s">
        <v>3180</v>
      </c>
      <c r="H12" s="2997" t="s">
        <v>3208</v>
      </c>
      <c r="I12" s="2997">
        <v>2779</v>
      </c>
      <c r="J12" s="2997">
        <v>2779</v>
      </c>
      <c r="K12" s="2997">
        <v>808.71</v>
      </c>
      <c r="L12" s="2997">
        <f t="shared" si="0"/>
        <v>3890</v>
      </c>
      <c r="M12" s="2997">
        <v>0</v>
      </c>
      <c r="N12" s="2997" t="s">
        <v>3209</v>
      </c>
      <c r="O12" s="2997" t="s">
        <v>3183</v>
      </c>
    </row>
    <row r="13" spans="1:15">
      <c r="A13" s="1633" t="s">
        <v>3210</v>
      </c>
      <c r="B13" s="1633" t="s">
        <v>3177</v>
      </c>
      <c r="C13" s="1633" t="s">
        <v>3178</v>
      </c>
      <c r="D13" s="1633">
        <v>67609.210000000006</v>
      </c>
      <c r="E13" s="1633">
        <v>202827.6</v>
      </c>
      <c r="F13" s="2990" t="s">
        <v>3211</v>
      </c>
      <c r="G13" s="1633" t="s">
        <v>3180</v>
      </c>
      <c r="H13" s="1633" t="s">
        <v>3212</v>
      </c>
      <c r="I13" s="1633">
        <v>44970</v>
      </c>
      <c r="J13" s="1633">
        <v>45970</v>
      </c>
      <c r="K13" s="1633">
        <v>2266.46</v>
      </c>
      <c r="L13" s="1633">
        <f t="shared" si="0"/>
        <v>6799</v>
      </c>
      <c r="M13" s="1633">
        <v>2.2200000000000002</v>
      </c>
      <c r="N13" s="1633" t="s">
        <v>3213</v>
      </c>
      <c r="O13" s="1633" t="s">
        <v>3190</v>
      </c>
    </row>
    <row r="14" spans="1:15">
      <c r="A14" s="1633" t="s">
        <v>3214</v>
      </c>
      <c r="B14" s="1633" t="s">
        <v>3177</v>
      </c>
      <c r="C14" s="1633" t="s">
        <v>3178</v>
      </c>
      <c r="D14" s="1633">
        <v>34114.04</v>
      </c>
      <c r="E14" s="1633">
        <v>102342.1</v>
      </c>
      <c r="F14" s="2990" t="s">
        <v>3215</v>
      </c>
      <c r="G14" s="1633" t="s">
        <v>3180</v>
      </c>
      <c r="H14" s="1633" t="s">
        <v>3216</v>
      </c>
      <c r="I14" s="1633" t="s">
        <v>1327</v>
      </c>
      <c r="J14" s="1633">
        <v>22600</v>
      </c>
      <c r="K14" s="1633">
        <v>2208.2800000000002</v>
      </c>
      <c r="L14" s="1633">
        <f t="shared" si="0"/>
        <v>6625</v>
      </c>
      <c r="M14" s="1633" t="s">
        <v>1327</v>
      </c>
      <c r="N14" s="1633" t="s">
        <v>3217</v>
      </c>
      <c r="O14" s="1633" t="s">
        <v>3183</v>
      </c>
    </row>
    <row r="15" spans="1:15">
      <c r="A15" s="1633" t="s">
        <v>3218</v>
      </c>
      <c r="B15" s="1633" t="s">
        <v>3177</v>
      </c>
      <c r="C15" s="1633" t="s">
        <v>3178</v>
      </c>
      <c r="D15" s="1633">
        <v>30688.77</v>
      </c>
      <c r="E15" s="1633">
        <v>107410.7</v>
      </c>
      <c r="F15" s="2990" t="s">
        <v>3192</v>
      </c>
      <c r="G15" s="1633" t="s">
        <v>3180</v>
      </c>
      <c r="H15" s="1633" t="s">
        <v>3219</v>
      </c>
      <c r="I15" s="1633">
        <v>23700</v>
      </c>
      <c r="J15" s="1633">
        <v>23700</v>
      </c>
      <c r="K15" s="1633">
        <v>2206.48</v>
      </c>
      <c r="L15" s="1633">
        <f t="shared" si="0"/>
        <v>7723</v>
      </c>
      <c r="M15" s="1633">
        <v>0</v>
      </c>
      <c r="N15" s="1633" t="s">
        <v>3220</v>
      </c>
      <c r="O15" s="1633" t="s">
        <v>3190</v>
      </c>
    </row>
    <row r="16" spans="1:15">
      <c r="A16" s="1633" t="s">
        <v>3221</v>
      </c>
      <c r="B16" s="1633" t="s">
        <v>3177</v>
      </c>
      <c r="C16" s="1633" t="s">
        <v>3178</v>
      </c>
      <c r="D16" s="1633">
        <v>49197.48</v>
      </c>
      <c r="E16" s="1633">
        <v>137752.9</v>
      </c>
      <c r="F16" s="2990" t="s">
        <v>3202</v>
      </c>
      <c r="G16" s="1633" t="s">
        <v>3180</v>
      </c>
      <c r="H16" s="1633" t="s">
        <v>3219</v>
      </c>
      <c r="I16" s="1633">
        <v>34100</v>
      </c>
      <c r="J16" s="1633">
        <v>34100</v>
      </c>
      <c r="K16" s="1633">
        <v>2475.44</v>
      </c>
      <c r="L16" s="1633">
        <f t="shared" si="0"/>
        <v>6931</v>
      </c>
      <c r="M16" s="1633">
        <v>0</v>
      </c>
      <c r="N16" s="1633" t="s">
        <v>3222</v>
      </c>
      <c r="O16" s="1633" t="s">
        <v>3190</v>
      </c>
    </row>
    <row r="17" spans="1:15">
      <c r="A17" s="2991" t="s">
        <v>3280</v>
      </c>
      <c r="B17" s="1633" t="s">
        <v>3177</v>
      </c>
      <c r="C17" s="1633" t="s">
        <v>3178</v>
      </c>
      <c r="D17" s="1633">
        <v>63843.21</v>
      </c>
      <c r="E17" s="1633">
        <v>217066.9</v>
      </c>
      <c r="F17" s="2990" t="s">
        <v>3223</v>
      </c>
      <c r="G17" s="1633" t="s">
        <v>3224</v>
      </c>
      <c r="H17" s="1633" t="s">
        <v>3225</v>
      </c>
      <c r="I17" s="1633">
        <v>48800</v>
      </c>
      <c r="J17" s="1633">
        <v>48800</v>
      </c>
      <c r="K17" s="1633">
        <v>2248.15</v>
      </c>
      <c r="L17" s="1633">
        <f t="shared" si="0"/>
        <v>7644</v>
      </c>
      <c r="M17" s="1633">
        <v>0</v>
      </c>
      <c r="N17" s="1633" t="s">
        <v>3226</v>
      </c>
      <c r="O17" s="1633" t="s">
        <v>3190</v>
      </c>
    </row>
    <row r="18" spans="1:15">
      <c r="A18" s="2991" t="s">
        <v>3284</v>
      </c>
      <c r="B18" s="1633" t="s">
        <v>3177</v>
      </c>
      <c r="C18" s="1633" t="s">
        <v>3178</v>
      </c>
      <c r="D18" s="1633">
        <v>30910.14</v>
      </c>
      <c r="E18" s="1633">
        <v>120858.6</v>
      </c>
      <c r="F18" s="2990" t="s">
        <v>3227</v>
      </c>
      <c r="G18" s="1633" t="s">
        <v>3224</v>
      </c>
      <c r="H18" s="1633" t="s">
        <v>3228</v>
      </c>
      <c r="I18" s="1633">
        <v>9810</v>
      </c>
      <c r="J18" s="1633">
        <v>9810</v>
      </c>
      <c r="K18" s="1633">
        <v>811.69</v>
      </c>
      <c r="L18" s="1633">
        <f t="shared" si="0"/>
        <v>3174</v>
      </c>
      <c r="M18" s="1633">
        <v>0</v>
      </c>
      <c r="N18" s="1633" t="s">
        <v>3229</v>
      </c>
      <c r="O18" s="1633" t="s">
        <v>3190</v>
      </c>
    </row>
    <row r="19" spans="1:15" s="2993" customFormat="1">
      <c r="A19" s="2995" t="s">
        <v>3284</v>
      </c>
      <c r="B19" s="2993" t="s">
        <v>3177</v>
      </c>
      <c r="C19" s="2993" t="s">
        <v>3178</v>
      </c>
      <c r="D19" s="2993">
        <v>61909.65</v>
      </c>
      <c r="E19" s="2993">
        <v>268687.90000000002</v>
      </c>
      <c r="F19" s="2994" t="s">
        <v>3230</v>
      </c>
      <c r="G19" s="2993" t="s">
        <v>3224</v>
      </c>
      <c r="H19" s="2993" t="s">
        <v>3228</v>
      </c>
      <c r="I19" s="2993">
        <v>20953</v>
      </c>
      <c r="J19" s="2993">
        <v>20953</v>
      </c>
      <c r="K19" s="2993">
        <v>779.83</v>
      </c>
      <c r="L19" s="2993">
        <f t="shared" si="0"/>
        <v>3384</v>
      </c>
      <c r="M19" s="2993">
        <v>0</v>
      </c>
      <c r="N19" s="2993" t="s">
        <v>3231</v>
      </c>
      <c r="O19" s="2993" t="s">
        <v>3190</v>
      </c>
    </row>
    <row r="20" spans="1:15">
      <c r="A20" s="1633" t="s">
        <v>3232</v>
      </c>
      <c r="B20" s="1633" t="s">
        <v>3177</v>
      </c>
      <c r="C20" s="1633" t="s">
        <v>3178</v>
      </c>
      <c r="D20" s="1633">
        <v>78116.039999999994</v>
      </c>
      <c r="E20" s="1633">
        <v>185058.3</v>
      </c>
      <c r="F20" s="2990" t="s">
        <v>3233</v>
      </c>
      <c r="G20" s="1633" t="s">
        <v>3224</v>
      </c>
      <c r="H20" s="1633" t="s">
        <v>3234</v>
      </c>
      <c r="I20" s="1633">
        <v>44600</v>
      </c>
      <c r="J20" s="1633">
        <v>44600</v>
      </c>
      <c r="K20" s="1633">
        <v>2410.0500000000002</v>
      </c>
      <c r="L20" s="1633">
        <f t="shared" si="0"/>
        <v>5709</v>
      </c>
      <c r="M20" s="1633">
        <v>0</v>
      </c>
      <c r="N20" s="1633" t="s">
        <v>3235</v>
      </c>
      <c r="O20" s="1633" t="s">
        <v>3183</v>
      </c>
    </row>
    <row r="21" spans="1:15">
      <c r="A21" s="1633" t="s">
        <v>3236</v>
      </c>
      <c r="B21" s="1633" t="s">
        <v>3177</v>
      </c>
      <c r="C21" s="1633" t="s">
        <v>3206</v>
      </c>
      <c r="D21" s="1633">
        <v>39093.129999999997</v>
      </c>
      <c r="E21" s="1633">
        <v>144644.6</v>
      </c>
      <c r="F21" s="2990" t="s">
        <v>3237</v>
      </c>
      <c r="G21" s="1633" t="s">
        <v>3224</v>
      </c>
      <c r="H21" s="1633" t="s">
        <v>3234</v>
      </c>
      <c r="I21" s="1633">
        <v>5880</v>
      </c>
      <c r="J21" s="1633">
        <v>5880</v>
      </c>
      <c r="K21" s="1633">
        <v>406.5</v>
      </c>
      <c r="L21" s="1633">
        <f t="shared" si="0"/>
        <v>1504</v>
      </c>
      <c r="M21" s="1633">
        <v>0</v>
      </c>
      <c r="N21" s="1633" t="s">
        <v>3238</v>
      </c>
      <c r="O21" s="1633" t="s">
        <v>3190</v>
      </c>
    </row>
    <row r="22" spans="1:15">
      <c r="A22" s="1633" t="s">
        <v>3236</v>
      </c>
      <c r="B22" s="1633" t="s">
        <v>3177</v>
      </c>
      <c r="C22" s="1633" t="s">
        <v>3206</v>
      </c>
      <c r="D22" s="1633">
        <v>48436.639999999999</v>
      </c>
      <c r="E22" s="1633">
        <v>179215.6</v>
      </c>
      <c r="F22" s="2990" t="s">
        <v>3237</v>
      </c>
      <c r="G22" s="1633" t="s">
        <v>3224</v>
      </c>
      <c r="H22" s="1633" t="s">
        <v>3234</v>
      </c>
      <c r="I22" s="1633">
        <v>4580</v>
      </c>
      <c r="J22" s="1633">
        <v>4580</v>
      </c>
      <c r="K22" s="1633">
        <v>255.56</v>
      </c>
      <c r="L22" s="1633">
        <f t="shared" si="0"/>
        <v>946</v>
      </c>
      <c r="M22" s="1633">
        <v>0</v>
      </c>
      <c r="N22" s="1633" t="s">
        <v>3238</v>
      </c>
      <c r="O22" s="1633" t="s">
        <v>3183</v>
      </c>
    </row>
    <row r="23" spans="1:15">
      <c r="A23" s="1633" t="s">
        <v>3239</v>
      </c>
      <c r="B23" s="1633" t="s">
        <v>3177</v>
      </c>
      <c r="C23" s="1633" t="s">
        <v>3178</v>
      </c>
      <c r="D23" s="1633">
        <v>72800.570000000007</v>
      </c>
      <c r="E23" s="1633">
        <v>315362.5</v>
      </c>
      <c r="F23" s="2990" t="s">
        <v>3240</v>
      </c>
      <c r="G23" s="1633" t="s">
        <v>3224</v>
      </c>
      <c r="H23" s="1633" t="s">
        <v>3241</v>
      </c>
      <c r="I23" s="1633" t="s">
        <v>1327</v>
      </c>
      <c r="J23" s="1633">
        <v>290000</v>
      </c>
      <c r="K23" s="1633">
        <v>9195.77</v>
      </c>
      <c r="L23" s="1633">
        <f t="shared" si="0"/>
        <v>39835</v>
      </c>
      <c r="M23" s="1633" t="s">
        <v>1327</v>
      </c>
      <c r="N23" s="1633" t="s">
        <v>3242</v>
      </c>
      <c r="O23" s="1633" t="s">
        <v>3190</v>
      </c>
    </row>
    <row r="24" spans="1:15">
      <c r="A24" s="1633" t="s">
        <v>3243</v>
      </c>
      <c r="B24" s="1633" t="s">
        <v>3177</v>
      </c>
      <c r="C24" s="1633" t="s">
        <v>3206</v>
      </c>
      <c r="D24" s="1633">
        <v>53010.04</v>
      </c>
      <c r="E24" s="1633">
        <v>185535.1</v>
      </c>
      <c r="F24" s="2990" t="s">
        <v>3244</v>
      </c>
      <c r="G24" s="1633" t="s">
        <v>3224</v>
      </c>
      <c r="H24" s="1633" t="s">
        <v>3241</v>
      </c>
      <c r="I24" s="1633" t="s">
        <v>1327</v>
      </c>
      <c r="J24" s="1633">
        <v>74380</v>
      </c>
      <c r="K24" s="1633">
        <v>4008.94</v>
      </c>
      <c r="L24" s="1633">
        <f t="shared" si="0"/>
        <v>14031</v>
      </c>
      <c r="M24" s="1633" t="s">
        <v>1327</v>
      </c>
      <c r="N24" s="1633" t="s">
        <v>3245</v>
      </c>
      <c r="O24" s="1633" t="s">
        <v>3190</v>
      </c>
    </row>
    <row r="25" spans="1:15">
      <c r="A25" s="1633" t="s">
        <v>3246</v>
      </c>
      <c r="B25" s="1633" t="s">
        <v>3177</v>
      </c>
      <c r="C25" s="1633" t="s">
        <v>3206</v>
      </c>
      <c r="D25" s="1633">
        <v>5590.16</v>
      </c>
      <c r="E25" s="1633">
        <v>18503.43</v>
      </c>
      <c r="F25" s="2990">
        <v>3.31</v>
      </c>
      <c r="G25" s="1633" t="s">
        <v>3224</v>
      </c>
      <c r="H25" s="1633" t="s">
        <v>3247</v>
      </c>
      <c r="I25" s="1633">
        <v>1559</v>
      </c>
      <c r="J25" s="1633">
        <v>1559</v>
      </c>
      <c r="K25" s="1633">
        <v>842.54</v>
      </c>
      <c r="L25" s="1633">
        <f t="shared" si="0"/>
        <v>2789</v>
      </c>
      <c r="M25" s="1633">
        <v>0</v>
      </c>
      <c r="N25" s="1633" t="s">
        <v>3248</v>
      </c>
      <c r="O25" s="1633" t="s">
        <v>3183</v>
      </c>
    </row>
    <row r="26" spans="1:15">
      <c r="A26" s="1633" t="s">
        <v>3249</v>
      </c>
      <c r="B26" s="1633" t="s">
        <v>3177</v>
      </c>
      <c r="C26" s="1633" t="s">
        <v>3206</v>
      </c>
      <c r="D26" s="1633">
        <v>17085.43</v>
      </c>
      <c r="E26" s="1633">
        <v>97045.24</v>
      </c>
      <c r="F26" s="2990">
        <v>5.68</v>
      </c>
      <c r="G26" s="1633" t="s">
        <v>3224</v>
      </c>
      <c r="H26" s="1633" t="s">
        <v>3247</v>
      </c>
      <c r="I26" s="1633">
        <v>6018</v>
      </c>
      <c r="J26" s="1633">
        <v>6018</v>
      </c>
      <c r="K26" s="1633">
        <v>620.12</v>
      </c>
      <c r="L26" s="1633">
        <f t="shared" si="0"/>
        <v>3522</v>
      </c>
      <c r="M26" s="1633">
        <v>0</v>
      </c>
      <c r="N26" s="1633" t="s">
        <v>3250</v>
      </c>
      <c r="O26" s="1633" t="s">
        <v>3183</v>
      </c>
    </row>
    <row r="27" spans="1:15">
      <c r="A27" s="1633" t="s">
        <v>3251</v>
      </c>
      <c r="B27" s="1633" t="s">
        <v>3177</v>
      </c>
      <c r="C27" s="1633" t="s">
        <v>3206</v>
      </c>
      <c r="D27" s="1633">
        <v>24149.599999999999</v>
      </c>
      <c r="E27" s="1633">
        <v>79693.679999999993</v>
      </c>
      <c r="F27" s="2990" t="s">
        <v>3252</v>
      </c>
      <c r="G27" s="1633" t="s">
        <v>3224</v>
      </c>
      <c r="H27" s="1633" t="s">
        <v>3253</v>
      </c>
      <c r="I27" s="1633">
        <v>17500</v>
      </c>
      <c r="J27" s="1633">
        <v>17500</v>
      </c>
      <c r="K27" s="1633">
        <v>2195.9</v>
      </c>
      <c r="L27" s="1633">
        <f t="shared" si="0"/>
        <v>7246</v>
      </c>
      <c r="M27" s="1633">
        <v>0</v>
      </c>
      <c r="N27" s="1633" t="s">
        <v>3254</v>
      </c>
      <c r="O27" s="1633" t="s">
        <v>3190</v>
      </c>
    </row>
    <row r="28" spans="1:15" s="2997" customFormat="1">
      <c r="A28" s="2996" t="s">
        <v>3287</v>
      </c>
      <c r="B28" s="2997" t="s">
        <v>3177</v>
      </c>
      <c r="C28" s="2997" t="s">
        <v>3206</v>
      </c>
      <c r="D28" s="2997">
        <v>30000.2</v>
      </c>
      <c r="E28" s="2997">
        <v>105000.7</v>
      </c>
      <c r="F28" s="2998" t="s">
        <v>3244</v>
      </c>
      <c r="G28" s="2997" t="s">
        <v>3224</v>
      </c>
      <c r="H28" s="2997" t="s">
        <v>3255</v>
      </c>
      <c r="I28" s="2997">
        <v>14972</v>
      </c>
      <c r="J28" s="2997">
        <v>14972</v>
      </c>
      <c r="K28" s="2997">
        <v>1425.9</v>
      </c>
      <c r="L28" s="2997">
        <f t="shared" si="0"/>
        <v>4991</v>
      </c>
      <c r="M28" s="2997">
        <v>0</v>
      </c>
      <c r="N28" s="2997" t="s">
        <v>3256</v>
      </c>
      <c r="O28" s="2997" t="s">
        <v>3190</v>
      </c>
    </row>
    <row r="29" spans="1:15">
      <c r="A29" s="1633" t="s">
        <v>3257</v>
      </c>
      <c r="B29" s="1633" t="s">
        <v>3177</v>
      </c>
      <c r="C29" s="1633" t="s">
        <v>3206</v>
      </c>
      <c r="D29" s="1633">
        <v>53119.63</v>
      </c>
      <c r="E29" s="1633">
        <v>148735</v>
      </c>
      <c r="F29" s="2990" t="s">
        <v>3258</v>
      </c>
      <c r="G29" s="1633" t="s">
        <v>3224</v>
      </c>
      <c r="H29" s="1633" t="s">
        <v>3259</v>
      </c>
      <c r="I29" s="1633">
        <v>36660</v>
      </c>
      <c r="J29" s="1633">
        <v>36660</v>
      </c>
      <c r="K29" s="1633">
        <v>2464.7800000000002</v>
      </c>
      <c r="L29" s="1633">
        <f t="shared" si="0"/>
        <v>6901</v>
      </c>
      <c r="M29" s="1633">
        <v>0</v>
      </c>
      <c r="N29" s="1633" t="s">
        <v>3260</v>
      </c>
      <c r="O29" s="1633" t="s">
        <v>3190</v>
      </c>
    </row>
    <row r="30" spans="1:15">
      <c r="A30" s="1633" t="s">
        <v>3261</v>
      </c>
      <c r="B30" s="1633" t="s">
        <v>3177</v>
      </c>
      <c r="C30" s="1633" t="s">
        <v>3206</v>
      </c>
      <c r="D30" s="1633">
        <v>51111.82</v>
      </c>
      <c r="E30" s="1633">
        <v>150779.9</v>
      </c>
      <c r="F30" s="2990" t="s">
        <v>3262</v>
      </c>
      <c r="G30" s="1633" t="s">
        <v>3224</v>
      </c>
      <c r="H30" s="1633" t="s">
        <v>3263</v>
      </c>
      <c r="I30" s="1633">
        <v>31705</v>
      </c>
      <c r="J30" s="1633">
        <v>31705</v>
      </c>
      <c r="K30" s="1633">
        <v>2102.73</v>
      </c>
      <c r="L30" s="1633">
        <f t="shared" si="0"/>
        <v>6203</v>
      </c>
      <c r="M30" s="1633">
        <v>0</v>
      </c>
      <c r="N30" s="1633" t="s">
        <v>3264</v>
      </c>
      <c r="O30" s="1633" t="s">
        <v>3190</v>
      </c>
    </row>
    <row r="31" spans="1:15">
      <c r="A31" s="2991" t="s">
        <v>3288</v>
      </c>
      <c r="B31" s="1633" t="s">
        <v>3177</v>
      </c>
      <c r="C31" s="1633" t="s">
        <v>3206</v>
      </c>
      <c r="D31" s="1633">
        <v>66811.09</v>
      </c>
      <c r="E31" s="1633">
        <v>286619.59999999998</v>
      </c>
      <c r="F31" s="2990" t="s">
        <v>3265</v>
      </c>
      <c r="G31" s="1633" t="s">
        <v>3224</v>
      </c>
      <c r="H31" s="1633" t="s">
        <v>3266</v>
      </c>
      <c r="I31" s="1633">
        <v>30760</v>
      </c>
      <c r="J31" s="1633">
        <v>30760</v>
      </c>
      <c r="K31" s="1633">
        <v>1073.2</v>
      </c>
      <c r="L31" s="1633">
        <f t="shared" si="0"/>
        <v>4604</v>
      </c>
      <c r="M31" s="1633">
        <v>0</v>
      </c>
      <c r="N31" s="1633" t="s">
        <v>3267</v>
      </c>
      <c r="O31" s="1633" t="s">
        <v>3268</v>
      </c>
    </row>
    <row r="32" spans="1:15">
      <c r="A32" s="1633" t="s">
        <v>3269</v>
      </c>
      <c r="B32" s="1633" t="s">
        <v>3177</v>
      </c>
      <c r="C32" s="1633" t="s">
        <v>3206</v>
      </c>
      <c r="D32" s="1633">
        <v>72097.3</v>
      </c>
      <c r="E32" s="1633">
        <v>337415.4</v>
      </c>
      <c r="F32" s="2990" t="s">
        <v>3270</v>
      </c>
      <c r="G32" s="1633" t="s">
        <v>3224</v>
      </c>
      <c r="H32" s="1633" t="s">
        <v>3266</v>
      </c>
      <c r="I32" s="1633">
        <v>35780</v>
      </c>
      <c r="J32" s="1633">
        <v>35780</v>
      </c>
      <c r="K32" s="1633">
        <v>1060.4100000000001</v>
      </c>
      <c r="L32" s="1633">
        <f t="shared" si="0"/>
        <v>4963</v>
      </c>
      <c r="M32" s="1633">
        <v>0</v>
      </c>
      <c r="N32" s="1633" t="s">
        <v>3267</v>
      </c>
      <c r="O32" s="1633" t="s">
        <v>3190</v>
      </c>
    </row>
    <row r="33" spans="1:15">
      <c r="A33" s="1633" t="s">
        <v>3271</v>
      </c>
      <c r="B33" s="1633" t="s">
        <v>3177</v>
      </c>
      <c r="C33" s="1633" t="s">
        <v>3178</v>
      </c>
      <c r="D33" s="1633">
        <v>7457.22</v>
      </c>
      <c r="E33" s="1633">
        <v>40865.57</v>
      </c>
      <c r="F33" s="2990">
        <v>5.48</v>
      </c>
      <c r="G33" s="1633" t="s">
        <v>3224</v>
      </c>
      <c r="H33" s="1633" t="s">
        <v>3272</v>
      </c>
      <c r="I33" s="1633">
        <v>1450</v>
      </c>
      <c r="J33" s="1633">
        <v>1450</v>
      </c>
      <c r="K33" s="1633">
        <v>354.81</v>
      </c>
      <c r="L33" s="1633">
        <f t="shared" si="0"/>
        <v>1944</v>
      </c>
      <c r="M33" s="1633">
        <v>0</v>
      </c>
      <c r="N33" s="1633" t="s">
        <v>3273</v>
      </c>
      <c r="O33" s="1633" t="s">
        <v>3183</v>
      </c>
    </row>
    <row r="34" spans="1:15">
      <c r="A34" s="1633" t="s">
        <v>3274</v>
      </c>
      <c r="B34" s="1633" t="s">
        <v>3177</v>
      </c>
      <c r="C34" s="1633" t="s">
        <v>3178</v>
      </c>
      <c r="D34" s="1633">
        <v>49043.75</v>
      </c>
      <c r="E34" s="1633">
        <v>162562</v>
      </c>
      <c r="F34" s="2990" t="s">
        <v>3275</v>
      </c>
      <c r="G34" s="1633" t="s">
        <v>3224</v>
      </c>
      <c r="H34" s="1633" t="s">
        <v>3272</v>
      </c>
      <c r="I34" s="1633">
        <v>7461</v>
      </c>
      <c r="J34" s="1633">
        <v>7461</v>
      </c>
      <c r="K34" s="1633">
        <v>458.95</v>
      </c>
      <c r="L34" s="1633">
        <f t="shared" si="0"/>
        <v>1521</v>
      </c>
      <c r="M34" s="1633">
        <v>0</v>
      </c>
      <c r="N34" s="1633" t="s">
        <v>3182</v>
      </c>
      <c r="O34" s="1633" t="s">
        <v>3183</v>
      </c>
    </row>
    <row r="35" spans="1:15">
      <c r="A35" s="1633" t="s">
        <v>3276</v>
      </c>
      <c r="B35" s="1633" t="s">
        <v>3177</v>
      </c>
      <c r="C35" s="1633" t="s">
        <v>3178</v>
      </c>
      <c r="D35" s="1633">
        <v>7890.4</v>
      </c>
      <c r="E35" s="1633">
        <v>45764.32</v>
      </c>
      <c r="F35" s="2990" t="s">
        <v>3277</v>
      </c>
      <c r="G35" s="1633" t="s">
        <v>3224</v>
      </c>
      <c r="H35" s="1633" t="s">
        <v>3278</v>
      </c>
      <c r="I35" s="1633">
        <v>4183</v>
      </c>
      <c r="J35" s="1633">
        <v>4183</v>
      </c>
      <c r="K35" s="1633">
        <v>914.02</v>
      </c>
      <c r="L35" s="1633">
        <f t="shared" si="0"/>
        <v>5301</v>
      </c>
      <c r="M35" s="1633">
        <v>0</v>
      </c>
      <c r="N35" s="1633" t="s">
        <v>3279</v>
      </c>
      <c r="O35" s="1633" t="s">
        <v>3183</v>
      </c>
    </row>
    <row r="72" spans="13:13">
      <c r="M72"/>
    </row>
    <row r="85" spans="12:12">
      <c r="L85" s="2991" t="s">
        <v>3286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24" sqref="E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2461</v>
      </c>
      <c r="B1" s="1579"/>
      <c r="C1" s="1580"/>
      <c r="D1" s="1578"/>
      <c r="E1" s="319"/>
      <c r="F1" s="319"/>
      <c r="G1" s="1579"/>
      <c r="H1" s="319"/>
      <c r="I1" s="319"/>
      <c r="J1" s="319"/>
      <c r="K1" s="319">
        <f>MATCH(C1,'数据-取费表'!A6:A16,0)+5</f>
        <v>8</v>
      </c>
    </row>
    <row r="2" spans="1:33" ht="18" customHeight="1">
      <c r="A2" s="244" t="s">
        <v>2329</v>
      </c>
      <c r="B2" s="247">
        <f ca="1">C32</f>
        <v>32310</v>
      </c>
      <c r="C2" s="319" t="s">
        <v>2462</v>
      </c>
      <c r="D2" s="319"/>
      <c r="E2" s="319"/>
      <c r="F2" s="319"/>
      <c r="G2" s="319"/>
      <c r="H2" s="319"/>
      <c r="I2" s="319"/>
      <c r="J2" s="319"/>
      <c r="K2" s="319"/>
    </row>
    <row r="3" spans="1:33" ht="18" customHeight="1" thickBot="1">
      <c r="A3" s="246" t="s">
        <v>2331</v>
      </c>
      <c r="B3" s="247">
        <f ca="1">ROUND(B2*10000/IF(C1="",'数据-汇总表'!E3,INDIRECT("'数据-取费表'!K"&amp;$K$1)),0)</f>
        <v>17493</v>
      </c>
      <c r="C3" s="319" t="s">
        <v>2463</v>
      </c>
      <c r="D3" s="319"/>
      <c r="E3" s="319"/>
      <c r="F3" s="319"/>
      <c r="G3" s="319"/>
      <c r="H3" s="319"/>
      <c r="I3" s="319"/>
      <c r="J3" s="319"/>
      <c r="K3" s="319"/>
    </row>
    <row r="4" spans="1:33" s="955" customFormat="1" ht="16.5" customHeight="1">
      <c r="A4" s="952" t="s">
        <v>2464</v>
      </c>
      <c r="B4" s="953"/>
      <c r="C4" s="995">
        <f>SUM(C8:K8)</f>
        <v>36173</v>
      </c>
      <c r="D4" s="953"/>
      <c r="E4" s="953"/>
      <c r="F4" s="953"/>
      <c r="G4" s="953"/>
      <c r="H4" s="953"/>
      <c r="I4" s="953"/>
      <c r="J4" s="953"/>
      <c r="K4" s="954"/>
    </row>
    <row r="5" spans="1:33" s="959" customFormat="1" ht="15">
      <c r="A5" s="956" t="s">
        <v>2465</v>
      </c>
      <c r="B5" s="957" t="s">
        <v>2466</v>
      </c>
      <c r="C5" s="2554" t="s">
        <v>3061</v>
      </c>
      <c r="D5" s="2554" t="s">
        <v>1373</v>
      </c>
      <c r="E5" s="2554"/>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f>[2]假设开发法!$E$6</f>
        <v>9893.5612272382405</v>
      </c>
      <c r="D6" s="961">
        <f>商业案例!N11</f>
        <v>20263.25</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1209.67</v>
      </c>
      <c r="D7" s="320">
        <f>SUMIF('数据-汇总表'!$C19:$C33,假设开发法!D5,'数据-汇总表'!$E19:$E33)</f>
        <v>17260.72</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2470</v>
      </c>
      <c r="B8" s="176" t="s">
        <v>2471</v>
      </c>
      <c r="C8" s="3009">
        <f>ROUND(C6*C7/10000,0)</f>
        <v>1197</v>
      </c>
      <c r="D8" s="3009">
        <f>ROUND(D6*D7/10000,0)</f>
        <v>34976</v>
      </c>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1330</v>
      </c>
      <c r="B11" s="971" t="s">
        <v>2479</v>
      </c>
      <c r="C11" s="322">
        <f ca="1">IF(C1="",'数据-取费表'!P16,INDIRECT("'数据-取费表'!p"&amp;$K$1)+INDIRECT("'数据-取费表'!ar"&amp;$K$1))</f>
        <v>186</v>
      </c>
      <c r="D11" s="972"/>
      <c r="E11" s="374"/>
      <c r="F11" s="973">
        <f ca="1">1-IF('数据-取费表'!B24=0,1,IF(C1="",'数据-取费表'!N16,INDIRECT("'数据-取费表'!n"&amp;$K$1)))</f>
        <v>5.0000000000000044E-2</v>
      </c>
      <c r="G11" s="8"/>
      <c r="H11" s="967"/>
      <c r="I11" s="967"/>
      <c r="J11" s="967"/>
      <c r="K11" s="968"/>
    </row>
    <row r="12" spans="1:33" s="974" customFormat="1" ht="13.5" customHeight="1">
      <c r="A12" s="970" t="s">
        <v>1331</v>
      </c>
      <c r="B12" s="971" t="s">
        <v>2480</v>
      </c>
      <c r="C12" s="24">
        <f ca="1">ROUND(C11*F12,0)</f>
        <v>6</v>
      </c>
      <c r="D12" s="972"/>
      <c r="E12" s="374"/>
      <c r="F12" s="975">
        <f>'数据-取费表'!B33</f>
        <v>0.03</v>
      </c>
      <c r="G12" s="8" t="s">
        <v>2481</v>
      </c>
      <c r="H12" s="967"/>
      <c r="I12" s="967"/>
      <c r="J12" s="967"/>
      <c r="K12" s="968"/>
    </row>
    <row r="13" spans="1:33" s="974" customFormat="1" ht="13.5" customHeight="1">
      <c r="A13" s="970" t="s">
        <v>1332</v>
      </c>
      <c r="B13" s="971" t="s">
        <v>2482</v>
      </c>
      <c r="C13" s="24">
        <f ca="1">ROUND(IF(C1="",SUMIF('数据-取费表'!C:C,"住宅",'数据-取费表'!P:P)*F13,IF(INDIRECT("'数据-取费表'!c"&amp;$K$1)="住宅",INDIRECT("'数据-取费表'!P"&amp;$K$1)*F13,0)),0)</f>
        <v>1</v>
      </c>
      <c r="D13" s="1032"/>
      <c r="E13" s="374"/>
      <c r="F13" s="975">
        <f>'数据-取费表'!B34</f>
        <v>0.05</v>
      </c>
      <c r="G13" s="8" t="s">
        <v>2483</v>
      </c>
      <c r="H13" s="967"/>
      <c r="I13" s="967"/>
      <c r="J13" s="967"/>
      <c r="K13" s="968"/>
    </row>
    <row r="14" spans="1:33" s="976" customFormat="1" ht="13.5" customHeight="1">
      <c r="A14" s="970" t="s">
        <v>1333</v>
      </c>
      <c r="B14" s="971" t="s">
        <v>2484</v>
      </c>
      <c r="C14" s="24">
        <f ca="1">ROUND(D14*E14*F11/10000,0)</f>
        <v>18</v>
      </c>
      <c r="D14" s="1032">
        <f ca="1">IF(C1="",'数据-汇总表'!E3,INDIRECT("'数据-取费表'!K"&amp;$K$1)+INDIRECT("'数据-取费表'!S"&amp;$K$1))</f>
        <v>18470.39</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2486</v>
      </c>
      <c r="C15" s="982">
        <f ca="1">ROUND(C11*F15,0)</f>
        <v>3</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214</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18470.39</v>
      </c>
      <c r="E17" s="24">
        <f>'数据-取费表'!B32</f>
        <v>0</v>
      </c>
      <c r="F17" s="977"/>
      <c r="G17" s="139" t="s">
        <v>2490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2491</v>
      </c>
      <c r="C18" s="3012">
        <f ca="1">C19+C20-IF(C1="",'数据-取费表'!B29,IF(G18="已全部缴纳",C19+C20,H18))</f>
        <v>0</v>
      </c>
      <c r="D18" s="1032"/>
      <c r="E18" s="24"/>
      <c r="F18" s="975"/>
      <c r="G18" s="2556"/>
      <c r="H18" s="1575">
        <v>443</v>
      </c>
      <c r="I18" s="2557" t="s">
        <v>2492</v>
      </c>
      <c r="J18" s="978"/>
      <c r="K18" s="979"/>
    </row>
    <row r="19" spans="1:33" s="974" customFormat="1" ht="13.5" customHeight="1">
      <c r="A19" s="970" t="s">
        <v>805</v>
      </c>
      <c r="B19" s="971" t="s">
        <v>2493</v>
      </c>
      <c r="C19" s="24">
        <f ca="1">ROUND(D19*E19/10000,0)</f>
        <v>29</v>
      </c>
      <c r="D19" s="1032">
        <f ca="1">IF(C1="",'数据-汇总表'!E5,IF(INDIRECT("'数据-取费表'!c"&amp;$K$1)="住宅",INDIRECT("'数据-取费表'!k"&amp;$K$1),0))</f>
        <v>1209.67</v>
      </c>
      <c r="E19" s="24">
        <f>'数据-取费表'!B27</f>
        <v>240</v>
      </c>
      <c r="F19" s="975"/>
      <c r="G19" s="15"/>
      <c r="H19" s="1577"/>
      <c r="I19" s="980"/>
      <c r="J19" s="980"/>
      <c r="K19" s="981"/>
    </row>
    <row r="20" spans="1:33" s="974" customFormat="1" ht="13.5" customHeight="1">
      <c r="A20" s="970" t="s">
        <v>806</v>
      </c>
      <c r="B20" s="971" t="s">
        <v>2494</v>
      </c>
      <c r="C20" s="24">
        <f ca="1">ROUND(D20*E20/10000,0)</f>
        <v>414</v>
      </c>
      <c r="D20" s="1032">
        <f ca="1">IF(C1="",'数据-汇总表'!E6,IF(INDIRECT("'数据-取费表'!c"&amp;$K$1)="住宅",INDIRECT("'数据-取费表'!s"&amp;$K$1),INDIRECT("'数据-取费表'!k"&amp;$K$1)+INDIRECT("'数据-取费表'!s"&amp;$K$1)))</f>
        <v>17260.72</v>
      </c>
      <c r="E20" s="24">
        <f>'数据-取费表'!B28</f>
        <v>240</v>
      </c>
      <c r="F20" s="975"/>
      <c r="G20" s="15"/>
      <c r="H20" s="980"/>
      <c r="I20" s="980"/>
      <c r="J20" s="980"/>
      <c r="K20" s="981"/>
    </row>
    <row r="21" spans="1:33" s="974" customFormat="1" ht="13.5" customHeight="1">
      <c r="A21" s="960" t="s">
        <v>802</v>
      </c>
      <c r="B21" s="984" t="s">
        <v>2495</v>
      </c>
      <c r="C21" s="985">
        <f ca="1">C16+C17+C18</f>
        <v>214</v>
      </c>
      <c r="D21" s="986"/>
      <c r="E21" s="324"/>
      <c r="F21" s="324"/>
      <c r="G21" s="139" t="s">
        <v>2496</v>
      </c>
      <c r="H21" s="978"/>
      <c r="I21" s="978"/>
      <c r="J21" s="978"/>
      <c r="K21" s="979"/>
    </row>
    <row r="22" spans="1:33" s="974" customFormat="1" ht="13.5" customHeight="1">
      <c r="A22" s="960" t="s">
        <v>2468</v>
      </c>
      <c r="B22" s="984" t="s">
        <v>2497</v>
      </c>
      <c r="C22" s="985">
        <f ca="1">ROUND(C21*F22,0)</f>
        <v>4</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36</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1</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9.5999999999999992E-3</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1</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2508</v>
      </c>
      <c r="B28" s="2559" t="s">
        <v>2509</v>
      </c>
      <c r="C28" s="330">
        <f ca="1">C30</f>
        <v>51</v>
      </c>
      <c r="D28" s="323">
        <f ca="1">C29</f>
        <v>1.18E-2</v>
      </c>
      <c r="E28" s="325" t="s">
        <v>15</v>
      </c>
      <c r="F28" s="331">
        <f ca="1">IF(C1="",'数据-取费表'!Q16,INDIRECT("'数据-取费表'!q"&amp;$K$1))</f>
        <v>0.2</v>
      </c>
      <c r="G28" s="988"/>
      <c r="H28" s="989"/>
      <c r="I28" s="989"/>
      <c r="J28" s="989"/>
      <c r="K28" s="990"/>
    </row>
    <row r="29" spans="1:33" s="334" customFormat="1" ht="13.5" customHeight="1">
      <c r="A29" s="970" t="s">
        <v>803</v>
      </c>
      <c r="B29" s="993" t="s">
        <v>2510</v>
      </c>
      <c r="C29" s="327">
        <f ca="1">ROUND((1+C24)*F28*'数据-取费表'!B24/'数据-取费表'!B20,4)</f>
        <v>1.18E-2</v>
      </c>
      <c r="D29" s="327"/>
      <c r="E29" s="328"/>
      <c r="F29" s="333"/>
      <c r="G29" s="139" t="s">
        <v>2511</v>
      </c>
      <c r="H29" s="978"/>
      <c r="I29" s="978"/>
      <c r="J29" s="978"/>
      <c r="K29" s="979"/>
    </row>
    <row r="30" spans="1:33" s="334" customFormat="1" ht="13.5" customHeight="1">
      <c r="A30" s="970" t="s">
        <v>804</v>
      </c>
      <c r="B30" s="993" t="s">
        <v>2512</v>
      </c>
      <c r="C30" s="335">
        <f ca="1">ROUND((C21+C22+C23)*F28,0)</f>
        <v>51</v>
      </c>
      <c r="D30" s="327"/>
      <c r="E30" s="328"/>
      <c r="F30" s="333"/>
      <c r="G30" s="139"/>
      <c r="H30" s="978"/>
      <c r="I30" s="978"/>
      <c r="J30" s="978"/>
      <c r="K30" s="979"/>
    </row>
    <row r="31" spans="1:33" s="974" customFormat="1" ht="13.5" customHeight="1" thickBot="1">
      <c r="A31" s="2560" t="s">
        <v>2513</v>
      </c>
      <c r="B31" s="1004" t="s">
        <v>2514</v>
      </c>
      <c r="C31" s="1005">
        <f>ROUND(C4*F31/(1+'数据-取费表'!C42),0)</f>
        <v>1929</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32310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2">
        <f ca="1">J53</f>
        <v>-0.20000000000000018</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1">
        <f ca="1">C6+C10+C12</f>
        <v>0</v>
      </c>
      <c r="D5" s="1820" t="s">
        <v>1397</v>
      </c>
      <c r="E5" s="1292"/>
      <c r="F5" s="1293"/>
      <c r="G5" s="1849"/>
      <c r="H5" s="343">
        <v>1</v>
      </c>
      <c r="I5" s="344" t="s">
        <v>1396</v>
      </c>
      <c r="J5" s="1291">
        <f ca="1">J6+J10+J12</f>
        <v>0</v>
      </c>
      <c r="K5" s="1820" t="s">
        <v>1397</v>
      </c>
      <c r="L5" s="1292"/>
      <c r="M5" s="1293"/>
    </row>
    <row r="6" spans="1:37" ht="18" customHeight="1">
      <c r="A6" s="1290" t="s">
        <v>1032</v>
      </c>
      <c r="B6" s="3256" t="s">
        <v>1398</v>
      </c>
      <c r="C6" s="1295">
        <f ca="1">ROUND(F6*F8*F7*(1-F9)/10000,0)</f>
        <v>0</v>
      </c>
      <c r="D6" s="163" t="s">
        <v>3031</v>
      </c>
      <c r="E6" s="346" t="s">
        <v>1400</v>
      </c>
      <c r="F6" s="347">
        <f ca="1">INDIRECT("'数据-取费表'!u"&amp;$G$1)</f>
        <v>0</v>
      </c>
      <c r="G6" s="1849"/>
      <c r="H6" s="1290" t="s">
        <v>1032</v>
      </c>
      <c r="I6" s="3256" t="s">
        <v>1398</v>
      </c>
      <c r="J6" s="345">
        <f ca="1">ROUND(M6*M8*M7*(1-M9)/10000,0)</f>
        <v>0</v>
      </c>
      <c r="K6" s="163" t="s">
        <v>3030</v>
      </c>
      <c r="L6" s="346" t="s">
        <v>1400</v>
      </c>
      <c r="M6" s="347">
        <f ca="1">INDIRECT("'数据-取费表'!z"&amp;$G$1)</f>
        <v>0</v>
      </c>
    </row>
    <row r="7" spans="1:37" ht="18" customHeight="1">
      <c r="A7" s="1294"/>
      <c r="B7" s="3257"/>
      <c r="C7" s="1296"/>
      <c r="D7" s="351"/>
      <c r="E7" s="1297" t="s">
        <v>1401</v>
      </c>
      <c r="F7" s="347">
        <f ca="1">IF(INDIRECT("'数据-取费表'!ah"&amp;$G$1)="",INDIRECT("'数据-取费表'!k"&amp;$G$1),INDIRECT("'数据-取费表'!ah"&amp;$G$1))</f>
        <v>0</v>
      </c>
      <c r="G7" s="1849"/>
      <c r="H7" s="348"/>
      <c r="I7" s="3257"/>
      <c r="J7" s="350"/>
      <c r="K7" s="351"/>
      <c r="L7" s="346" t="s">
        <v>1401</v>
      </c>
      <c r="M7" s="347">
        <f ca="1">F7</f>
        <v>0</v>
      </c>
    </row>
    <row r="8" spans="1:37" ht="18" customHeight="1">
      <c r="A8" s="348"/>
      <c r="B8" s="3257"/>
      <c r="C8" s="350"/>
      <c r="D8" s="351"/>
      <c r="E8" s="346" t="s">
        <v>1402</v>
      </c>
      <c r="F8" s="347">
        <f ca="1">INDIRECT("'数据-取费表'!ai"&amp;$G$1)</f>
        <v>0</v>
      </c>
      <c r="G8" s="1849"/>
      <c r="H8" s="348"/>
      <c r="I8" s="3257"/>
      <c r="J8" s="350"/>
      <c r="K8" s="351"/>
      <c r="L8" s="346" t="s">
        <v>1402</v>
      </c>
      <c r="M8" s="347">
        <f ca="1">INDIRECT("'数据-取费表'!ai"&amp;$G$1)</f>
        <v>0</v>
      </c>
    </row>
    <row r="9" spans="1:37" ht="18" customHeight="1">
      <c r="A9" s="348"/>
      <c r="B9" s="3258"/>
      <c r="C9" s="350"/>
      <c r="D9" s="351"/>
      <c r="E9" s="346" t="s">
        <v>1403</v>
      </c>
      <c r="F9" s="356">
        <f ca="1">INDIRECT("'数据-取费表'!w"&amp;$G$1)</f>
        <v>0</v>
      </c>
      <c r="G9" s="1849"/>
      <c r="H9" s="348"/>
      <c r="I9" s="3258"/>
      <c r="J9" s="350"/>
      <c r="K9" s="351"/>
      <c r="L9" s="357" t="s">
        <v>1403</v>
      </c>
      <c r="M9" s="358">
        <f ca="1">INDIRECT("'数据-取费表'!ab"&amp;$G$1)</f>
        <v>0</v>
      </c>
    </row>
    <row r="10" spans="1:37" ht="18" customHeight="1">
      <c r="A10" s="1290" t="s">
        <v>1036</v>
      </c>
      <c r="B10" s="1821" t="s">
        <v>1404</v>
      </c>
      <c r="C10" s="360">
        <f ca="1">ROUND(IF(F10="押一",C6/12*F11,IF(F10="押二",C6/12*2*F11,IF(F10="押三",C6/12*3*F11,C11*F11))),0)</f>
        <v>0</v>
      </c>
      <c r="D10" s="1822" t="s">
        <v>3040</v>
      </c>
      <c r="E10" s="357" t="s">
        <v>1405</v>
      </c>
      <c r="F10" s="1365"/>
      <c r="G10" s="1849"/>
      <c r="H10" s="1290" t="s">
        <v>1036</v>
      </c>
      <c r="I10" s="1821" t="s">
        <v>1404</v>
      </c>
      <c r="J10" s="345">
        <f ca="1">ROUND(IF(M10="押一",J6/12*M11,IF(M10="押二",J6/12*2*M11,IF(M10="押三",J6/12*3*M11,J11*M11))),0)</f>
        <v>0</v>
      </c>
      <c r="K10" s="1822" t="s">
        <v>3039</v>
      </c>
      <c r="L10" s="357" t="s">
        <v>1405</v>
      </c>
      <c r="M10" s="1365" t="s">
        <v>1406</v>
      </c>
    </row>
    <row r="11" spans="1:37" ht="18" customHeight="1">
      <c r="A11" s="352"/>
      <c r="B11" s="1823" t="s">
        <v>1383</v>
      </c>
      <c r="C11" s="1177"/>
      <c r="D11" s="1824"/>
      <c r="E11" s="357" t="s">
        <v>1407</v>
      </c>
      <c r="F11" s="358">
        <f ca="1">'数据-取费表'!B39</f>
        <v>1.4999999999999999E-2</v>
      </c>
      <c r="G11" s="1849"/>
      <c r="H11" s="1298"/>
      <c r="I11" s="1823" t="s">
        <v>1383</v>
      </c>
      <c r="J11" s="1177"/>
      <c r="K11" s="747"/>
      <c r="L11" s="357"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6" t="s">
        <v>1412</v>
      </c>
      <c r="C14" s="362">
        <f ca="1">INDIRECT("'数据-取费表'!m"&amp;$G$1)+INDIRECT("'数据-取费表'!t"&amp;$G$1)</f>
        <v>0</v>
      </c>
      <c r="D14" s="1798" t="s">
        <v>1413</v>
      </c>
      <c r="E14" s="1792"/>
      <c r="F14" s="363"/>
      <c r="G14" s="1849"/>
      <c r="H14" s="1200" t="s">
        <v>1032</v>
      </c>
      <c r="I14" s="346" t="s">
        <v>1414</v>
      </c>
      <c r="J14" s="24">
        <f ca="1">C29</f>
        <v>0</v>
      </c>
      <c r="K14" s="15"/>
      <c r="L14" s="978"/>
      <c r="M14" s="979"/>
    </row>
    <row r="15" spans="1:37" s="1856" customFormat="1" ht="18" customHeight="1" thickBot="1">
      <c r="A15" s="1200" t="s">
        <v>1033</v>
      </c>
      <c r="B15" s="346" t="s">
        <v>1415</v>
      </c>
      <c r="C15" s="24">
        <f ca="1">ROUND(C14*F15,0)</f>
        <v>0</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49"/>
      <c r="H16" s="1328" t="s">
        <v>1027</v>
      </c>
      <c r="I16" s="1329" t="s">
        <v>1419</v>
      </c>
      <c r="J16" s="354">
        <f ca="1">ROUND(J17+J22+J23+J24,0)</f>
        <v>0</v>
      </c>
      <c r="K16" s="1336" t="s">
        <v>1420</v>
      </c>
      <c r="L16" s="1337"/>
      <c r="M16" s="1293"/>
    </row>
    <row r="17" spans="1:37" s="1856" customFormat="1" ht="18" customHeight="1">
      <c r="A17" s="1200" t="s">
        <v>1385</v>
      </c>
      <c r="B17" s="346" t="s">
        <v>1421</v>
      </c>
      <c r="C17" s="24">
        <f ca="1">ROUND(F17*(F43+INDIRECT("'数据-取费表'!S"&amp;$G$1))/10000,0)</f>
        <v>0</v>
      </c>
      <c r="D17" s="346" t="s">
        <v>1422</v>
      </c>
      <c r="E17" s="346" t="s">
        <v>1423</v>
      </c>
      <c r="F17" s="26">
        <f>'数据-取费表'!B35</f>
        <v>200</v>
      </c>
      <c r="G17" s="1852"/>
      <c r="H17" s="1200" t="s">
        <v>1032</v>
      </c>
      <c r="I17" s="346" t="s">
        <v>1424</v>
      </c>
      <c r="J17" s="24">
        <f ca="1">ROUND(IF(项目基本情况!B11="自然人",J6*M17/(1+'数据-取费表'!C42),J18+J19+J20),1)</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0</v>
      </c>
      <c r="D18" s="346" t="s">
        <v>1416</v>
      </c>
      <c r="E18" s="346" t="s">
        <v>1417</v>
      </c>
      <c r="F18" s="366">
        <f>'数据-取费表'!B36</f>
        <v>1.4999999999999999E-2</v>
      </c>
      <c r="G18" s="1852"/>
      <c r="H18" s="1200" t="s">
        <v>1031</v>
      </c>
      <c r="I18" s="346" t="s">
        <v>1428</v>
      </c>
      <c r="J18" s="24">
        <f ca="1">ROUND(J6*M18/(1+'数据-取费表'!C42),2)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0</v>
      </c>
      <c r="D19" s="139" t="s">
        <v>1431</v>
      </c>
      <c r="E19" s="1816"/>
      <c r="F19" s="26"/>
      <c r="G19" s="1849"/>
      <c r="H19" s="1200" t="s">
        <v>1033</v>
      </c>
      <c r="I19" s="346" t="s">
        <v>1432</v>
      </c>
      <c r="J19" s="24">
        <f ca="1">IF(K19="按租金收入计税",ROUND(J6*M19/(1+'数据-取费表'!C42),2),ROUND(C29*M19*0.7,2))</f>
        <v>0</v>
      </c>
      <c r="K19" s="1826" t="s">
        <v>1433</v>
      </c>
      <c r="L19" s="346" t="s">
        <v>1417</v>
      </c>
      <c r="M19" s="366">
        <f>IF(K19="按租金收入计税",'数据-取费表'!B51,'数据-取费表'!B50)</f>
        <v>1.2E-2</v>
      </c>
    </row>
    <row r="20" spans="1:37" s="1856" customFormat="1" ht="18" customHeight="1">
      <c r="A20" s="1200" t="s">
        <v>1036</v>
      </c>
      <c r="B20" s="346" t="s">
        <v>1434</v>
      </c>
      <c r="C20" s="24">
        <f ca="1">ROUND(C19*F20,0)</f>
        <v>0</v>
      </c>
      <c r="D20" s="368" t="s">
        <v>1435</v>
      </c>
      <c r="E20" s="346" t="s">
        <v>1417</v>
      </c>
      <c r="F20" s="366">
        <f>'数据-取费表'!B37</f>
        <v>0.02</v>
      </c>
      <c r="G20" s="1852"/>
      <c r="H20" s="1200" t="s">
        <v>1384</v>
      </c>
      <c r="I20" s="163" t="s">
        <v>1436</v>
      </c>
      <c r="J20" s="25">
        <f ca="1">ROUND(M20*M21/10000,2)</f>
        <v>0</v>
      </c>
      <c r="K20" s="369" t="s">
        <v>1437</v>
      </c>
      <c r="L20" s="346" t="s">
        <v>1438</v>
      </c>
      <c r="M20" s="370">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18</v>
      </c>
      <c r="D21" s="368" t="s">
        <v>1440</v>
      </c>
      <c r="E21" s="346" t="s">
        <v>1441</v>
      </c>
      <c r="F21" s="366">
        <f>'数据-取费表'!B38</f>
        <v>0.02</v>
      </c>
      <c r="G21" s="1852"/>
      <c r="H21" s="371"/>
      <c r="I21" s="355"/>
      <c r="J21" s="29"/>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6"/>
      <c r="F22" s="26"/>
      <c r="G22" s="1849"/>
      <c r="H22" s="1200" t="s">
        <v>1036</v>
      </c>
      <c r="I22" s="346" t="s">
        <v>1444</v>
      </c>
      <c r="J22" s="24">
        <f ca="1">ROUND(J14*M22,1)</f>
        <v>0</v>
      </c>
      <c r="K22" s="1796" t="s">
        <v>1445</v>
      </c>
      <c r="L22" s="346" t="s">
        <v>1417</v>
      </c>
      <c r="M22" s="373">
        <f ca="1">INDIRECT("'数据-取费表'!Ak"&amp;$G$1)</f>
        <v>0</v>
      </c>
    </row>
    <row r="23" spans="1:37" s="1856"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3.5</v>
      </c>
      <c r="G23" s="1852"/>
      <c r="H23" s="1200" t="s">
        <v>1072</v>
      </c>
      <c r="I23" s="346" t="s">
        <v>1448</v>
      </c>
      <c r="J23" s="24">
        <f ca="1">ROUND(J13*M23,1)</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1.6999999999999999E-3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ROUND(J5*M24,1)</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6" t="s">
        <v>1456</v>
      </c>
      <c r="C25" s="24"/>
      <c r="D25" s="139" t="s">
        <v>1457</v>
      </c>
      <c r="E25" s="1816"/>
      <c r="F25" s="26"/>
      <c r="G25" s="1849"/>
      <c r="H25" s="1328" t="s">
        <v>1028</v>
      </c>
      <c r="I25" s="1343" t="s">
        <v>1458</v>
      </c>
      <c r="J25" s="354">
        <f ca="1">J5-J16</f>
        <v>0</v>
      </c>
      <c r="K25" s="1344" t="s">
        <v>1459</v>
      </c>
      <c r="L25" s="1345"/>
      <c r="M25" s="1346"/>
    </row>
    <row r="26" spans="1:37">
      <c r="A26" s="1200" t="s">
        <v>1031</v>
      </c>
      <c r="B26" s="346" t="s">
        <v>1460</v>
      </c>
      <c r="C26" s="24">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0</v>
      </c>
      <c r="D30" s="1336" t="s">
        <v>1420</v>
      </c>
      <c r="E30" s="1337"/>
      <c r="F30" s="1293"/>
      <c r="G30" s="1849"/>
      <c r="H30" s="744"/>
      <c r="I30" s="745"/>
      <c r="J30" s="746"/>
      <c r="K30" s="747"/>
      <c r="L30" s="748"/>
      <c r="M30" s="749"/>
    </row>
    <row r="31" spans="1:37" ht="18" customHeight="1">
      <c r="A31" s="1200" t="s">
        <v>1032</v>
      </c>
      <c r="B31" s="346" t="s">
        <v>1424</v>
      </c>
      <c r="C31" s="24">
        <f ca="1">ROUND(IF(项目基本情况!B11="自然人",C6*F31/(1+'数据-取费表'!C42),C32+C33+C34),1)</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IF(项目基本情况!B11="自然人","——",ROUND(C6*F32/(1+'数据-取费表'!C42),2))</f>
        <v>0</v>
      </c>
      <c r="D32" s="179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90" t="s">
        <v>1384</v>
      </c>
      <c r="B34" s="163" t="s">
        <v>1436</v>
      </c>
      <c r="C34" s="25">
        <f ca="1">IF(项目基本情况!B11="自然人","——",ROUND(F34*F35/10000,2))</f>
        <v>0</v>
      </c>
      <c r="D34" s="369" t="s">
        <v>1437</v>
      </c>
      <c r="E34" s="346" t="s">
        <v>1438</v>
      </c>
      <c r="F34" s="370">
        <f>'数据-取费表'!B52</f>
        <v>16</v>
      </c>
      <c r="G34" s="1849"/>
      <c r="H34" s="744"/>
      <c r="I34" s="1858"/>
      <c r="J34" s="1859"/>
      <c r="K34" s="1861"/>
      <c r="L34" s="1862"/>
      <c r="M34" s="1862"/>
    </row>
    <row r="35" spans="1:18" ht="18" customHeight="1">
      <c r="A35" s="1352"/>
      <c r="B35" s="1350"/>
      <c r="C35" s="29"/>
      <c r="D35" s="372"/>
      <c r="E35" s="346" t="s">
        <v>1442</v>
      </c>
      <c r="F35" s="347">
        <f ca="1">INDIRECT("'数据-取费表'!r"&amp;$G$1)</f>
        <v>0</v>
      </c>
      <c r="G35" s="1849"/>
      <c r="H35" s="744"/>
      <c r="I35" s="1858"/>
      <c r="J35" s="1859"/>
      <c r="K35" s="1860"/>
      <c r="L35" s="1857"/>
      <c r="M35" s="1857"/>
    </row>
    <row r="36" spans="1:18" ht="18" customHeight="1">
      <c r="A36" s="1351" t="s">
        <v>1036</v>
      </c>
      <c r="B36" s="346" t="s">
        <v>1444</v>
      </c>
      <c r="C36" s="24">
        <f ca="1">ROUND(C29*F36,1)</f>
        <v>0</v>
      </c>
      <c r="D36" s="1796" t="s">
        <v>1477</v>
      </c>
      <c r="E36" s="346" t="s">
        <v>1417</v>
      </c>
      <c r="F36" s="373">
        <f ca="1">INDIRECT("'数据-取费表'!Ak"&amp;$G$1)</f>
        <v>0</v>
      </c>
      <c r="G36" s="1849"/>
      <c r="H36" s="1857"/>
      <c r="I36" s="1858"/>
      <c r="J36" s="1859"/>
      <c r="K36" s="750"/>
      <c r="L36" s="1857"/>
      <c r="M36" s="1857"/>
    </row>
    <row r="37" spans="1:18" ht="18" customHeight="1">
      <c r="A37" s="1200" t="s">
        <v>1072</v>
      </c>
      <c r="B37" s="346" t="s">
        <v>1448</v>
      </c>
      <c r="C37" s="24">
        <f ca="1">ROUND(C13*F37,1)</f>
        <v>0</v>
      </c>
      <c r="D37" s="1796" t="s">
        <v>1449</v>
      </c>
      <c r="E37" s="346" t="s">
        <v>1450</v>
      </c>
      <c r="F37" s="375">
        <f ca="1">INDIRECT("'数据-取费表'!Al"&amp;$G$1)</f>
        <v>0</v>
      </c>
      <c r="G37" s="1849"/>
      <c r="H37" s="1857"/>
      <c r="I37" s="1858"/>
      <c r="J37" s="1859"/>
      <c r="K37" s="750"/>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4">
        <f ca="1">C5-C30</f>
        <v>0</v>
      </c>
      <c r="D39" s="1344" t="s">
        <v>1479</v>
      </c>
      <c r="E39" s="1345"/>
      <c r="F39" s="1346"/>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4" t="s">
        <v>1396</v>
      </c>
      <c r="C48" s="1815">
        <f ca="1">C49+C53+C55</f>
        <v>0</v>
      </c>
      <c r="D48" s="1361"/>
      <c r="E48" s="1362"/>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ROUND(F49*F51*F50*(1-F52)/10000,0)</f>
        <v>0</v>
      </c>
      <c r="D49" s="1275" t="s">
        <v>3032</v>
      </c>
      <c r="E49" s="1828" t="s">
        <v>1486</v>
      </c>
      <c r="F49" s="1280"/>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367"/>
      <c r="D50" s="1171"/>
      <c r="E50" s="1276" t="s">
        <v>1401</v>
      </c>
      <c r="F50" s="1277">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-0.20000000000000018</v>
      </c>
      <c r="R52" s="1884" t="s">
        <v>1541</v>
      </c>
    </row>
    <row r="53" spans="1:18" s="1840" customFormat="1" ht="24.75" thickBot="1">
      <c r="A53" s="1403" t="s">
        <v>1134</v>
      </c>
      <c r="B53" s="1829" t="s">
        <v>1404</v>
      </c>
      <c r="C53" s="360">
        <f ca="1">ROUND(IF(F53="押一",C49/12*F11,IF(F53="押二",C49/12*2*F11,IF(F53="押三",C49/12*3*F11,C54*F11))),0)</f>
        <v>0</v>
      </c>
      <c r="D53" s="1822" t="s">
        <v>3039</v>
      </c>
      <c r="E53" s="357" t="s">
        <v>1405</v>
      </c>
      <c r="F53" s="1365"/>
      <c r="I53" s="1903" t="s">
        <v>1542</v>
      </c>
      <c r="J53" s="2950">
        <f ca="1">IF(M47="住宅",IF(D1="——",MAX(J51,L48),MAX(J51,L48-'数据-取费表'!B24)),IF(D1="——",MIN(J51,L48),MIN(J51,L48-'数据-取费表'!B24)))</f>
        <v>-0.20000000000000018</v>
      </c>
      <c r="K53" s="3254" t="s">
        <v>1543</v>
      </c>
      <c r="L53" s="3255"/>
      <c r="O53" s="1882" t="s">
        <v>1043</v>
      </c>
      <c r="P53" s="1883" t="s">
        <v>1544</v>
      </c>
      <c r="Q53" s="1884" t="e">
        <f ca="1">Q47+Q48</f>
        <v>#DIV/0!</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#DIV/0!</v>
      </c>
      <c r="K55" s="1909" t="s">
        <v>1547</v>
      </c>
      <c r="L55" s="1910" t="s">
        <v>1548</v>
      </c>
      <c r="O55" s="1875" t="s">
        <v>1517</v>
      </c>
      <c r="P55" s="1876" t="s">
        <v>1518</v>
      </c>
      <c r="Q55" s="1877" t="s">
        <v>1519</v>
      </c>
      <c r="R55" s="1877" t="s">
        <v>1520</v>
      </c>
    </row>
    <row r="56" spans="1:18" s="1840" customFormat="1" ht="25.5" thickTop="1" thickBot="1">
      <c r="A56" s="1175">
        <v>2</v>
      </c>
      <c r="B56" s="1176" t="s">
        <v>1409</v>
      </c>
      <c r="C56" s="275">
        <f ca="1">C13</f>
        <v>0</v>
      </c>
      <c r="D56" s="1911"/>
      <c r="E56" s="1912"/>
      <c r="F56" s="1904"/>
      <c r="I56" s="1913" t="s">
        <v>1549</v>
      </c>
      <c r="J56" s="1914"/>
      <c r="K56" s="1885" t="s">
        <v>1550</v>
      </c>
      <c r="L56" s="1888">
        <f ca="1">IF(L48&lt;J51,"——",L48-J53)</f>
        <v>0.20000000000000018</v>
      </c>
      <c r="O56" s="1882" t="s">
        <v>1037</v>
      </c>
      <c r="P56" s="1883" t="s">
        <v>1523</v>
      </c>
      <c r="Q56" s="1884" t="e">
        <f ca="1">C40+J29</f>
        <v>#DIV/0!</v>
      </c>
      <c r="R56" s="1884" t="s">
        <v>1524</v>
      </c>
    </row>
    <row r="57" spans="1:18" s="1840" customFormat="1" ht="24.75" thickBot="1">
      <c r="A57" s="1915"/>
      <c r="B57" s="1168" t="s">
        <v>1473</v>
      </c>
      <c r="C57" s="281">
        <f ca="1">C29</f>
        <v>0</v>
      </c>
      <c r="D57" s="1916"/>
      <c r="E57" s="1917"/>
      <c r="F57" s="1918"/>
      <c r="I57" s="1919" t="s">
        <v>1551</v>
      </c>
      <c r="J57" s="1920">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59" t="s">
        <v>1027</v>
      </c>
      <c r="B58" s="1176" t="s">
        <v>1419</v>
      </c>
      <c r="C58" s="360">
        <f ca="1">ROUND(C59+C64+C65+C66,0)</f>
        <v>0</v>
      </c>
      <c r="D58" s="1178" t="s">
        <v>1420</v>
      </c>
      <c r="E58" s="1179"/>
      <c r="F58" s="1180"/>
      <c r="I58" s="1919" t="s">
        <v>1555</v>
      </c>
      <c r="J58" s="1921"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0</v>
      </c>
      <c r="D59" s="1181" t="s">
        <v>1425</v>
      </c>
      <c r="E59" s="1182"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0</v>
      </c>
      <c r="D61" s="1826" t="s">
        <v>1433</v>
      </c>
      <c r="E61" s="1168"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0">
        <f t="shared" si="0"/>
        <v>16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4"/>
      <c r="C63" s="29"/>
      <c r="D63" s="1184"/>
      <c r="E63" s="1168"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0</v>
      </c>
      <c r="D64" s="1182" t="s">
        <v>1497</v>
      </c>
      <c r="E64" s="1168"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v>
      </c>
      <c r="D65" s="1182" t="s">
        <v>1449</v>
      </c>
      <c r="E65" s="1168"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ROUND(C48*F66,1)</f>
        <v>0</v>
      </c>
      <c r="D66" s="1182" t="s">
        <v>1500</v>
      </c>
      <c r="E66" s="1168" t="s">
        <v>1417</v>
      </c>
      <c r="F66" s="356">
        <f t="shared" ca="1" si="0"/>
        <v>0</v>
      </c>
      <c r="O66" s="1882" t="s">
        <v>1038</v>
      </c>
      <c r="P66" s="1883" t="s">
        <v>1553</v>
      </c>
      <c r="Q66" s="1884" t="e">
        <f ca="1">L60</f>
        <v>#DIV/0!</v>
      </c>
      <c r="R66" s="1884" t="s">
        <v>1576</v>
      </c>
    </row>
    <row r="67" spans="1:18" s="1840" customFormat="1" ht="16.5" thickBot="1">
      <c r="A67" s="1175" t="s">
        <v>1028</v>
      </c>
      <c r="B67" s="1185" t="s">
        <v>1458</v>
      </c>
      <c r="C67" s="360">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5" t="e">
        <f ca="1">ROUND(C67*(1-((1+F70)/(1+F68))^F69)/(F68-F70),0)</f>
        <v>#DIV/0!</v>
      </c>
      <c r="D68" s="1183" t="s">
        <v>1464</v>
      </c>
      <c r="E68" s="1168" t="s">
        <v>1465</v>
      </c>
      <c r="F68" s="356">
        <f ca="1">F40</f>
        <v>0</v>
      </c>
      <c r="O68" s="1892" t="s">
        <v>1040</v>
      </c>
      <c r="P68" s="1931" t="s">
        <v>1578</v>
      </c>
      <c r="Q68" s="1884">
        <f ca="1">ROUND(Q69-Q70*Q71,0)</f>
        <v>0</v>
      </c>
      <c r="R68" s="1884" t="s">
        <v>1048</v>
      </c>
    </row>
    <row r="69" spans="1:18" s="1840" customFormat="1" ht="13.5" thickBot="1">
      <c r="A69" s="1169"/>
      <c r="B69" s="1170"/>
      <c r="C69" s="350"/>
      <c r="D69" s="1188" t="s">
        <v>1468</v>
      </c>
      <c r="E69" s="1168" t="s">
        <v>1469</v>
      </c>
      <c r="F69" s="378">
        <f ca="1">F41</f>
        <v>0</v>
      </c>
      <c r="O69" s="1892" t="s">
        <v>1045</v>
      </c>
      <c r="P69" s="1931" t="s">
        <v>1579</v>
      </c>
      <c r="Q69" s="1884">
        <f ca="1">C39</f>
        <v>0</v>
      </c>
      <c r="R69" s="1884" t="s">
        <v>1524</v>
      </c>
    </row>
    <row r="70" spans="1:18" s="1840" customFormat="1" ht="13.5" thickBot="1">
      <c r="A70" s="1172"/>
      <c r="B70" s="1173"/>
      <c r="C70" s="354"/>
      <c r="D70" s="1184"/>
      <c r="E70" s="1168" t="s">
        <v>1472</v>
      </c>
      <c r="F70" s="1274"/>
      <c r="O70" s="1892" t="s">
        <v>1046</v>
      </c>
      <c r="P70" s="1931" t="s">
        <v>1580</v>
      </c>
      <c r="Q70" s="1884">
        <f ca="1">C13</f>
        <v>0</v>
      </c>
      <c r="R70" s="1884" t="s">
        <v>1524</v>
      </c>
    </row>
    <row r="71" spans="1:18" s="1840" customFormat="1" ht="13.5" thickBot="1">
      <c r="A71" s="1189" t="s">
        <v>1030</v>
      </c>
      <c r="B71" s="1190" t="s">
        <v>1482</v>
      </c>
      <c r="C71" s="381" t="e">
        <f ca="1">ROUND(C68*10000/F71,0)</f>
        <v>#DIV/0!</v>
      </c>
      <c r="D71" s="1191" t="s">
        <v>1483</v>
      </c>
      <c r="E71" s="1192"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2">
        <f ca="1">J53</f>
        <v>-0.20000000000000018</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1">
        <f ca="1">C6+C10+C12</f>
        <v>0</v>
      </c>
      <c r="D5" s="1820" t="s">
        <v>1596</v>
      </c>
      <c r="E5" s="1292"/>
      <c r="F5" s="1293"/>
      <c r="G5" s="1849"/>
      <c r="H5" s="343">
        <v>1</v>
      </c>
      <c r="I5" s="344" t="s">
        <v>1595</v>
      </c>
      <c r="J5" s="1291">
        <f ca="1">J6+J10+J12</f>
        <v>0</v>
      </c>
      <c r="K5" s="1820" t="s">
        <v>1596</v>
      </c>
      <c r="L5" s="1292"/>
      <c r="M5" s="1293"/>
    </row>
    <row r="6" spans="1:37" ht="18" customHeight="1">
      <c r="A6" s="1290" t="s">
        <v>1032</v>
      </c>
      <c r="B6" s="3256" t="s">
        <v>1398</v>
      </c>
      <c r="C6" s="1295">
        <f ca="1">ROUND(F6*F8*F7*(1-F9),0)</f>
        <v>0</v>
      </c>
      <c r="D6" s="163" t="s">
        <v>3028</v>
      </c>
      <c r="E6" s="346" t="s">
        <v>1400</v>
      </c>
      <c r="F6" s="347">
        <f ca="1">INDIRECT("'数据-取费表'!u"&amp;$G$1)</f>
        <v>0</v>
      </c>
      <c r="G6" s="1849"/>
      <c r="H6" s="1290" t="s">
        <v>1032</v>
      </c>
      <c r="I6" s="3256" t="s">
        <v>1398</v>
      </c>
      <c r="J6" s="345">
        <f ca="1">ROUND(M6*M8*M7*(1-M9),0)</f>
        <v>0</v>
      </c>
      <c r="K6" s="1832" t="s">
        <v>3029</v>
      </c>
      <c r="L6" s="346" t="s">
        <v>1400</v>
      </c>
      <c r="M6" s="347">
        <f ca="1">INDIRECT("'数据-取费表'!z"&amp;$G$1)</f>
        <v>0</v>
      </c>
    </row>
    <row r="7" spans="1:37" ht="18" customHeight="1">
      <c r="A7" s="1294"/>
      <c r="B7" s="3257"/>
      <c r="C7" s="1296"/>
      <c r="D7" s="351"/>
      <c r="E7" s="1297" t="s">
        <v>1401</v>
      </c>
      <c r="F7" s="347">
        <f ca="1">IF(INDIRECT("'数据-取费表'!ah"&amp;$G$1)="",INDIRECT("'数据-取费表'!k"&amp;$G$1),INDIRECT("'数据-取费表'!ah"&amp;$G$1))</f>
        <v>0</v>
      </c>
      <c r="G7" s="1849"/>
      <c r="H7" s="348"/>
      <c r="I7" s="3257"/>
      <c r="J7" s="350"/>
      <c r="K7" s="351"/>
      <c r="L7" s="346" t="s">
        <v>1401</v>
      </c>
      <c r="M7" s="347">
        <f ca="1">F7</f>
        <v>0</v>
      </c>
    </row>
    <row r="8" spans="1:37" ht="18" customHeight="1">
      <c r="A8" s="348"/>
      <c r="B8" s="3257"/>
      <c r="C8" s="350"/>
      <c r="D8" s="351"/>
      <c r="E8" s="346" t="s">
        <v>1402</v>
      </c>
      <c r="F8" s="347">
        <f ca="1">INDIRECT("'数据-取费表'!ai"&amp;$G$1)</f>
        <v>0</v>
      </c>
      <c r="G8" s="1849"/>
      <c r="H8" s="348"/>
      <c r="I8" s="3257"/>
      <c r="J8" s="350"/>
      <c r="K8" s="351"/>
      <c r="L8" s="346" t="s">
        <v>1402</v>
      </c>
      <c r="M8" s="347">
        <f ca="1">INDIRECT("'数据-取费表'!ai"&amp;$G$1)</f>
        <v>0</v>
      </c>
    </row>
    <row r="9" spans="1:37" ht="18" customHeight="1">
      <c r="A9" s="348"/>
      <c r="B9" s="3258"/>
      <c r="C9" s="350"/>
      <c r="D9" s="351"/>
      <c r="E9" s="346" t="s">
        <v>1403</v>
      </c>
      <c r="F9" s="356">
        <f ca="1">INDIRECT("'数据-取费表'!w"&amp;$G$1)</f>
        <v>0</v>
      </c>
      <c r="G9" s="1849"/>
      <c r="H9" s="348"/>
      <c r="I9" s="3258"/>
      <c r="J9" s="350"/>
      <c r="K9" s="351"/>
      <c r="L9" s="357" t="s">
        <v>1403</v>
      </c>
      <c r="M9" s="358">
        <f ca="1">INDIRECT("'数据-取费表'!ab"&amp;$G$1)</f>
        <v>0</v>
      </c>
    </row>
    <row r="10" spans="1:37" ht="18" customHeight="1">
      <c r="A10" s="1290" t="s">
        <v>1036</v>
      </c>
      <c r="B10" s="1821" t="s">
        <v>1404</v>
      </c>
      <c r="C10" s="360">
        <f ca="1">ROUND(IF(F10="押一",C6/12*F11,IF(F10="押二",C6/12*2*F11,IF(F10="押三",C6/12*3*F11,C11*F11))),0)</f>
        <v>0</v>
      </c>
      <c r="D10" s="1822" t="s">
        <v>3039</v>
      </c>
      <c r="E10" s="357" t="s">
        <v>1405</v>
      </c>
      <c r="F10" s="1365"/>
      <c r="G10" s="1849"/>
      <c r="H10" s="1290" t="s">
        <v>1036</v>
      </c>
      <c r="I10" s="1821" t="s">
        <v>1404</v>
      </c>
      <c r="J10" s="345">
        <f ca="1">ROUND(IF(M10="押一",J6/12*M11,IF(M10="押二",J6/12*2*M11,IF(M10="押三",J6/12*3*M11,J11*M11))),0)</f>
        <v>0</v>
      </c>
      <c r="K10" s="1833" t="s">
        <v>3041</v>
      </c>
      <c r="L10" s="357" t="s">
        <v>1405</v>
      </c>
      <c r="M10" s="1365"/>
    </row>
    <row r="11" spans="1:37" ht="18" customHeight="1">
      <c r="A11" s="352"/>
      <c r="B11" s="1823" t="s">
        <v>1597</v>
      </c>
      <c r="C11" s="1177"/>
      <c r="D11" s="351"/>
      <c r="E11" s="357" t="s">
        <v>1407</v>
      </c>
      <c r="F11" s="358">
        <f ca="1">'数据-取费表'!B39</f>
        <v>1.4999999999999999E-2</v>
      </c>
      <c r="G11" s="1849"/>
      <c r="H11" s="1298"/>
      <c r="I11" s="1823" t="s">
        <v>1598</v>
      </c>
      <c r="J11" s="1177"/>
      <c r="K11" s="747"/>
      <c r="L11" s="357"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6" t="s">
        <v>1412</v>
      </c>
      <c r="C14" s="362">
        <f ca="1">ROUND(INDIRECT("'数据-取费表'!l"&amp;$G$1)*F43+'数据-取费表'!L14*INDIRECT("'数据-取费表'!S"&amp;$G$1),0)</f>
        <v>0</v>
      </c>
      <c r="D14" s="1798" t="s">
        <v>1413</v>
      </c>
      <c r="E14" s="1792"/>
      <c r="F14" s="363"/>
      <c r="G14" s="1849"/>
      <c r="H14" s="1200" t="s">
        <v>1032</v>
      </c>
      <c r="I14" s="346" t="s">
        <v>1414</v>
      </c>
      <c r="J14" s="24">
        <f ca="1">C29</f>
        <v>0</v>
      </c>
      <c r="K14" s="15"/>
      <c r="L14" s="978"/>
      <c r="M14" s="979"/>
    </row>
    <row r="15" spans="1:37" s="1856" customFormat="1" ht="18" customHeight="1" thickBot="1">
      <c r="A15" s="1200" t="s">
        <v>1033</v>
      </c>
      <c r="B15" s="346" t="s">
        <v>1415</v>
      </c>
      <c r="C15" s="24">
        <f ca="1">ROUND(C14*F15,0)</f>
        <v>0</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49"/>
      <c r="H16" s="1328" t="s">
        <v>1027</v>
      </c>
      <c r="I16" s="1329" t="s">
        <v>1419</v>
      </c>
      <c r="J16" s="354">
        <f ca="1">ROUND(J17+J22+J23+J24,0)</f>
        <v>0</v>
      </c>
      <c r="K16" s="1336" t="s">
        <v>1420</v>
      </c>
      <c r="L16" s="1337"/>
      <c r="M16" s="1293"/>
    </row>
    <row r="17" spans="1:37" s="1856" customFormat="1" ht="18" customHeight="1">
      <c r="A17" s="1200" t="s">
        <v>1385</v>
      </c>
      <c r="B17" s="346" t="s">
        <v>1421</v>
      </c>
      <c r="C17" s="24">
        <f ca="1">ROUND(F17*(F43+INDIRECT("'数据-取费表'!S"&amp;$G$1)),0)</f>
        <v>0</v>
      </c>
      <c r="D17" s="346" t="s">
        <v>1422</v>
      </c>
      <c r="E17" s="346" t="s">
        <v>1423</v>
      </c>
      <c r="F17" s="26">
        <f>'数据-取费表'!B35</f>
        <v>200</v>
      </c>
      <c r="G17" s="1852"/>
      <c r="H17" s="1200" t="s">
        <v>1032</v>
      </c>
      <c r="I17" s="346" t="s">
        <v>1424</v>
      </c>
      <c r="J17" s="24">
        <f ca="1">ROUND(IF(项目基本情况!B11="自然人",J6*M17/(1+'数据-取费表'!C42),J18+J19+J20),0)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0</v>
      </c>
      <c r="D18" s="346" t="s">
        <v>1416</v>
      </c>
      <c r="E18" s="346" t="s">
        <v>1417</v>
      </c>
      <c r="F18" s="366">
        <f>'数据-取费表'!B36</f>
        <v>1.4999999999999999E-2</v>
      </c>
      <c r="G18" s="1852"/>
      <c r="H18" s="1200" t="s">
        <v>1031</v>
      </c>
      <c r="I18" s="346" t="s">
        <v>1428</v>
      </c>
      <c r="J18" s="24">
        <f ca="1">ROUND(J6*M18/(1+'数据-取费表'!C42),0)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0</v>
      </c>
      <c r="D19" s="139" t="s">
        <v>1431</v>
      </c>
      <c r="E19" s="1816"/>
      <c r="F19" s="26"/>
      <c r="G19" s="1849"/>
      <c r="H19" s="1200" t="s">
        <v>1033</v>
      </c>
      <c r="I19" s="346" t="s">
        <v>1432</v>
      </c>
      <c r="J19" s="24">
        <f ca="1">IF(K19="按租金收入计税",ROUND(J6*M19/(1+'数据-取费表'!C42),0),ROUND(C29*M19*0.7,0))</f>
        <v>0</v>
      </c>
      <c r="K19" s="1826" t="s">
        <v>1433</v>
      </c>
      <c r="L19" s="346" t="s">
        <v>1417</v>
      </c>
      <c r="M19" s="366">
        <f>IF(K19="按租金收入计税",'数据-取费表'!B51,'数据-取费表'!B50)</f>
        <v>1.2E-2</v>
      </c>
    </row>
    <row r="20" spans="1:37" s="1856" customFormat="1" ht="18" customHeight="1">
      <c r="A20" s="1200" t="s">
        <v>1036</v>
      </c>
      <c r="B20" s="346" t="s">
        <v>1434</v>
      </c>
      <c r="C20" s="24">
        <f ca="1">ROUND(C19*F20,0)</f>
        <v>0</v>
      </c>
      <c r="D20" s="368" t="s">
        <v>1435</v>
      </c>
      <c r="E20" s="346" t="s">
        <v>1417</v>
      </c>
      <c r="F20" s="366">
        <f>'数据-取费表'!B37</f>
        <v>0.02</v>
      </c>
      <c r="G20" s="1852"/>
      <c r="H20" s="1200" t="s">
        <v>1384</v>
      </c>
      <c r="I20" s="163" t="s">
        <v>1436</v>
      </c>
      <c r="J20" s="25">
        <f ca="1">ROUND(M20*M21,0)</f>
        <v>0</v>
      </c>
      <c r="K20" s="369" t="s">
        <v>1437</v>
      </c>
      <c r="L20" s="346" t="s">
        <v>1438</v>
      </c>
      <c r="M20" s="370">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v>
      </c>
      <c r="D21" s="368" t="s">
        <v>1440</v>
      </c>
      <c r="E21" s="346" t="s">
        <v>1441</v>
      </c>
      <c r="F21" s="366">
        <f>'数据-取费表'!B38</f>
        <v>0.02</v>
      </c>
      <c r="G21" s="1852"/>
      <c r="H21" s="371"/>
      <c r="I21" s="355"/>
      <c r="J21" s="29"/>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6"/>
      <c r="F22" s="26"/>
      <c r="G22" s="1849"/>
      <c r="H22" s="1200" t="s">
        <v>1036</v>
      </c>
      <c r="I22" s="346" t="s">
        <v>1444</v>
      </c>
      <c r="J22" s="24">
        <f ca="1">ROUND(J14*M22,0)</f>
        <v>0</v>
      </c>
      <c r="K22" s="1796" t="s">
        <v>1445</v>
      </c>
      <c r="L22" s="346" t="s">
        <v>1417</v>
      </c>
      <c r="M22" s="373">
        <f ca="1">INDIRECT("'数据-取费表'!Ak"&amp;$G$1)</f>
        <v>0</v>
      </c>
    </row>
    <row r="23" spans="1:37" s="1856"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3.5</v>
      </c>
      <c r="G23" s="1852"/>
      <c r="H23" s="1200" t="s">
        <v>1072</v>
      </c>
      <c r="I23" s="346" t="s">
        <v>1448</v>
      </c>
      <c r="J23" s="24">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1.6999999999999999E-3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6" t="s">
        <v>1456</v>
      </c>
      <c r="C25" s="24"/>
      <c r="D25" s="139" t="s">
        <v>1457</v>
      </c>
      <c r="E25" s="1816"/>
      <c r="F25" s="26"/>
      <c r="G25" s="1849"/>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0</v>
      </c>
      <c r="D30" s="1336" t="s">
        <v>1420</v>
      </c>
      <c r="E30" s="1337"/>
      <c r="F30" s="1293"/>
      <c r="G30" s="1849"/>
      <c r="H30" s="744"/>
      <c r="I30" s="745"/>
      <c r="J30" s="746"/>
      <c r="K30" s="747"/>
      <c r="L30" s="748"/>
      <c r="M30" s="749"/>
    </row>
    <row r="31" spans="1:37" ht="18" customHeight="1">
      <c r="A31" s="1200" t="s">
        <v>1032</v>
      </c>
      <c r="B31" s="346" t="s">
        <v>1424</v>
      </c>
      <c r="C31" s="24">
        <f ca="1">ROUND(IF(项目基本情况!B11="自然人",C6*F31/(1+'数据-取费表'!C42),C32+C33+C34),0)</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IF(项目基本情况!B11="自然人","——",ROUND(C6*F32/(1+'数据-取费表'!C42),0))</f>
        <v>0</v>
      </c>
      <c r="D32" s="179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90" t="s">
        <v>1384</v>
      </c>
      <c r="B34" s="163" t="s">
        <v>1436</v>
      </c>
      <c r="C34" s="25">
        <f ca="1">IF(项目基本情况!B11="自然人","——",ROUND(F34*F35,))</f>
        <v>0</v>
      </c>
      <c r="D34" s="369" t="s">
        <v>1437</v>
      </c>
      <c r="E34" s="346" t="s">
        <v>1438</v>
      </c>
      <c r="F34" s="370">
        <f>'数据-取费表'!B52</f>
        <v>16</v>
      </c>
      <c r="G34" s="1849"/>
      <c r="H34" s="744"/>
      <c r="I34" s="1858"/>
      <c r="J34" s="1859"/>
      <c r="K34" s="1861"/>
      <c r="L34" s="1862"/>
      <c r="M34" s="1862"/>
    </row>
    <row r="35" spans="1:18" ht="18" customHeight="1">
      <c r="A35" s="1352"/>
      <c r="B35" s="1350"/>
      <c r="C35" s="29"/>
      <c r="D35" s="372"/>
      <c r="E35" s="346" t="s">
        <v>1442</v>
      </c>
      <c r="F35" s="347">
        <f ca="1">INDIRECT("'数据-取费表'!r"&amp;$G$1)</f>
        <v>0</v>
      </c>
      <c r="G35" s="1849"/>
      <c r="H35" s="744"/>
      <c r="I35" s="1858"/>
      <c r="J35" s="1859"/>
      <c r="K35" s="1860"/>
      <c r="L35" s="1857"/>
      <c r="M35" s="1857"/>
    </row>
    <row r="36" spans="1:18" ht="18" customHeight="1">
      <c r="A36" s="1351" t="s">
        <v>1036</v>
      </c>
      <c r="B36" s="346" t="s">
        <v>1444</v>
      </c>
      <c r="C36" s="24">
        <f ca="1">ROUND(C29*F36,0)</f>
        <v>0</v>
      </c>
      <c r="D36" s="1796" t="s">
        <v>1477</v>
      </c>
      <c r="E36" s="346" t="s">
        <v>1417</v>
      </c>
      <c r="F36" s="373">
        <f ca="1">INDIRECT("'数据-取费表'!Ak"&amp;$G$1)</f>
        <v>0</v>
      </c>
      <c r="G36" s="1849"/>
      <c r="H36" s="1857"/>
      <c r="I36" s="1858"/>
      <c r="J36" s="1859"/>
      <c r="K36" s="750"/>
      <c r="L36" s="1857"/>
      <c r="M36" s="1857"/>
    </row>
    <row r="37" spans="1:18" ht="18" customHeight="1">
      <c r="A37" s="1200" t="s">
        <v>1072</v>
      </c>
      <c r="B37" s="346" t="s">
        <v>1448</v>
      </c>
      <c r="C37" s="24">
        <f ca="1">ROUND(C13*F37,0)</f>
        <v>0</v>
      </c>
      <c r="D37" s="1796" t="s">
        <v>1449</v>
      </c>
      <c r="E37" s="346" t="s">
        <v>1450</v>
      </c>
      <c r="F37" s="375">
        <f ca="1">INDIRECT("'数据-取费表'!Al"&amp;$G$1)</f>
        <v>0</v>
      </c>
      <c r="G37" s="1849"/>
      <c r="H37" s="1857"/>
      <c r="I37" s="1858"/>
      <c r="J37" s="1859"/>
      <c r="K37" s="750"/>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4">
        <f ca="1">C5-C30</f>
        <v>0</v>
      </c>
      <c r="D39" s="1344" t="s">
        <v>1479</v>
      </c>
      <c r="E39" s="1345"/>
      <c r="F39" s="1346"/>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4" t="s">
        <v>1396</v>
      </c>
      <c r="C48" s="1815">
        <f ca="1">C49+C53+C55</f>
        <v>0</v>
      </c>
      <c r="D48" s="1361"/>
      <c r="E48" s="1362"/>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ROUND(F49*F51*F50*(1-F52),0)</f>
        <v>0</v>
      </c>
      <c r="D49" s="1275" t="s">
        <v>1399</v>
      </c>
      <c r="E49" s="1828" t="s">
        <v>1486</v>
      </c>
      <c r="F49" s="1280"/>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-0.20000000000000018</v>
      </c>
      <c r="R52" s="1884" t="s">
        <v>1541</v>
      </c>
    </row>
    <row r="53" spans="1:18" s="1840" customFormat="1" ht="30.75" customHeight="1" thickBot="1">
      <c r="A53" s="1360" t="s">
        <v>1134</v>
      </c>
      <c r="B53" s="368" t="s">
        <v>1404</v>
      </c>
      <c r="C53" s="360">
        <f ca="1">ROUND(IF(F53="押一",C49/12*F11,IF(F53="押二",C49/12*2*F11,IF(F53="押三",C49/12*3*F11,C54*F11))),0)</f>
        <v>0</v>
      </c>
      <c r="D53" s="1822" t="s">
        <v>3042</v>
      </c>
      <c r="E53" s="357" t="s">
        <v>1405</v>
      </c>
      <c r="F53" s="1365"/>
      <c r="I53" s="1903" t="s">
        <v>1542</v>
      </c>
      <c r="J53" s="2950">
        <f ca="1">IF(M47="住宅",IF(D1="——",MAX(J51,L48),MAX(J51,L48-'数据-取费表'!B24)),IF(D1="——",MIN(J51,L48),MIN(J51,L48-'数据-取费表'!B24)))</f>
        <v>-0.20000000000000018</v>
      </c>
      <c r="K53" s="3254" t="s">
        <v>1543</v>
      </c>
      <c r="L53" s="3255"/>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5">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8" t="s">
        <v>1473</v>
      </c>
      <c r="C57" s="281">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9" t="s">
        <v>1027</v>
      </c>
      <c r="B58" s="1176" t="s">
        <v>1419</v>
      </c>
      <c r="C58" s="360">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0">
        <f t="shared" si="0"/>
        <v>16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4"/>
      <c r="C63" s="29"/>
      <c r="D63" s="1184"/>
      <c r="E63" s="1168"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6">
        <f t="shared" ca="1" si="0"/>
        <v>0</v>
      </c>
      <c r="O66" s="1882" t="s">
        <v>1038</v>
      </c>
      <c r="P66" s="1883" t="s">
        <v>1553</v>
      </c>
      <c r="Q66" s="1884" t="e">
        <f ca="1">L60</f>
        <v>#DIV/0!</v>
      </c>
      <c r="R66" s="1884" t="s">
        <v>1576</v>
      </c>
    </row>
    <row r="67" spans="1:18" s="1840" customFormat="1" ht="16.5" thickBot="1">
      <c r="A67" s="1175" t="s">
        <v>1028</v>
      </c>
      <c r="B67" s="1185" t="s">
        <v>1458</v>
      </c>
      <c r="C67" s="360">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5" t="e">
        <f ca="1">ROUND(C67*(1-((1+F70)/(1+F68))^F69)/(F68-F70),0)</f>
        <v>#DIV/0!</v>
      </c>
      <c r="D68" s="1183" t="s">
        <v>1464</v>
      </c>
      <c r="E68" s="1168" t="s">
        <v>1465</v>
      </c>
      <c r="F68" s="356">
        <f ca="1">F40</f>
        <v>0</v>
      </c>
      <c r="O68" s="1892" t="s">
        <v>1040</v>
      </c>
      <c r="P68" s="1931" t="s">
        <v>1578</v>
      </c>
      <c r="Q68" s="1884">
        <f ca="1">ROUND(Q69-Q70*Q71,0)</f>
        <v>0</v>
      </c>
      <c r="R68" s="1884" t="s">
        <v>1048</v>
      </c>
    </row>
    <row r="69" spans="1:18" s="1840" customFormat="1" ht="13.5" thickBot="1">
      <c r="A69" s="1169"/>
      <c r="B69" s="1170"/>
      <c r="C69" s="350"/>
      <c r="D69" s="1188" t="s">
        <v>1468</v>
      </c>
      <c r="E69" s="1168" t="s">
        <v>1469</v>
      </c>
      <c r="F69" s="378">
        <f ca="1">F41</f>
        <v>0</v>
      </c>
      <c r="O69" s="1892" t="s">
        <v>1045</v>
      </c>
      <c r="P69" s="1931" t="s">
        <v>1579</v>
      </c>
      <c r="Q69" s="1884">
        <f ca="1">C39</f>
        <v>0</v>
      </c>
      <c r="R69" s="1884" t="s">
        <v>1524</v>
      </c>
    </row>
    <row r="70" spans="1:18" s="1840" customFormat="1" ht="13.5" thickBot="1">
      <c r="A70" s="1172"/>
      <c r="B70" s="1173"/>
      <c r="C70" s="354"/>
      <c r="D70" s="1184"/>
      <c r="E70" s="1168" t="s">
        <v>1472</v>
      </c>
      <c r="F70" s="1274">
        <f ca="1">F42</f>
        <v>0</v>
      </c>
      <c r="O70" s="1892" t="s">
        <v>1046</v>
      </c>
      <c r="P70" s="1931" t="s">
        <v>1580</v>
      </c>
      <c r="Q70" s="1884">
        <f ca="1">C13</f>
        <v>0</v>
      </c>
      <c r="R70" s="1884" t="s">
        <v>1524</v>
      </c>
    </row>
    <row r="71" spans="1:18" s="1840" customFormat="1" ht="13.5" thickBot="1">
      <c r="A71" s="1189" t="s">
        <v>1030</v>
      </c>
      <c r="B71" s="1190" t="s">
        <v>1482</v>
      </c>
      <c r="C71" s="381" t="e">
        <f ca="1">ROUND(C68/F71,0)</f>
        <v>#DIV/0!</v>
      </c>
      <c r="D71" s="1191" t="s">
        <v>1483</v>
      </c>
      <c r="E71" s="1192"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2525</v>
      </c>
      <c r="B1" s="2562"/>
      <c r="C1" s="2562"/>
      <c r="D1" s="2562"/>
      <c r="E1" s="2563"/>
    </row>
    <row r="2" spans="1:6" ht="15.75">
      <c r="A2" s="2564" t="s">
        <v>2329</v>
      </c>
      <c r="B2" s="2565">
        <f ca="1">SUMIF(B6:B13,"&lt;&gt;#ref!",B6:B13)</f>
        <v>0</v>
      </c>
      <c r="C2" s="2566" t="s">
        <v>2518</v>
      </c>
      <c r="D2" s="2567" t="s">
        <v>2519</v>
      </c>
      <c r="E2" s="2568">
        <f>SUM(E6:E13)</f>
        <v>0</v>
      </c>
    </row>
    <row r="3" spans="1:6" ht="15.75">
      <c r="A3" s="2564" t="s">
        <v>1390</v>
      </c>
      <c r="B3" s="2565" t="e">
        <f ca="1">ROUND(B2*10000/E2,0)</f>
        <v>#DIV/0!</v>
      </c>
      <c r="C3" s="2566" t="s">
        <v>2526</v>
      </c>
      <c r="D3" s="2569"/>
      <c r="E3" s="2570"/>
    </row>
    <row r="4" spans="1:6" ht="15.75">
      <c r="A4" s="2571"/>
      <c r="B4" s="2569"/>
      <c r="C4" s="2569"/>
      <c r="D4" s="2569"/>
      <c r="E4" s="2570"/>
    </row>
    <row r="5" spans="1:6" ht="15">
      <c r="A5" s="2572" t="s">
        <v>2520</v>
      </c>
      <c r="B5" s="3259" t="s">
        <v>2521</v>
      </c>
      <c r="C5" s="3259"/>
      <c r="D5" s="2573"/>
      <c r="E5" s="2574" t="s">
        <v>2522</v>
      </c>
      <c r="F5" s="2575" t="s">
        <v>2523</v>
      </c>
    </row>
    <row r="6" spans="1:6">
      <c r="A6" s="2576">
        <f>'数据-取费表'!AN6</f>
        <v>0</v>
      </c>
      <c r="B6" s="2575" t="e">
        <f ca="1">IF(F6="是",'数据-取费表'!AO6,0)</f>
        <v>#REF!</v>
      </c>
      <c r="C6" s="2566" t="s">
        <v>2518</v>
      </c>
      <c r="D6" s="2569"/>
      <c r="E6" s="2577">
        <f>IF(OR(A6=0,F6="否"),0,'数据-取费表'!K6+'数据-取费表'!S6)</f>
        <v>0</v>
      </c>
      <c r="F6" s="2578" t="s">
        <v>2524</v>
      </c>
    </row>
    <row r="7" spans="1:6">
      <c r="A7" s="2576">
        <f>'数据-取费表'!AN7</f>
        <v>0</v>
      </c>
      <c r="B7" s="2575" t="e">
        <f ca="1">IF(F7="是",'数据-取费表'!AO7,0)</f>
        <v>#REF!</v>
      </c>
      <c r="C7" s="2566" t="s">
        <v>2518</v>
      </c>
      <c r="D7" s="2569"/>
      <c r="E7" s="2577">
        <f>IF(OR(A7=0,F7="否"),0,'数据-取费表'!K7+'数据-取费表'!S7)</f>
        <v>0</v>
      </c>
      <c r="F7" s="2578" t="s">
        <v>2524</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1073</v>
      </c>
      <c r="B1" s="3261"/>
      <c r="C1" s="3262"/>
      <c r="D1" s="3263">
        <f>SUM(I10,I15,I20,I21,I23)</f>
        <v>0</v>
      </c>
      <c r="E1" s="3263"/>
      <c r="F1" s="3263"/>
      <c r="G1" s="3263"/>
      <c r="H1" s="3263"/>
      <c r="I1" s="3264"/>
    </row>
    <row r="2" spans="1:9">
      <c r="A2" s="3265" t="s">
        <v>1074</v>
      </c>
      <c r="B2" s="3266" t="s">
        <v>1075</v>
      </c>
      <c r="C2" s="3266"/>
      <c r="D2" s="1300" t="s">
        <v>1076</v>
      </c>
      <c r="E2" s="1300" t="s">
        <v>1077</v>
      </c>
      <c r="F2" s="1300" t="s">
        <v>1078</v>
      </c>
      <c r="G2" s="1300" t="s">
        <v>1079</v>
      </c>
      <c r="H2" s="1300" t="s">
        <v>1080</v>
      </c>
      <c r="I2" s="1301" t="s">
        <v>1081</v>
      </c>
    </row>
    <row r="3" spans="1:9">
      <c r="A3" s="3265"/>
      <c r="B3" s="3266" t="s">
        <v>1082</v>
      </c>
      <c r="C3" s="3266"/>
      <c r="D3" s="1302"/>
      <c r="E3" s="1300"/>
      <c r="F3" s="1303"/>
      <c r="G3" s="1303"/>
      <c r="H3" s="1304"/>
      <c r="I3" s="1305">
        <f>ROUND(D3*E3*F3*G3*H3/10000,0)</f>
        <v>0</v>
      </c>
    </row>
    <row r="4" spans="1:9">
      <c r="A4" s="3265"/>
      <c r="B4" s="3266" t="s">
        <v>1083</v>
      </c>
      <c r="C4" s="3266"/>
      <c r="D4" s="1302"/>
      <c r="E4" s="1300"/>
      <c r="F4" s="1303"/>
      <c r="G4" s="1303"/>
      <c r="H4" s="1304"/>
      <c r="I4" s="1305">
        <f t="shared" ref="I4:I9" si="0">ROUND(D4*E4*F4*G4*H4/10000,0)</f>
        <v>0</v>
      </c>
    </row>
    <row r="5" spans="1:9">
      <c r="A5" s="3265"/>
      <c r="B5" s="3266" t="s">
        <v>1084</v>
      </c>
      <c r="C5" s="3266"/>
      <c r="D5" s="1302"/>
      <c r="E5" s="1300"/>
      <c r="F5" s="1303"/>
      <c r="G5" s="1303"/>
      <c r="H5" s="1304"/>
      <c r="I5" s="1305">
        <f t="shared" si="0"/>
        <v>0</v>
      </c>
    </row>
    <row r="6" spans="1:9">
      <c r="A6" s="3265"/>
      <c r="B6" s="3266" t="s">
        <v>1085</v>
      </c>
      <c r="C6" s="3266"/>
      <c r="D6" s="1302"/>
      <c r="E6" s="1300"/>
      <c r="F6" s="1303"/>
      <c r="G6" s="1303"/>
      <c r="H6" s="1304"/>
      <c r="I6" s="1305">
        <f t="shared" si="0"/>
        <v>0</v>
      </c>
    </row>
    <row r="7" spans="1:9">
      <c r="A7" s="3265"/>
      <c r="B7" s="3266" t="s">
        <v>1086</v>
      </c>
      <c r="C7" s="3266"/>
      <c r="D7" s="1302"/>
      <c r="E7" s="1300"/>
      <c r="F7" s="1303"/>
      <c r="G7" s="1303"/>
      <c r="H7" s="1304"/>
      <c r="I7" s="1305">
        <f t="shared" si="0"/>
        <v>0</v>
      </c>
    </row>
    <row r="8" spans="1:9">
      <c r="A8" s="3265"/>
      <c r="B8" s="3266" t="s">
        <v>1087</v>
      </c>
      <c r="C8" s="3266"/>
      <c r="D8" s="1302"/>
      <c r="E8" s="1300"/>
      <c r="F8" s="1303"/>
      <c r="G8" s="1303"/>
      <c r="H8" s="1304"/>
      <c r="I8" s="1305">
        <f t="shared" si="0"/>
        <v>0</v>
      </c>
    </row>
    <row r="9" spans="1:9">
      <c r="A9" s="3265"/>
      <c r="B9" s="3266" t="s">
        <v>1088</v>
      </c>
      <c r="C9" s="3266"/>
      <c r="D9" s="1302"/>
      <c r="E9" s="1300"/>
      <c r="F9" s="1303"/>
      <c r="G9" s="1303"/>
      <c r="H9" s="1304"/>
      <c r="I9" s="1305">
        <f t="shared" si="0"/>
        <v>0</v>
      </c>
    </row>
    <row r="10" spans="1:9">
      <c r="A10" s="3265"/>
      <c r="B10" s="3267" t="s">
        <v>1089</v>
      </c>
      <c r="C10" s="3267"/>
      <c r="D10" s="1306"/>
      <c r="E10" s="1306" t="e">
        <f>ROUND(D1*10000/D10/H9,0)</f>
        <v>#DIV/0!</v>
      </c>
      <c r="F10" s="1307"/>
      <c r="G10" s="1307"/>
      <c r="H10" s="1308"/>
      <c r="I10" s="1309">
        <f>SUM(I3:I9)</f>
        <v>0</v>
      </c>
    </row>
    <row r="11" spans="1:9" ht="14.25">
      <c r="A11" s="3265" t="s">
        <v>1090</v>
      </c>
      <c r="B11" s="3266" t="s">
        <v>1091</v>
      </c>
      <c r="C11" s="3266"/>
      <c r="D11" s="1302" t="s">
        <v>1092</v>
      </c>
      <c r="E11" s="1302" t="s">
        <v>1093</v>
      </c>
      <c r="F11" s="1303" t="s">
        <v>1094</v>
      </c>
      <c r="G11" s="1303" t="s">
        <v>1080</v>
      </c>
      <c r="H11" s="1310" t="s">
        <v>1095</v>
      </c>
      <c r="I11" s="1301" t="s">
        <v>1081</v>
      </c>
    </row>
    <row r="12" spans="1:9">
      <c r="A12" s="3265"/>
      <c r="B12" s="3266" t="s">
        <v>1096</v>
      </c>
      <c r="C12" s="3266"/>
      <c r="D12" s="1302"/>
      <c r="E12" s="1302"/>
      <c r="F12" s="1303"/>
      <c r="G12" s="1304"/>
      <c r="H12" s="1311"/>
      <c r="I12" s="1301">
        <f>ROUND(D12*E12*F12*G12/10000,0)</f>
        <v>0</v>
      </c>
    </row>
    <row r="13" spans="1:9">
      <c r="A13" s="3265"/>
      <c r="B13" s="3266" t="s">
        <v>1097</v>
      </c>
      <c r="C13" s="3266"/>
      <c r="D13" s="1302"/>
      <c r="E13" s="1302"/>
      <c r="F13" s="1303"/>
      <c r="G13" s="1304"/>
      <c r="H13" s="1311"/>
      <c r="I13" s="1301">
        <f>ROUND(D13*E13*F13*G13/10000,0)</f>
        <v>0</v>
      </c>
    </row>
    <row r="14" spans="1:9">
      <c r="A14" s="3265"/>
      <c r="B14" s="3266" t="s">
        <v>1098</v>
      </c>
      <c r="C14" s="3266"/>
      <c r="D14" s="1302"/>
      <c r="E14" s="1302"/>
      <c r="F14" s="1303"/>
      <c r="G14" s="1304"/>
      <c r="H14" s="1311"/>
      <c r="I14" s="1301">
        <f>ROUND(D14*E14*F14*G14/10000,0)</f>
        <v>0</v>
      </c>
    </row>
    <row r="15" spans="1:9">
      <c r="A15" s="3265"/>
      <c r="B15" s="3267" t="s">
        <v>1089</v>
      </c>
      <c r="C15" s="3267"/>
      <c r="D15" s="1306"/>
      <c r="E15" s="1306">
        <f>SUM(E12:E14)</f>
        <v>0</v>
      </c>
      <c r="F15" s="1307"/>
      <c r="G15" s="1304"/>
      <c r="H15" s="1311"/>
      <c r="I15" s="1312">
        <f>SUM(I12:I14)</f>
        <v>0</v>
      </c>
    </row>
    <row r="16" spans="1:9" ht="24">
      <c r="A16" s="3265" t="s">
        <v>1099</v>
      </c>
      <c r="B16" s="3266" t="s">
        <v>1100</v>
      </c>
      <c r="C16" s="3266"/>
      <c r="D16" s="1302" t="s">
        <v>1076</v>
      </c>
      <c r="E16" s="1313" t="s">
        <v>1101</v>
      </c>
      <c r="F16" s="1303" t="s">
        <v>1102</v>
      </c>
      <c r="G16" s="1304" t="s">
        <v>1080</v>
      </c>
      <c r="H16" s="1310" t="s">
        <v>1095</v>
      </c>
      <c r="I16" s="1301" t="s">
        <v>1081</v>
      </c>
    </row>
    <row r="17" spans="1:9" ht="14.25">
      <c r="A17" s="3265"/>
      <c r="B17" s="3266" t="s">
        <v>1103</v>
      </c>
      <c r="C17" s="3266"/>
      <c r="D17" s="1302"/>
      <c r="E17" s="1302"/>
      <c r="F17" s="1303"/>
      <c r="G17" s="1304"/>
      <c r="H17" s="1314"/>
      <c r="I17" s="1315">
        <f>ROUND(D17*E17*F17*G17/10000,0)</f>
        <v>0</v>
      </c>
    </row>
    <row r="18" spans="1:9" ht="14.25">
      <c r="A18" s="3265"/>
      <c r="B18" s="3266" t="s">
        <v>1104</v>
      </c>
      <c r="C18" s="3266"/>
      <c r="D18" s="1302"/>
      <c r="E18" s="1302"/>
      <c r="F18" s="1303"/>
      <c r="G18" s="1304"/>
      <c r="H18" s="1314"/>
      <c r="I18" s="1315">
        <f>ROUND(D18*E18*F18*G18/10000,0)</f>
        <v>0</v>
      </c>
    </row>
    <row r="19" spans="1:9" ht="14.25">
      <c r="A19" s="3265"/>
      <c r="B19" s="3266" t="s">
        <v>1105</v>
      </c>
      <c r="C19" s="3266"/>
      <c r="D19" s="1302"/>
      <c r="E19" s="1302"/>
      <c r="F19" s="1303"/>
      <c r="G19" s="1304"/>
      <c r="H19" s="1314"/>
      <c r="I19" s="1315">
        <f>ROUND(D19*E19*F19*G19/10000,0)</f>
        <v>0</v>
      </c>
    </row>
    <row r="20" spans="1:9">
      <c r="A20" s="3265"/>
      <c r="B20" s="3267" t="s">
        <v>1089</v>
      </c>
      <c r="C20" s="3267"/>
      <c r="D20" s="1306">
        <f>SUM(D17:D19)</f>
        <v>0</v>
      </c>
      <c r="E20" s="1306"/>
      <c r="F20" s="1307"/>
      <c r="G20" s="1304"/>
      <c r="H20" s="1311"/>
      <c r="I20" s="1312">
        <f>SUM(I17:I19)</f>
        <v>0</v>
      </c>
    </row>
    <row r="21" spans="1:9">
      <c r="A21" s="3265" t="s">
        <v>1106</v>
      </c>
      <c r="B21" s="3269"/>
      <c r="C21" s="3269"/>
      <c r="D21" s="3269"/>
      <c r="E21" s="3269"/>
      <c r="F21" s="3269"/>
      <c r="G21" s="3269"/>
      <c r="H21" s="1763">
        <v>0.1</v>
      </c>
      <c r="I21" s="1309">
        <f>ROUND(I10*H21,0)</f>
        <v>0</v>
      </c>
    </row>
    <row r="22" spans="1:9" ht="14.25">
      <c r="A22" s="3270" t="s">
        <v>1107</v>
      </c>
      <c r="B22" s="3271"/>
      <c r="C22" s="3272"/>
      <c r="D22" s="1316" t="s">
        <v>1108</v>
      </c>
      <c r="E22" s="1316" t="s">
        <v>1109</v>
      </c>
      <c r="F22" s="1317" t="s">
        <v>1110</v>
      </c>
      <c r="G22" s="1317" t="s">
        <v>1111</v>
      </c>
      <c r="H22" s="1310" t="s">
        <v>1112</v>
      </c>
      <c r="I22" s="1301" t="s">
        <v>1113</v>
      </c>
    </row>
    <row r="23" spans="1:9" ht="14.25" thickBot="1">
      <c r="A23" s="3273"/>
      <c r="B23" s="3274"/>
      <c r="C23" s="3275"/>
      <c r="D23" s="1318"/>
      <c r="E23" s="1318"/>
      <c r="F23" s="1318"/>
      <c r="G23" s="1319"/>
      <c r="H23" s="1320"/>
      <c r="I23" s="1321">
        <f>ROUND(E23*D23*F23*(1-G23)/10000,0)</f>
        <v>0</v>
      </c>
    </row>
    <row r="26" spans="1:9">
      <c r="A26" s="1322" t="s">
        <v>1114</v>
      </c>
      <c r="B26" s="1322"/>
      <c r="C26" s="1322"/>
      <c r="D26" s="1322"/>
      <c r="E26" s="3276">
        <f>C27-C30-C31-C32</f>
        <v>0</v>
      </c>
      <c r="F26" s="3276"/>
      <c r="G26" s="3276"/>
      <c r="H26" s="1735" t="s">
        <v>1336</v>
      </c>
    </row>
    <row r="27" spans="1:9">
      <c r="A27" s="1323">
        <v>1</v>
      </c>
      <c r="B27" s="1324" t="s">
        <v>1115</v>
      </c>
      <c r="C27" s="1324">
        <f>C28+C29</f>
        <v>0</v>
      </c>
      <c r="D27" s="1324"/>
      <c r="E27" s="3277"/>
      <c r="F27" s="3277"/>
      <c r="G27" s="3277"/>
    </row>
    <row r="28" spans="1:9">
      <c r="A28" s="1325" t="s">
        <v>1116</v>
      </c>
      <c r="B28" s="1324" t="s">
        <v>1117</v>
      </c>
      <c r="C28" s="1324"/>
      <c r="D28" s="1324"/>
      <c r="E28" s="3277"/>
      <c r="F28" s="3277"/>
      <c r="G28" s="327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8"/>
      <c r="F32" s="3268"/>
      <c r="G32" s="3268"/>
    </row>
    <row r="33" spans="1:7" hidden="1">
      <c r="A33" s="3278" t="s">
        <v>1126</v>
      </c>
      <c r="B33" s="3279"/>
      <c r="C33" s="3279"/>
      <c r="D33" s="3280"/>
      <c r="E33" s="3276"/>
      <c r="F33" s="3276"/>
      <c r="G33" s="3276"/>
    </row>
    <row r="34" spans="1:7" hidden="1">
      <c r="A34" s="1327">
        <v>1</v>
      </c>
      <c r="B34" s="1324" t="s">
        <v>1127</v>
      </c>
      <c r="C34" s="1324"/>
      <c r="D34" s="1324"/>
      <c r="E34" s="3277"/>
      <c r="F34" s="3277"/>
      <c r="G34" s="3277"/>
    </row>
    <row r="35" spans="1:7" hidden="1">
      <c r="A35" s="1327">
        <v>2</v>
      </c>
      <c r="B35" s="1324" t="s">
        <v>1128</v>
      </c>
      <c r="C35" s="1324"/>
      <c r="D35" s="1324"/>
      <c r="E35" s="3277"/>
      <c r="F35" s="3277"/>
      <c r="G35" s="3277"/>
    </row>
    <row r="36" spans="1:7" hidden="1">
      <c r="A36" s="1327">
        <v>3</v>
      </c>
      <c r="B36" s="1324" t="s">
        <v>1129</v>
      </c>
      <c r="C36" s="1324"/>
      <c r="D36" s="1324"/>
      <c r="E36" s="3277"/>
      <c r="F36" s="3277"/>
      <c r="G36" s="3277"/>
    </row>
    <row r="37" spans="1:7" hidden="1">
      <c r="A37" s="1327">
        <v>4</v>
      </c>
      <c r="B37" s="1324" t="s">
        <v>1130</v>
      </c>
      <c r="C37" s="1324"/>
      <c r="D37" s="1324"/>
      <c r="E37" s="3277"/>
      <c r="F37" s="3277"/>
      <c r="G37" s="3277"/>
    </row>
    <row r="38" spans="1:7" hidden="1">
      <c r="A38" s="3278" t="s">
        <v>1131</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B35" sqref="B3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2" t="s">
        <v>2528</v>
      </c>
      <c r="C1" s="1632" t="s">
        <v>2529</v>
      </c>
      <c r="D1" s="1619"/>
      <c r="E1" s="2583"/>
      <c r="F1" s="2584" t="s">
        <v>2530</v>
      </c>
      <c r="G1" s="1629" t="s">
        <v>2531</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2" customFormat="1" ht="28.5" customHeight="1" thickTop="1">
      <c r="A2" s="1615" t="s">
        <v>1389</v>
      </c>
      <c r="B2" s="1416" t="e">
        <f ca="1">IF(C2="——",ROUND(C49*D3/10000,0),ROUND(C49*D3/10000,0)-D2)</f>
        <v>#REF!</v>
      </c>
      <c r="C2" s="2586"/>
      <c r="D2" s="1364" t="e">
        <f ca="1">SUMIF(INDIRECT("'"&amp;F2&amp;"'"&amp;"!A:A"),"承租人权益价值",INDIRECT("'"&amp;F2&amp;"'"&amp;"!c:c"))</f>
        <v>#REF!</v>
      </c>
      <c r="E2" s="2587" t="s">
        <v>2532</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t="e">
        <f ca="1">IF(C2="——",C49,ROUND(B2*10000/D3,0))</f>
        <v>#REF!</v>
      </c>
      <c r="C3" s="399" t="s">
        <v>2533</v>
      </c>
      <c r="D3" s="398">
        <f>IF(D1="",'数据-汇总表'!E3,SUMIF('数据-汇总表'!$C19:$C33,D1,'数据-汇总表'!$E19:$E33))</f>
        <v>18470.39</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2534</v>
      </c>
      <c r="B4" s="401"/>
      <c r="C4" s="3229" t="s">
        <v>2535</v>
      </c>
      <c r="D4" s="3230"/>
      <c r="E4" s="3231" t="s">
        <v>2536</v>
      </c>
      <c r="F4" s="3232"/>
      <c r="G4" s="3229" t="s">
        <v>2537</v>
      </c>
      <c r="H4" s="3230"/>
      <c r="I4" s="3229" t="s">
        <v>2538</v>
      </c>
      <c r="J4" s="3230"/>
      <c r="K4" s="2596" t="s">
        <v>2539</v>
      </c>
      <c r="L4" s="1129"/>
      <c r="M4" s="1130"/>
      <c r="N4" s="1130"/>
      <c r="O4" s="1130"/>
      <c r="P4" s="3233" t="s">
        <v>2540</v>
      </c>
      <c r="Q4" s="3234"/>
      <c r="R4" s="3216" t="s">
        <v>2536</v>
      </c>
      <c r="S4" s="3217"/>
      <c r="T4" s="3216" t="s">
        <v>2537</v>
      </c>
      <c r="U4" s="3217"/>
      <c r="V4" s="3241" t="s">
        <v>2538</v>
      </c>
      <c r="W4" s="3241"/>
      <c r="X4" s="1811"/>
      <c r="Y4" s="3216" t="s">
        <v>2540</v>
      </c>
      <c r="Z4" s="3217"/>
      <c r="AA4" s="3211" t="s">
        <v>2536</v>
      </c>
      <c r="AB4" s="3211" t="s">
        <v>2537</v>
      </c>
      <c r="AC4" s="3211" t="s">
        <v>2538</v>
      </c>
    </row>
    <row r="5" spans="1:29" ht="15">
      <c r="A5" s="403"/>
      <c r="B5" s="404"/>
      <c r="C5" s="3222" t="s">
        <v>2541</v>
      </c>
      <c r="D5" s="3223"/>
      <c r="E5" s="3281" t="s">
        <v>3106</v>
      </c>
      <c r="F5" s="3221"/>
      <c r="G5" s="3282" t="s">
        <v>3111</v>
      </c>
      <c r="H5" s="3223"/>
      <c r="I5" s="3282" t="s">
        <v>3148</v>
      </c>
      <c r="J5" s="3223"/>
      <c r="K5" s="2597"/>
      <c r="L5" s="1129"/>
      <c r="M5" s="1130"/>
      <c r="N5" s="1130"/>
      <c r="O5" s="1130"/>
      <c r="P5" s="3235"/>
      <c r="Q5" s="3236"/>
      <c r="R5" s="3218"/>
      <c r="S5" s="3219"/>
      <c r="T5" s="3218"/>
      <c r="U5" s="3219"/>
      <c r="V5" s="3241"/>
      <c r="W5" s="3241"/>
      <c r="X5" s="1811"/>
      <c r="Y5" s="3218"/>
      <c r="Z5" s="3219"/>
      <c r="AA5" s="3212"/>
      <c r="AB5" s="3212"/>
      <c r="AC5" s="3212"/>
    </row>
    <row r="6" spans="1:29" ht="15.75" thickBot="1">
      <c r="A6" s="405"/>
      <c r="B6" s="406"/>
      <c r="C6" s="3224" t="s">
        <v>2545</v>
      </c>
      <c r="D6" s="3225"/>
      <c r="E6" s="3226" t="s">
        <v>2545</v>
      </c>
      <c r="F6" s="3227"/>
      <c r="G6" s="3224" t="s">
        <v>2545</v>
      </c>
      <c r="H6" s="3225"/>
      <c r="I6" s="3224" t="s">
        <v>2545</v>
      </c>
      <c r="J6" s="3225"/>
      <c r="K6" s="2597" t="s">
        <v>2546</v>
      </c>
      <c r="L6" s="1129"/>
      <c r="M6" s="1130"/>
      <c r="N6" s="1130"/>
      <c r="O6" s="1130"/>
      <c r="P6" s="3237"/>
      <c r="Q6" s="3238"/>
      <c r="R6" s="3218"/>
      <c r="S6" s="3219"/>
      <c r="T6" s="3239"/>
      <c r="U6" s="3240"/>
      <c r="V6" s="3241"/>
      <c r="W6" s="3241"/>
      <c r="X6" s="1811"/>
      <c r="Y6" s="3239"/>
      <c r="Z6" s="3240"/>
      <c r="AA6" s="3213"/>
      <c r="AB6" s="3213"/>
      <c r="AC6" s="3213"/>
    </row>
    <row r="7" spans="1:29" s="117" customFormat="1" ht="15.75" thickBot="1">
      <c r="A7" s="407" t="s">
        <v>2547</v>
      </c>
      <c r="B7" s="408"/>
      <c r="C7" s="409">
        <f>'数据-取费表'!B2</f>
        <v>43714</v>
      </c>
      <c r="D7" s="410">
        <v>100</v>
      </c>
      <c r="E7" s="411">
        <f>C7</f>
        <v>43714</v>
      </c>
      <c r="F7" s="412">
        <f>SUMIF(58:58,YEAR(E7)&amp;"-"&amp;MONTH(E7),59:59)</f>
        <v>100</v>
      </c>
      <c r="G7" s="411">
        <f>C7</f>
        <v>43714</v>
      </c>
      <c r="H7" s="410">
        <f>SUMIF(58:58,YEAR(G7)&amp;"-"&amp;MONTH(G7),59:59)</f>
        <v>100</v>
      </c>
      <c r="I7" s="411">
        <f>C7</f>
        <v>43714</v>
      </c>
      <c r="J7" s="410">
        <f>SUMIF(58:58,YEAR(I7)&amp;"-"&amp;MONTH(I7),59:59)</f>
        <v>100</v>
      </c>
      <c r="K7" s="2598"/>
      <c r="L7" s="1131"/>
      <c r="M7" s="1132"/>
      <c r="N7" s="1132"/>
      <c r="O7" s="1132"/>
      <c r="P7" s="3214" t="s">
        <v>2548</v>
      </c>
      <c r="Q7" s="3242"/>
      <c r="R7" s="769" t="s">
        <v>23</v>
      </c>
      <c r="S7" s="770">
        <f t="shared" ref="S7:S15" si="0">F7</f>
        <v>100</v>
      </c>
      <c r="T7" s="769" t="s">
        <v>23</v>
      </c>
      <c r="U7" s="770">
        <f t="shared" ref="U7:U15" si="1">H7</f>
        <v>100</v>
      </c>
      <c r="V7" s="769" t="s">
        <v>23</v>
      </c>
      <c r="W7" s="770">
        <f t="shared" ref="W7:W15" si="2">J7</f>
        <v>100</v>
      </c>
      <c r="X7" s="771"/>
      <c r="Y7" s="3214" t="s">
        <v>2548</v>
      </c>
      <c r="Z7" s="3215"/>
      <c r="AA7" s="772">
        <f>D7/F7</f>
        <v>1</v>
      </c>
      <c r="AB7" s="772">
        <f>D7/H7</f>
        <v>1</v>
      </c>
      <c r="AC7" s="772">
        <f>D7/J7</f>
        <v>1</v>
      </c>
    </row>
    <row r="8" spans="1:29" s="117" customFormat="1" ht="15.75" thickBot="1">
      <c r="A8" s="407" t="s">
        <v>2549</v>
      </c>
      <c r="B8" s="408"/>
      <c r="C8" s="413" t="s">
        <v>2550</v>
      </c>
      <c r="D8" s="410">
        <v>100</v>
      </c>
      <c r="E8" s="2599" t="s">
        <v>3107</v>
      </c>
      <c r="F8" s="412">
        <f>SUMIF(61:61,E8,62:62)-SUMIF(61:61,C8,62:62)+100</f>
        <v>100</v>
      </c>
      <c r="G8" s="413" t="s">
        <v>3107</v>
      </c>
      <c r="H8" s="410">
        <f>SUMIF(61:61,G8,62:62)-SUMIF(61:61,C8,62:62)+100</f>
        <v>100</v>
      </c>
      <c r="I8" s="2599" t="s">
        <v>3107</v>
      </c>
      <c r="J8" s="410">
        <f>SUMIF(61:61,I8,62:62)-SUMIF(61:61,C8,62:62)+100</f>
        <v>100</v>
      </c>
      <c r="K8" s="2598"/>
      <c r="L8" s="1131"/>
      <c r="M8" s="1132"/>
      <c r="N8" s="1132"/>
      <c r="O8" s="1132"/>
      <c r="P8" s="3214" t="s">
        <v>2551</v>
      </c>
      <c r="Q8" s="3215"/>
      <c r="R8" s="769" t="s">
        <v>23</v>
      </c>
      <c r="S8" s="770">
        <f t="shared" si="0"/>
        <v>100</v>
      </c>
      <c r="T8" s="769" t="s">
        <v>23</v>
      </c>
      <c r="U8" s="770">
        <f t="shared" si="1"/>
        <v>100</v>
      </c>
      <c r="V8" s="769" t="s">
        <v>23</v>
      </c>
      <c r="W8" s="770">
        <f t="shared" si="2"/>
        <v>100</v>
      </c>
      <c r="X8" s="771"/>
      <c r="Y8" s="3214" t="s">
        <v>2551</v>
      </c>
      <c r="Z8" s="3215"/>
      <c r="AA8" s="772">
        <f t="shared" ref="AA8:AA19" si="3">D8/F8</f>
        <v>1</v>
      </c>
      <c r="AB8" s="772">
        <f t="shared" ref="AB8:AB19" si="4">D8/H8</f>
        <v>1</v>
      </c>
      <c r="AC8" s="772">
        <f t="shared" ref="AC8:AC19" si="5">D8/J8</f>
        <v>1</v>
      </c>
    </row>
    <row r="9" spans="1:29" s="117" customFormat="1">
      <c r="A9" s="414" t="s">
        <v>2552</v>
      </c>
      <c r="B9" s="71" t="s">
        <v>2553</v>
      </c>
      <c r="C9" s="2983" t="s">
        <v>3108</v>
      </c>
      <c r="D9" s="134">
        <v>100</v>
      </c>
      <c r="E9" s="416" t="s">
        <v>3061</v>
      </c>
      <c r="F9" s="417">
        <f>SUMIF(63:63,E9,64:64)-SUMIF(63:63,C9,64:64)+100</f>
        <v>100</v>
      </c>
      <c r="G9" s="418" t="s">
        <v>3061</v>
      </c>
      <c r="H9" s="134">
        <f>SUMIF(63:63,G9,64:64)-SUMIF(63:63,C9,64:64)+100</f>
        <v>100</v>
      </c>
      <c r="I9" s="418" t="s">
        <v>3061</v>
      </c>
      <c r="J9" s="134">
        <f>SUMIF(63:63,I9,64:64)-SUMIF(63:63,C9,64:64)+100</f>
        <v>100</v>
      </c>
      <c r="K9" s="2598"/>
      <c r="L9" s="1131"/>
      <c r="M9" s="1132"/>
      <c r="N9" s="1132"/>
      <c r="O9" s="1132"/>
      <c r="P9" s="3252" t="s">
        <v>2554</v>
      </c>
      <c r="Q9" s="1793" t="str">
        <f t="shared" ref="Q9:Q15" si="6">B9</f>
        <v>用途</v>
      </c>
      <c r="R9" s="769" t="s">
        <v>17</v>
      </c>
      <c r="S9" s="770">
        <f t="shared" si="0"/>
        <v>100</v>
      </c>
      <c r="T9" s="769" t="s">
        <v>17</v>
      </c>
      <c r="U9" s="770">
        <f t="shared" si="1"/>
        <v>100</v>
      </c>
      <c r="V9" s="769" t="s">
        <v>17</v>
      </c>
      <c r="W9" s="770">
        <f t="shared" si="2"/>
        <v>100</v>
      </c>
      <c r="X9" s="771"/>
      <c r="Y9" s="3079" t="s">
        <v>2555</v>
      </c>
      <c r="Z9" s="55" t="str">
        <f t="shared" ref="Z9:Z15" si="7">Q9</f>
        <v>用途</v>
      </c>
      <c r="AA9" s="772">
        <f t="shared" si="3"/>
        <v>1</v>
      </c>
      <c r="AB9" s="772">
        <f t="shared" si="4"/>
        <v>1</v>
      </c>
      <c r="AC9" s="772">
        <f t="shared" si="5"/>
        <v>1</v>
      </c>
    </row>
    <row r="10" spans="1:29" s="426" customFormat="1" ht="27">
      <c r="A10" s="420"/>
      <c r="B10" s="421" t="s">
        <v>2556</v>
      </c>
      <c r="C10" s="422" t="s">
        <v>3109</v>
      </c>
      <c r="D10" s="135">
        <v>100</v>
      </c>
      <c r="E10" s="423" t="s">
        <v>3109</v>
      </c>
      <c r="F10" s="424">
        <f>SUMIF(65:65,E10,66:66)-SUMIF(65:65,C10,66:66)+100</f>
        <v>100</v>
      </c>
      <c r="G10" s="422" t="s">
        <v>3109</v>
      </c>
      <c r="H10" s="135">
        <f>SUMIF(65:65,G10,66:66)-SUMIF(65:65,C10,66:66)+100</f>
        <v>100</v>
      </c>
      <c r="I10" s="422" t="s">
        <v>3109</v>
      </c>
      <c r="J10" s="135">
        <f>SUMIF(65:65,I10,66:66)-SUMIF(65:65,C10,66:66)+100</f>
        <v>100</v>
      </c>
      <c r="K10" s="425">
        <v>2</v>
      </c>
      <c r="L10" s="1134"/>
      <c r="M10" s="1135"/>
      <c r="N10" s="1135"/>
      <c r="O10" s="1135"/>
      <c r="P10" s="3252"/>
      <c r="Q10" s="1793"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7"/>
      <c r="B11" s="421" t="s">
        <v>2557</v>
      </c>
      <c r="C11" s="428">
        <f>'数据-汇总表'!I4</f>
        <v>4.12</v>
      </c>
      <c r="D11" s="135">
        <v>100</v>
      </c>
      <c r="E11" s="429">
        <v>3.5</v>
      </c>
      <c r="F11" s="424">
        <f>LOOKUP(E11,68:68,69:69)-LOOKUP(C11,68:68,69:69)+100</f>
        <v>102</v>
      </c>
      <c r="G11" s="428">
        <v>2</v>
      </c>
      <c r="H11" s="135">
        <f>LOOKUP(G11,68:68,69:69)-LOOKUP(C11,68:68,69:69)+100</f>
        <v>104</v>
      </c>
      <c r="I11" s="428">
        <v>4</v>
      </c>
      <c r="J11" s="135">
        <f>LOOKUP(I11,68:68,69:69)-LOOKUP(C11,68:68,69:69)+100</f>
        <v>100</v>
      </c>
      <c r="K11" s="425">
        <v>2</v>
      </c>
      <c r="L11" s="1137"/>
      <c r="M11" s="1130"/>
      <c r="N11" s="1130"/>
      <c r="O11" s="1130"/>
      <c r="P11" s="3252"/>
      <c r="Q11" s="1793" t="str">
        <f t="shared" si="6"/>
        <v>容积率</v>
      </c>
      <c r="R11" s="769" t="s">
        <v>21</v>
      </c>
      <c r="S11" s="770">
        <f t="shared" si="0"/>
        <v>102</v>
      </c>
      <c r="T11" s="769" t="s">
        <v>21</v>
      </c>
      <c r="U11" s="770">
        <f t="shared" si="1"/>
        <v>104</v>
      </c>
      <c r="V11" s="769" t="s">
        <v>21</v>
      </c>
      <c r="W11" s="770">
        <f t="shared" si="2"/>
        <v>100</v>
      </c>
      <c r="X11" s="771"/>
      <c r="Y11" s="3079"/>
      <c r="Z11" s="55" t="str">
        <f t="shared" si="7"/>
        <v>容积率</v>
      </c>
      <c r="AA11" s="772">
        <f t="shared" si="3"/>
        <v>0.98039215686274506</v>
      </c>
      <c r="AB11" s="772">
        <f t="shared" si="4"/>
        <v>0.96153846153846156</v>
      </c>
      <c r="AC11" s="772">
        <f t="shared" si="5"/>
        <v>1</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52"/>
      <c r="Q12" s="1793">
        <f t="shared" si="6"/>
        <v>111</v>
      </c>
      <c r="R12" s="769" t="s">
        <v>21</v>
      </c>
      <c r="S12" s="770">
        <f t="shared" si="0"/>
        <v>100</v>
      </c>
      <c r="T12" s="769" t="s">
        <v>21</v>
      </c>
      <c r="U12" s="770">
        <f t="shared" si="1"/>
        <v>100</v>
      </c>
      <c r="V12" s="769" t="s">
        <v>21</v>
      </c>
      <c r="W12" s="770">
        <f t="shared" si="2"/>
        <v>100</v>
      </c>
      <c r="X12" s="771"/>
      <c r="Y12" s="3079"/>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52"/>
      <c r="Q13" s="1793">
        <f t="shared" si="6"/>
        <v>111</v>
      </c>
      <c r="R13" s="769" t="s">
        <v>21</v>
      </c>
      <c r="S13" s="770">
        <f t="shared" si="0"/>
        <v>100</v>
      </c>
      <c r="T13" s="769" t="s">
        <v>21</v>
      </c>
      <c r="U13" s="770">
        <f t="shared" si="1"/>
        <v>100</v>
      </c>
      <c r="V13" s="769" t="s">
        <v>21</v>
      </c>
      <c r="W13" s="770">
        <f t="shared" si="2"/>
        <v>100</v>
      </c>
      <c r="X13" s="771"/>
      <c r="Y13" s="3079"/>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52"/>
      <c r="Q14" s="1793">
        <f t="shared" si="6"/>
        <v>111</v>
      </c>
      <c r="R14" s="769" t="s">
        <v>21</v>
      </c>
      <c r="S14" s="770">
        <f t="shared" si="0"/>
        <v>100</v>
      </c>
      <c r="T14" s="769" t="s">
        <v>21</v>
      </c>
      <c r="U14" s="770">
        <f t="shared" si="1"/>
        <v>100</v>
      </c>
      <c r="V14" s="769" t="s">
        <v>21</v>
      </c>
      <c r="W14" s="770">
        <f t="shared" si="2"/>
        <v>100</v>
      </c>
      <c r="X14" s="771"/>
      <c r="Y14" s="3079"/>
      <c r="Z14" s="55">
        <f t="shared" si="7"/>
        <v>111</v>
      </c>
      <c r="AA14" s="772">
        <f t="shared" si="3"/>
        <v>1</v>
      </c>
      <c r="AB14" s="772">
        <f t="shared" si="4"/>
        <v>1</v>
      </c>
      <c r="AC14" s="772">
        <f t="shared" si="5"/>
        <v>1</v>
      </c>
    </row>
    <row r="15" spans="1:29" ht="99.75">
      <c r="A15" s="439" t="s">
        <v>2558</v>
      </c>
      <c r="B15" s="69"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89" t="s">
        <v>2559</v>
      </c>
      <c r="Q15" s="1808" t="str">
        <f t="shared" si="6"/>
        <v>居住社区成熟度</v>
      </c>
      <c r="R15" s="773" t="s">
        <v>21</v>
      </c>
      <c r="S15" s="774">
        <f t="shared" si="0"/>
        <v>100</v>
      </c>
      <c r="T15" s="773" t="s">
        <v>21</v>
      </c>
      <c r="U15" s="774">
        <f t="shared" si="1"/>
        <v>100</v>
      </c>
      <c r="V15" s="773" t="s">
        <v>21</v>
      </c>
      <c r="W15" s="774">
        <f t="shared" si="2"/>
        <v>100</v>
      </c>
      <c r="X15" s="1811"/>
      <c r="Y15" s="3243" t="s">
        <v>2559</v>
      </c>
      <c r="Z15" s="1812" t="str">
        <f t="shared" si="7"/>
        <v>居住社区成熟度</v>
      </c>
      <c r="AA15" s="1809">
        <f t="shared" si="3"/>
        <v>1</v>
      </c>
      <c r="AB15" s="1809">
        <f t="shared" si="4"/>
        <v>1</v>
      </c>
      <c r="AC15" s="1809">
        <f t="shared" si="5"/>
        <v>1</v>
      </c>
    </row>
    <row r="16" spans="1:29" ht="15">
      <c r="A16" s="427"/>
      <c r="B16" s="445"/>
      <c r="C16" s="446" t="s">
        <v>3110</v>
      </c>
      <c r="D16" s="447"/>
      <c r="E16" s="2604" t="s">
        <v>3110</v>
      </c>
      <c r="F16" s="447"/>
      <c r="G16" s="2605" t="s">
        <v>3110</v>
      </c>
      <c r="H16" s="449"/>
      <c r="I16" s="2605" t="s">
        <v>3110</v>
      </c>
      <c r="J16" s="447"/>
      <c r="K16" s="2606"/>
      <c r="L16" s="1139"/>
      <c r="M16" s="1130"/>
      <c r="N16" s="1130"/>
      <c r="O16" s="1130"/>
      <c r="P16" s="3290"/>
      <c r="Q16" s="1808"/>
      <c r="R16" s="773"/>
      <c r="S16" s="774"/>
      <c r="T16" s="773"/>
      <c r="U16" s="774"/>
      <c r="V16" s="773"/>
      <c r="W16" s="774"/>
      <c r="X16" s="1811"/>
      <c r="Y16" s="3244"/>
      <c r="Z16" s="1812"/>
      <c r="AA16" s="1809">
        <v>1</v>
      </c>
      <c r="AB16" s="1809">
        <v>1</v>
      </c>
      <c r="AC16" s="1809">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90"/>
      <c r="Q17" s="1808" t="str">
        <f>B17</f>
        <v>交通便捷度</v>
      </c>
      <c r="R17" s="773" t="s">
        <v>21</v>
      </c>
      <c r="S17" s="774">
        <f>F17</f>
        <v>100</v>
      </c>
      <c r="T17" s="773" t="s">
        <v>21</v>
      </c>
      <c r="U17" s="774">
        <f>H17</f>
        <v>100</v>
      </c>
      <c r="V17" s="773" t="s">
        <v>21</v>
      </c>
      <c r="W17" s="774">
        <f>J17</f>
        <v>100</v>
      </c>
      <c r="X17" s="1811"/>
      <c r="Y17" s="3244"/>
      <c r="Z17" s="1812" t="str">
        <f>Q17</f>
        <v>交通便捷度</v>
      </c>
      <c r="AA17" s="1809">
        <f t="shared" si="3"/>
        <v>1</v>
      </c>
      <c r="AB17" s="1809">
        <f t="shared" si="4"/>
        <v>1</v>
      </c>
      <c r="AC17" s="1809">
        <f t="shared" si="5"/>
        <v>1</v>
      </c>
    </row>
    <row r="18" spans="1:29" ht="15">
      <c r="A18" s="427"/>
      <c r="B18" s="455"/>
      <c r="C18" s="2608" t="s">
        <v>3110</v>
      </c>
      <c r="D18" s="449"/>
      <c r="E18" s="2609" t="s">
        <v>3110</v>
      </c>
      <c r="F18" s="449"/>
      <c r="G18" s="2610" t="s">
        <v>3110</v>
      </c>
      <c r="H18" s="447"/>
      <c r="I18" s="2610" t="s">
        <v>3110</v>
      </c>
      <c r="J18" s="447"/>
      <c r="K18" s="2606"/>
      <c r="L18" s="1139"/>
      <c r="M18" s="1130"/>
      <c r="N18" s="1130"/>
      <c r="O18" s="1130"/>
      <c r="P18" s="3290"/>
      <c r="Q18" s="1808"/>
      <c r="R18" s="773"/>
      <c r="S18" s="774"/>
      <c r="T18" s="773"/>
      <c r="U18" s="774"/>
      <c r="V18" s="773"/>
      <c r="W18" s="774"/>
      <c r="X18" s="1811"/>
      <c r="Y18" s="3244"/>
      <c r="Z18" s="1812"/>
      <c r="AA18" s="1809">
        <v>1</v>
      </c>
      <c r="AB18" s="1809">
        <v>1</v>
      </c>
      <c r="AC18" s="1809">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90"/>
      <c r="Q19" s="1808" t="str">
        <f>B19</f>
        <v>公共配套设施</v>
      </c>
      <c r="R19" s="773" t="s">
        <v>21</v>
      </c>
      <c r="S19" s="774">
        <f>F19</f>
        <v>100</v>
      </c>
      <c r="T19" s="773" t="s">
        <v>21</v>
      </c>
      <c r="U19" s="774">
        <f>H19</f>
        <v>100</v>
      </c>
      <c r="V19" s="773" t="s">
        <v>21</v>
      </c>
      <c r="W19" s="774">
        <f>J19</f>
        <v>100</v>
      </c>
      <c r="X19" s="1811"/>
      <c r="Y19" s="3244"/>
      <c r="Z19" s="1812" t="str">
        <f>Q19</f>
        <v>公共配套设施</v>
      </c>
      <c r="AA19" s="1809">
        <f t="shared" si="3"/>
        <v>1</v>
      </c>
      <c r="AB19" s="1809">
        <f t="shared" si="4"/>
        <v>1</v>
      </c>
      <c r="AC19" s="1809">
        <f t="shared" si="5"/>
        <v>1</v>
      </c>
    </row>
    <row r="20" spans="1:29" ht="15">
      <c r="A20" s="427"/>
      <c r="B20" s="455"/>
      <c r="C20" s="446" t="s">
        <v>3110</v>
      </c>
      <c r="D20" s="447"/>
      <c r="E20" s="2604" t="s">
        <v>3110</v>
      </c>
      <c r="F20" s="447"/>
      <c r="G20" s="2605" t="s">
        <v>3110</v>
      </c>
      <c r="H20" s="447"/>
      <c r="I20" s="2605" t="s">
        <v>3110</v>
      </c>
      <c r="J20" s="447"/>
      <c r="K20" s="2606"/>
      <c r="L20" s="1139"/>
      <c r="M20" s="1130"/>
      <c r="N20" s="1130"/>
      <c r="O20" s="1130"/>
      <c r="P20" s="3290"/>
      <c r="Q20" s="1808"/>
      <c r="R20" s="773"/>
      <c r="S20" s="774"/>
      <c r="T20" s="773"/>
      <c r="U20" s="774"/>
      <c r="V20" s="773"/>
      <c r="W20" s="774"/>
      <c r="X20" s="1811"/>
      <c r="Y20" s="3244"/>
      <c r="Z20" s="1812"/>
      <c r="AA20" s="1809">
        <v>1</v>
      </c>
      <c r="AB20" s="1809">
        <v>1</v>
      </c>
      <c r="AC20" s="1809">
        <v>1</v>
      </c>
    </row>
    <row r="21" spans="1:29" ht="28.5">
      <c r="A21" s="427"/>
      <c r="B21" s="1383"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90"/>
      <c r="Q21" s="1808" t="str">
        <f>B21</f>
        <v>基础设施水平</v>
      </c>
      <c r="R21" s="773" t="s">
        <v>17</v>
      </c>
      <c r="S21" s="774">
        <f>F21</f>
        <v>100</v>
      </c>
      <c r="T21" s="773" t="s">
        <v>17</v>
      </c>
      <c r="U21" s="774">
        <f>H21</f>
        <v>100</v>
      </c>
      <c r="V21" s="773" t="s">
        <v>17</v>
      </c>
      <c r="W21" s="774">
        <f>J21</f>
        <v>100</v>
      </c>
      <c r="X21" s="1811"/>
      <c r="Y21" s="3244"/>
      <c r="Z21" s="1812" t="str">
        <f>Q21</f>
        <v>基础设施水平</v>
      </c>
      <c r="AA21" s="1809">
        <f t="shared" ref="AA21" si="8">D21/F21</f>
        <v>1</v>
      </c>
      <c r="AB21" s="1809">
        <f t="shared" ref="AB21" si="9">D21/H21</f>
        <v>1</v>
      </c>
      <c r="AC21" s="1809">
        <f t="shared" ref="AC21" si="10">D21/J21</f>
        <v>1</v>
      </c>
    </row>
    <row r="22" spans="1:29" ht="15">
      <c r="A22" s="427"/>
      <c r="B22" s="1383"/>
      <c r="C22" s="2608" t="s">
        <v>3112</v>
      </c>
      <c r="D22" s="447"/>
      <c r="E22" s="446" t="s">
        <v>3112</v>
      </c>
      <c r="F22" s="447"/>
      <c r="G22" s="2611" t="s">
        <v>3112</v>
      </c>
      <c r="H22" s="447"/>
      <c r="I22" s="446" t="s">
        <v>3112</v>
      </c>
      <c r="J22" s="447"/>
      <c r="K22" s="2612"/>
      <c r="L22" s="1139"/>
      <c r="M22" s="1130"/>
      <c r="N22" s="1130"/>
      <c r="O22" s="1130"/>
      <c r="P22" s="3290"/>
      <c r="Q22" s="1808"/>
      <c r="R22" s="773"/>
      <c r="S22" s="774"/>
      <c r="T22" s="773"/>
      <c r="U22" s="774"/>
      <c r="V22" s="773"/>
      <c r="W22" s="774"/>
      <c r="X22" s="1811"/>
      <c r="Y22" s="3244"/>
      <c r="Z22" s="1812"/>
      <c r="AA22" s="1809">
        <v>1</v>
      </c>
      <c r="AB22" s="1809">
        <v>1</v>
      </c>
      <c r="AC22" s="1809">
        <v>1</v>
      </c>
    </row>
    <row r="23" spans="1:29" ht="57">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90"/>
      <c r="Q23" s="1808" t="str">
        <f>B23</f>
        <v>自然及人文环境</v>
      </c>
      <c r="R23" s="773" t="s">
        <v>21</v>
      </c>
      <c r="S23" s="774">
        <f>F23</f>
        <v>100</v>
      </c>
      <c r="T23" s="773" t="s">
        <v>21</v>
      </c>
      <c r="U23" s="774">
        <f>H23</f>
        <v>100</v>
      </c>
      <c r="V23" s="773" t="s">
        <v>21</v>
      </c>
      <c r="W23" s="774">
        <f>J23</f>
        <v>100</v>
      </c>
      <c r="X23" s="1811"/>
      <c r="Y23" s="3244"/>
      <c r="Z23" s="1812" t="str">
        <f>Q23</f>
        <v>自然及人文环境</v>
      </c>
      <c r="AA23" s="1809">
        <f>D23/F23</f>
        <v>1</v>
      </c>
      <c r="AB23" s="1809">
        <f>D23/H23</f>
        <v>1</v>
      </c>
      <c r="AC23" s="1809">
        <f>D23/J23</f>
        <v>1</v>
      </c>
    </row>
    <row r="24" spans="1:29" ht="15">
      <c r="A24" s="427"/>
      <c r="B24" s="455"/>
      <c r="C24" s="446" t="s">
        <v>3110</v>
      </c>
      <c r="D24" s="447"/>
      <c r="E24" s="2604" t="s">
        <v>3110</v>
      </c>
      <c r="F24" s="447"/>
      <c r="G24" s="2605" t="s">
        <v>3110</v>
      </c>
      <c r="H24" s="447"/>
      <c r="I24" s="2605" t="s">
        <v>3110</v>
      </c>
      <c r="J24" s="447"/>
      <c r="K24" s="2606"/>
      <c r="L24" s="1139"/>
      <c r="M24" s="1130"/>
      <c r="N24" s="1130"/>
      <c r="O24" s="1130"/>
      <c r="P24" s="3290"/>
      <c r="Q24" s="1808"/>
      <c r="R24" s="773"/>
      <c r="S24" s="774"/>
      <c r="T24" s="773"/>
      <c r="U24" s="774"/>
      <c r="V24" s="773"/>
      <c r="W24" s="774"/>
      <c r="X24" s="1811"/>
      <c r="Y24" s="3244"/>
      <c r="Z24" s="1812"/>
      <c r="AA24" s="1809">
        <v>1</v>
      </c>
      <c r="AB24" s="1809">
        <v>1</v>
      </c>
      <c r="AC24" s="1809">
        <v>1</v>
      </c>
    </row>
    <row r="25" spans="1:29" ht="15">
      <c r="A25" s="427"/>
      <c r="B25" s="421" t="s">
        <v>2560</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29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4"/>
      <c r="Z25" s="1812" t="str">
        <f>Q25</f>
        <v>楼层-1</v>
      </c>
      <c r="AA25" s="1809">
        <f t="shared" ref="AA25:AA46" si="15">D25/F25</f>
        <v>1</v>
      </c>
      <c r="AB25" s="1809">
        <f t="shared" ref="AB25:AB46" si="16">D25/H25</f>
        <v>1</v>
      </c>
      <c r="AC25" s="1809">
        <f t="shared" ref="AC25:AC46" si="17">D25/J25</f>
        <v>1</v>
      </c>
    </row>
    <row r="26" spans="1:29" ht="15">
      <c r="A26" s="427"/>
      <c r="B26" s="421" t="s">
        <v>2561</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290"/>
      <c r="Q26" s="1808" t="str">
        <f t="shared" si="11"/>
        <v>朝向</v>
      </c>
      <c r="R26" s="773" t="s">
        <v>21</v>
      </c>
      <c r="S26" s="774">
        <f t="shared" si="12"/>
        <v>100</v>
      </c>
      <c r="T26" s="773" t="s">
        <v>21</v>
      </c>
      <c r="U26" s="774">
        <f t="shared" si="13"/>
        <v>100</v>
      </c>
      <c r="V26" s="773" t="s">
        <v>21</v>
      </c>
      <c r="W26" s="774">
        <f t="shared" si="14"/>
        <v>100</v>
      </c>
      <c r="X26" s="1811"/>
      <c r="Y26" s="3244"/>
      <c r="Z26" s="1812" t="str">
        <f>Q26</f>
        <v>朝向</v>
      </c>
      <c r="AA26" s="1809">
        <f t="shared" si="15"/>
        <v>1</v>
      </c>
      <c r="AB26" s="1809">
        <f t="shared" si="16"/>
        <v>1</v>
      </c>
      <c r="AC26" s="1809">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290"/>
      <c r="Q27" s="1793">
        <f t="shared" si="11"/>
        <v>111</v>
      </c>
      <c r="R27" s="769" t="s">
        <v>21</v>
      </c>
      <c r="S27" s="770">
        <f t="shared" si="12"/>
        <v>100</v>
      </c>
      <c r="T27" s="769" t="s">
        <v>21</v>
      </c>
      <c r="U27" s="770">
        <f t="shared" si="13"/>
        <v>100</v>
      </c>
      <c r="V27" s="769" t="s">
        <v>21</v>
      </c>
      <c r="W27" s="770">
        <f t="shared" si="14"/>
        <v>100</v>
      </c>
      <c r="X27" s="771"/>
      <c r="Y27" s="3244"/>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290"/>
      <c r="Q28" s="1808">
        <f t="shared" si="11"/>
        <v>111</v>
      </c>
      <c r="R28" s="773" t="s">
        <v>21</v>
      </c>
      <c r="S28" s="774">
        <f t="shared" si="12"/>
        <v>100</v>
      </c>
      <c r="T28" s="773" t="s">
        <v>21</v>
      </c>
      <c r="U28" s="774">
        <f t="shared" si="13"/>
        <v>100</v>
      </c>
      <c r="V28" s="773" t="s">
        <v>21</v>
      </c>
      <c r="W28" s="774">
        <f t="shared" si="14"/>
        <v>100</v>
      </c>
      <c r="X28" s="1811"/>
      <c r="Y28" s="3244"/>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290"/>
      <c r="Q29" s="1808">
        <f t="shared" si="11"/>
        <v>111</v>
      </c>
      <c r="R29" s="773" t="s">
        <v>21</v>
      </c>
      <c r="S29" s="774">
        <f t="shared" si="12"/>
        <v>100</v>
      </c>
      <c r="T29" s="773" t="s">
        <v>21</v>
      </c>
      <c r="U29" s="774">
        <f t="shared" si="13"/>
        <v>100</v>
      </c>
      <c r="V29" s="773" t="s">
        <v>21</v>
      </c>
      <c r="W29" s="774">
        <f t="shared" si="14"/>
        <v>100</v>
      </c>
      <c r="X29" s="1811"/>
      <c r="Y29" s="3244"/>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290"/>
      <c r="Q30" s="1808">
        <f t="shared" si="11"/>
        <v>111</v>
      </c>
      <c r="R30" s="773" t="s">
        <v>21</v>
      </c>
      <c r="S30" s="774">
        <f t="shared" si="12"/>
        <v>100</v>
      </c>
      <c r="T30" s="773" t="s">
        <v>21</v>
      </c>
      <c r="U30" s="774">
        <f t="shared" si="13"/>
        <v>100</v>
      </c>
      <c r="V30" s="773" t="s">
        <v>21</v>
      </c>
      <c r="W30" s="774">
        <f t="shared" si="14"/>
        <v>100</v>
      </c>
      <c r="X30" s="1811"/>
      <c r="Y30" s="3244"/>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290"/>
      <c r="Q31" s="1808">
        <f t="shared" si="11"/>
        <v>111</v>
      </c>
      <c r="R31" s="773" t="s">
        <v>21</v>
      </c>
      <c r="S31" s="774">
        <f t="shared" si="12"/>
        <v>100</v>
      </c>
      <c r="T31" s="773" t="s">
        <v>21</v>
      </c>
      <c r="U31" s="774">
        <f t="shared" si="13"/>
        <v>100</v>
      </c>
      <c r="V31" s="773" t="s">
        <v>21</v>
      </c>
      <c r="W31" s="774">
        <f t="shared" si="14"/>
        <v>100</v>
      </c>
      <c r="X31" s="1811"/>
      <c r="Y31" s="3244"/>
      <c r="Z31" s="1812">
        <f t="shared" si="18"/>
        <v>111</v>
      </c>
      <c r="AA31" s="1809">
        <f t="shared" si="15"/>
        <v>1</v>
      </c>
      <c r="AB31" s="1809">
        <f t="shared" si="16"/>
        <v>1</v>
      </c>
      <c r="AC31" s="1809">
        <f t="shared" si="17"/>
        <v>1</v>
      </c>
    </row>
    <row r="32" spans="1:29" ht="15">
      <c r="A32" s="439" t="s">
        <v>2562</v>
      </c>
      <c r="B32" s="71" t="s">
        <v>2563</v>
      </c>
      <c r="C32" s="2617" t="s">
        <v>3113</v>
      </c>
      <c r="D32" s="466">
        <v>100</v>
      </c>
      <c r="E32" s="2618" t="s">
        <v>3113</v>
      </c>
      <c r="F32" s="460">
        <f>SUMIF(100:100,E32,101:101)-SUMIF(100:100,C32,101:101)+100</f>
        <v>100</v>
      </c>
      <c r="G32" s="2617" t="s">
        <v>3113</v>
      </c>
      <c r="H32" s="466">
        <f>SUMIF(100:100,G32,101:101)-SUMIF(100:100,C32,101:101)+100</f>
        <v>100</v>
      </c>
      <c r="I32" s="2618" t="s">
        <v>3113</v>
      </c>
      <c r="J32" s="434">
        <f>SUMIF(100:100,I32,101:101)-SUMIF(100:100,C32,101:101)+100</f>
        <v>100</v>
      </c>
      <c r="K32" s="425"/>
      <c r="L32" s="1139"/>
      <c r="M32" s="1130"/>
      <c r="N32" s="1130"/>
      <c r="O32" s="1130"/>
      <c r="P32" s="3285" t="s">
        <v>2564</v>
      </c>
      <c r="Q32" s="1808" t="str">
        <f t="shared" si="11"/>
        <v>建筑类型</v>
      </c>
      <c r="R32" s="773" t="s">
        <v>21</v>
      </c>
      <c r="S32" s="774">
        <f t="shared" si="12"/>
        <v>100</v>
      </c>
      <c r="T32" s="773" t="s">
        <v>21</v>
      </c>
      <c r="U32" s="774">
        <f t="shared" si="13"/>
        <v>100</v>
      </c>
      <c r="V32" s="773" t="s">
        <v>21</v>
      </c>
      <c r="W32" s="774">
        <f t="shared" si="14"/>
        <v>100</v>
      </c>
      <c r="X32" s="1811"/>
      <c r="Y32" s="3246" t="s">
        <v>2564</v>
      </c>
      <c r="Z32" s="1812" t="str">
        <f t="shared" si="18"/>
        <v>建筑类型</v>
      </c>
      <c r="AA32" s="1809">
        <f t="shared" si="15"/>
        <v>1</v>
      </c>
      <c r="AB32" s="1809">
        <f t="shared" si="16"/>
        <v>1</v>
      </c>
      <c r="AC32" s="1809">
        <f t="shared" si="17"/>
        <v>1</v>
      </c>
    </row>
    <row r="33" spans="1:29" s="470" customFormat="1" ht="15">
      <c r="A33" s="467"/>
      <c r="B33" s="421" t="s">
        <v>2565</v>
      </c>
      <c r="C33" s="468">
        <f>'数据-基础表'!B3</f>
        <v>255265.94</v>
      </c>
      <c r="D33" s="135">
        <v>100</v>
      </c>
      <c r="E33" s="3007">
        <v>325242</v>
      </c>
      <c r="F33" s="424">
        <f>LOOKUP(E33,103:103,104:104)-LOOKUP(C33,103:103,104:104)+100</f>
        <v>100</v>
      </c>
      <c r="G33" s="2987">
        <v>90000</v>
      </c>
      <c r="H33" s="135">
        <f>LOOKUP(G33,103:103,104:104)-LOOKUP(C33,103:103,104:104)+100</f>
        <v>98</v>
      </c>
      <c r="I33" s="429">
        <v>880000</v>
      </c>
      <c r="J33" s="135">
        <f>LOOKUP(I33,103:103,104:104)-LOOKUP(C33,103:103,104:104)+100</f>
        <v>102</v>
      </c>
      <c r="K33" s="2601"/>
      <c r="L33" s="1137"/>
      <c r="M33" s="1140"/>
      <c r="N33" s="1140"/>
      <c r="O33" s="1140"/>
      <c r="P33" s="3286"/>
      <c r="Q33" s="775" t="str">
        <f t="shared" si="11"/>
        <v>项目建筑规模</v>
      </c>
      <c r="R33" s="776" t="s">
        <v>21</v>
      </c>
      <c r="S33" s="777">
        <f t="shared" si="12"/>
        <v>100</v>
      </c>
      <c r="T33" s="776" t="s">
        <v>21</v>
      </c>
      <c r="U33" s="777">
        <f t="shared" si="13"/>
        <v>98</v>
      </c>
      <c r="V33" s="776" t="s">
        <v>21</v>
      </c>
      <c r="W33" s="777">
        <f t="shared" si="14"/>
        <v>102</v>
      </c>
      <c r="X33" s="778"/>
      <c r="Y33" s="3246"/>
      <c r="Z33" s="779" t="str">
        <f t="shared" si="18"/>
        <v>项目建筑规模</v>
      </c>
      <c r="AA33" s="1809">
        <f t="shared" si="15"/>
        <v>1</v>
      </c>
      <c r="AB33" s="1809">
        <f t="shared" si="16"/>
        <v>1.0204081632653061</v>
      </c>
      <c r="AC33" s="1809">
        <f t="shared" si="17"/>
        <v>0.98039215686274506</v>
      </c>
    </row>
    <row r="34" spans="1:29" ht="15">
      <c r="A34" s="471"/>
      <c r="B34" s="421" t="s">
        <v>2566</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39"/>
      <c r="M34" s="1130"/>
      <c r="N34" s="1130"/>
      <c r="O34" s="1130"/>
      <c r="P34" s="3286"/>
      <c r="Q34" s="1808" t="str">
        <f t="shared" si="11"/>
        <v>建筑结构</v>
      </c>
      <c r="R34" s="773" t="s">
        <v>21</v>
      </c>
      <c r="S34" s="774">
        <f t="shared" si="12"/>
        <v>100</v>
      </c>
      <c r="T34" s="773" t="s">
        <v>21</v>
      </c>
      <c r="U34" s="774">
        <f t="shared" si="13"/>
        <v>100</v>
      </c>
      <c r="V34" s="773" t="s">
        <v>21</v>
      </c>
      <c r="W34" s="774">
        <f t="shared" si="14"/>
        <v>100</v>
      </c>
      <c r="X34" s="1811"/>
      <c r="Y34" s="3246"/>
      <c r="Z34" s="1812" t="str">
        <f t="shared" si="18"/>
        <v>建筑结构</v>
      </c>
      <c r="AA34" s="1809">
        <f t="shared" si="15"/>
        <v>1</v>
      </c>
      <c r="AB34" s="1809">
        <f t="shared" si="16"/>
        <v>1</v>
      </c>
      <c r="AC34" s="1809">
        <f t="shared" si="17"/>
        <v>1</v>
      </c>
    </row>
    <row r="35" spans="1:29" ht="15">
      <c r="A35" s="471"/>
      <c r="B35" s="3008" t="s">
        <v>2567</v>
      </c>
      <c r="C35" s="2613" t="s">
        <v>3307</v>
      </c>
      <c r="D35" s="434">
        <v>100</v>
      </c>
      <c r="E35" s="2614" t="s">
        <v>3319</v>
      </c>
      <c r="F35" s="460">
        <f>SUMIF(107:107,E35,108:108)-SUMIF(107:107,C35,108:108)+100</f>
        <v>100</v>
      </c>
      <c r="G35" s="2613" t="s">
        <v>3319</v>
      </c>
      <c r="H35" s="434">
        <f>SUMIF(107:107,G35,108:108)-SUMIF(107:107,C35,108:108)+100</f>
        <v>100</v>
      </c>
      <c r="I35" s="2614" t="s">
        <v>3319</v>
      </c>
      <c r="J35" s="434">
        <f>SUMIF(107:107,I35,108:108)-SUMIF(107:107,C35,108:108)+100</f>
        <v>100</v>
      </c>
      <c r="K35" s="425"/>
      <c r="L35" s="1139"/>
      <c r="M35" s="1130"/>
      <c r="N35" s="1130"/>
      <c r="O35" s="1130"/>
      <c r="P35" s="3286"/>
      <c r="Q35" s="1808" t="str">
        <f t="shared" si="11"/>
        <v>建筑品质</v>
      </c>
      <c r="R35" s="773" t="s">
        <v>21</v>
      </c>
      <c r="S35" s="774">
        <f t="shared" si="12"/>
        <v>100</v>
      </c>
      <c r="T35" s="773" t="s">
        <v>21</v>
      </c>
      <c r="U35" s="774">
        <f t="shared" si="13"/>
        <v>100</v>
      </c>
      <c r="V35" s="773" t="s">
        <v>21</v>
      </c>
      <c r="W35" s="774">
        <f t="shared" si="14"/>
        <v>100</v>
      </c>
      <c r="X35" s="1811"/>
      <c r="Y35" s="3246"/>
      <c r="Z35" s="1812" t="str">
        <f t="shared" si="18"/>
        <v>建筑品质</v>
      </c>
      <c r="AA35" s="1809">
        <f t="shared" si="15"/>
        <v>1</v>
      </c>
      <c r="AB35" s="1809">
        <f t="shared" si="16"/>
        <v>1</v>
      </c>
      <c r="AC35" s="1809">
        <f t="shared" si="17"/>
        <v>1</v>
      </c>
    </row>
    <row r="36" spans="1:29" ht="15">
      <c r="A36" s="471"/>
      <c r="B36" s="421" t="s">
        <v>2568</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39"/>
      <c r="M36" s="1130"/>
      <c r="N36" s="1130"/>
      <c r="O36" s="1130"/>
      <c r="P36" s="3286"/>
      <c r="Q36" s="1808" t="str">
        <f t="shared" si="11"/>
        <v>公共部分装修</v>
      </c>
      <c r="R36" s="773" t="s">
        <v>21</v>
      </c>
      <c r="S36" s="774">
        <f t="shared" si="12"/>
        <v>100</v>
      </c>
      <c r="T36" s="773" t="s">
        <v>21</v>
      </c>
      <c r="U36" s="774">
        <f t="shared" si="13"/>
        <v>100</v>
      </c>
      <c r="V36" s="773" t="s">
        <v>21</v>
      </c>
      <c r="W36" s="774">
        <f t="shared" si="14"/>
        <v>100</v>
      </c>
      <c r="X36" s="1811"/>
      <c r="Y36" s="3246"/>
      <c r="Z36" s="1812" t="str">
        <f t="shared" si="18"/>
        <v>公共部分装修</v>
      </c>
      <c r="AA36" s="1809">
        <f t="shared" si="15"/>
        <v>1</v>
      </c>
      <c r="AB36" s="1809">
        <f t="shared" si="16"/>
        <v>1</v>
      </c>
      <c r="AC36" s="1809">
        <f t="shared" si="17"/>
        <v>1</v>
      </c>
    </row>
    <row r="37" spans="1:29" s="117" customFormat="1" ht="15">
      <c r="A37" s="472"/>
      <c r="B37" s="421" t="s">
        <v>2569</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c r="L37" s="1131"/>
      <c r="M37" s="1132"/>
      <c r="N37" s="1132"/>
      <c r="O37" s="1132"/>
      <c r="P37" s="3286"/>
      <c r="Q37" s="1793" t="str">
        <f t="shared" si="11"/>
        <v>成新度</v>
      </c>
      <c r="R37" s="769" t="s">
        <v>21</v>
      </c>
      <c r="S37" s="770">
        <f t="shared" si="12"/>
        <v>100</v>
      </c>
      <c r="T37" s="769" t="s">
        <v>21</v>
      </c>
      <c r="U37" s="770">
        <f t="shared" si="13"/>
        <v>100</v>
      </c>
      <c r="V37" s="769" t="s">
        <v>21</v>
      </c>
      <c r="W37" s="770">
        <f t="shared" si="14"/>
        <v>100</v>
      </c>
      <c r="X37" s="771"/>
      <c r="Y37" s="3246"/>
      <c r="Z37" s="55" t="str">
        <f t="shared" si="18"/>
        <v>成新度</v>
      </c>
      <c r="AA37" s="772">
        <f t="shared" si="15"/>
        <v>1</v>
      </c>
      <c r="AB37" s="772">
        <f t="shared" si="16"/>
        <v>1</v>
      </c>
      <c r="AC37" s="772">
        <f t="shared" si="17"/>
        <v>1</v>
      </c>
    </row>
    <row r="38" spans="1:29" ht="15">
      <c r="A38" s="471"/>
      <c r="B38" s="421" t="s">
        <v>2570</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39"/>
      <c r="M38" s="1130"/>
      <c r="N38" s="1130"/>
      <c r="O38" s="1130"/>
      <c r="P38" s="3286" t="s">
        <v>2564</v>
      </c>
      <c r="Q38" s="1808" t="str">
        <f t="shared" si="11"/>
        <v>物业管理</v>
      </c>
      <c r="R38" s="773" t="s">
        <v>21</v>
      </c>
      <c r="S38" s="774">
        <f t="shared" si="12"/>
        <v>100</v>
      </c>
      <c r="T38" s="773" t="s">
        <v>21</v>
      </c>
      <c r="U38" s="774">
        <f t="shared" si="13"/>
        <v>100</v>
      </c>
      <c r="V38" s="773" t="s">
        <v>21</v>
      </c>
      <c r="W38" s="774">
        <f t="shared" si="14"/>
        <v>100</v>
      </c>
      <c r="X38" s="1811"/>
      <c r="Y38" s="3246" t="s">
        <v>2564</v>
      </c>
      <c r="Z38" s="1812" t="str">
        <f t="shared" si="18"/>
        <v>物业管理</v>
      </c>
      <c r="AA38" s="1809">
        <f t="shared" si="15"/>
        <v>1</v>
      </c>
      <c r="AB38" s="1809">
        <f t="shared" si="16"/>
        <v>1</v>
      </c>
      <c r="AC38" s="1809">
        <f t="shared" si="17"/>
        <v>1</v>
      </c>
    </row>
    <row r="39" spans="1:29" ht="15">
      <c r="A39" s="471"/>
      <c r="B39" s="421" t="s">
        <v>2571</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39"/>
      <c r="M39" s="1130"/>
      <c r="N39" s="1130"/>
      <c r="O39" s="1130"/>
      <c r="P39" s="3286"/>
      <c r="Q39" s="1808" t="str">
        <f t="shared" si="11"/>
        <v>市政基础设施</v>
      </c>
      <c r="R39" s="773" t="s">
        <v>21</v>
      </c>
      <c r="S39" s="774">
        <f t="shared" si="12"/>
        <v>100</v>
      </c>
      <c r="T39" s="773" t="s">
        <v>21</v>
      </c>
      <c r="U39" s="774">
        <f t="shared" si="13"/>
        <v>100</v>
      </c>
      <c r="V39" s="773" t="s">
        <v>21</v>
      </c>
      <c r="W39" s="774">
        <f t="shared" si="14"/>
        <v>100</v>
      </c>
      <c r="X39" s="1811"/>
      <c r="Y39" s="3246"/>
      <c r="Z39" s="1812" t="str">
        <f t="shared" si="18"/>
        <v>市政基础设施</v>
      </c>
      <c r="AA39" s="1809">
        <f t="shared" si="15"/>
        <v>1</v>
      </c>
      <c r="AB39" s="1809">
        <f t="shared" si="16"/>
        <v>1</v>
      </c>
      <c r="AC39" s="1809">
        <f t="shared" si="17"/>
        <v>1</v>
      </c>
    </row>
    <row r="40" spans="1:29" ht="15">
      <c r="A40" s="471"/>
      <c r="B40" s="421" t="s">
        <v>2572</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286"/>
      <c r="Q40" s="1808" t="str">
        <f t="shared" si="11"/>
        <v>房型</v>
      </c>
      <c r="R40" s="773" t="s">
        <v>21</v>
      </c>
      <c r="S40" s="774">
        <f t="shared" si="12"/>
        <v>100</v>
      </c>
      <c r="T40" s="773" t="s">
        <v>21</v>
      </c>
      <c r="U40" s="774">
        <f t="shared" si="13"/>
        <v>100</v>
      </c>
      <c r="V40" s="773" t="s">
        <v>21</v>
      </c>
      <c r="W40" s="774">
        <f t="shared" si="14"/>
        <v>100</v>
      </c>
      <c r="X40" s="1811"/>
      <c r="Y40" s="3246"/>
      <c r="Z40" s="1812" t="str">
        <f t="shared" si="18"/>
        <v>房型</v>
      </c>
      <c r="AA40" s="1809">
        <f t="shared" si="15"/>
        <v>1</v>
      </c>
      <c r="AB40" s="1809">
        <f t="shared" si="16"/>
        <v>1</v>
      </c>
      <c r="AC40" s="1809">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7"/>
      <c r="M41" s="1140"/>
      <c r="N41" s="1140"/>
      <c r="O41" s="1140"/>
      <c r="P41" s="3286"/>
      <c r="Q41" s="775" t="str">
        <f t="shared" si="11"/>
        <v>单套/主力户型建筑面积</v>
      </c>
      <c r="R41" s="776" t="s">
        <v>21</v>
      </c>
      <c r="S41" s="777">
        <f t="shared" si="12"/>
        <v>100</v>
      </c>
      <c r="T41" s="776" t="s">
        <v>21</v>
      </c>
      <c r="U41" s="777">
        <f t="shared" si="13"/>
        <v>100</v>
      </c>
      <c r="V41" s="776" t="s">
        <v>21</v>
      </c>
      <c r="W41" s="777">
        <f t="shared" si="14"/>
        <v>100</v>
      </c>
      <c r="X41" s="778"/>
      <c r="Y41" s="3246"/>
      <c r="Z41" s="779" t="str">
        <f t="shared" si="18"/>
        <v>单套/主力户型建筑面积</v>
      </c>
      <c r="AA41" s="1809">
        <f t="shared" si="15"/>
        <v>1</v>
      </c>
      <c r="AB41" s="1809">
        <f t="shared" si="16"/>
        <v>1</v>
      </c>
      <c r="AC41" s="1809">
        <f t="shared" si="17"/>
        <v>1</v>
      </c>
    </row>
    <row r="42" spans="1:29" ht="15">
      <c r="A42" s="471"/>
      <c r="B42" s="421" t="s">
        <v>2574</v>
      </c>
      <c r="C42" s="2613" t="s">
        <v>3119</v>
      </c>
      <c r="D42" s="434">
        <v>100</v>
      </c>
      <c r="E42" s="2614" t="s">
        <v>3117</v>
      </c>
      <c r="F42" s="460">
        <f>SUMIF(122:122,E42,123:123)-SUMIF(122:122,C42,123:123)+100</f>
        <v>106</v>
      </c>
      <c r="G42" s="2613" t="s">
        <v>3117</v>
      </c>
      <c r="H42" s="434">
        <f>SUMIF(122:122,G42,123:123)-SUMIF(122:122,C42,123:123)+100</f>
        <v>106</v>
      </c>
      <c r="I42" s="2614" t="s">
        <v>3119</v>
      </c>
      <c r="J42" s="434">
        <f>SUMIF(122:122,I42,123:123)-SUMIF(122:122,C42,123:123)+100</f>
        <v>100</v>
      </c>
      <c r="K42" s="425">
        <v>2</v>
      </c>
      <c r="L42" s="1139"/>
      <c r="M42" s="1130"/>
      <c r="N42" s="1130"/>
      <c r="O42" s="1130"/>
      <c r="P42" s="3286"/>
      <c r="Q42" s="1808" t="str">
        <f t="shared" si="11"/>
        <v>内部装修</v>
      </c>
      <c r="R42" s="773" t="s">
        <v>21</v>
      </c>
      <c r="S42" s="774">
        <f t="shared" si="12"/>
        <v>106</v>
      </c>
      <c r="T42" s="773" t="s">
        <v>21</v>
      </c>
      <c r="U42" s="774">
        <f t="shared" si="13"/>
        <v>106</v>
      </c>
      <c r="V42" s="773" t="s">
        <v>21</v>
      </c>
      <c r="W42" s="774">
        <f t="shared" si="14"/>
        <v>100</v>
      </c>
      <c r="X42" s="1811"/>
      <c r="Y42" s="3246"/>
      <c r="Z42" s="1812" t="str">
        <f t="shared" si="18"/>
        <v>内部装修</v>
      </c>
      <c r="AA42" s="1809">
        <f t="shared" si="15"/>
        <v>0.94339622641509435</v>
      </c>
      <c r="AB42" s="1809">
        <f t="shared" si="16"/>
        <v>0.94339622641509435</v>
      </c>
      <c r="AC42" s="1809">
        <f t="shared" si="17"/>
        <v>1</v>
      </c>
    </row>
    <row r="43" spans="1:29" ht="15">
      <c r="A43" s="471"/>
      <c r="B43" s="421" t="s">
        <v>2575</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39"/>
      <c r="M43" s="1130"/>
      <c r="N43" s="1130"/>
      <c r="O43" s="1130"/>
      <c r="P43" s="3286"/>
      <c r="Q43" s="1808" t="str">
        <f t="shared" si="11"/>
        <v>内部装修维护情况</v>
      </c>
      <c r="R43" s="773" t="s">
        <v>21</v>
      </c>
      <c r="S43" s="774">
        <f t="shared" si="12"/>
        <v>100</v>
      </c>
      <c r="T43" s="773" t="s">
        <v>21</v>
      </c>
      <c r="U43" s="774">
        <f t="shared" si="13"/>
        <v>100</v>
      </c>
      <c r="V43" s="773" t="s">
        <v>21</v>
      </c>
      <c r="W43" s="774">
        <f t="shared" si="14"/>
        <v>100</v>
      </c>
      <c r="X43" s="1811"/>
      <c r="Y43" s="3246"/>
      <c r="Z43" s="1812" t="str">
        <f t="shared" si="18"/>
        <v>内部装修维护情况</v>
      </c>
      <c r="AA43" s="1809">
        <f t="shared" si="15"/>
        <v>1</v>
      </c>
      <c r="AB43" s="1809">
        <f t="shared" si="16"/>
        <v>1</v>
      </c>
      <c r="AC43" s="1809">
        <f t="shared" si="17"/>
        <v>1</v>
      </c>
    </row>
    <row r="44" spans="1:29" s="117" customFormat="1" ht="15">
      <c r="A44" s="472"/>
      <c r="B44" s="3003"/>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286"/>
      <c r="Q44" s="1793">
        <f t="shared" si="11"/>
        <v>0</v>
      </c>
      <c r="R44" s="769" t="s">
        <v>21</v>
      </c>
      <c r="S44" s="770">
        <f t="shared" si="12"/>
        <v>100</v>
      </c>
      <c r="T44" s="769" t="s">
        <v>21</v>
      </c>
      <c r="U44" s="770">
        <f t="shared" si="13"/>
        <v>100</v>
      </c>
      <c r="V44" s="769" t="s">
        <v>21</v>
      </c>
      <c r="W44" s="770">
        <f t="shared" si="14"/>
        <v>100</v>
      </c>
      <c r="X44" s="771"/>
      <c r="Y44" s="3246"/>
      <c r="Z44" s="55">
        <f t="shared" si="18"/>
        <v>0</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286"/>
      <c r="Q45" s="1808">
        <f t="shared" si="11"/>
        <v>111</v>
      </c>
      <c r="R45" s="773" t="s">
        <v>21</v>
      </c>
      <c r="S45" s="774">
        <f t="shared" si="12"/>
        <v>100</v>
      </c>
      <c r="T45" s="773" t="s">
        <v>21</v>
      </c>
      <c r="U45" s="774">
        <f t="shared" si="13"/>
        <v>100</v>
      </c>
      <c r="V45" s="773" t="s">
        <v>21</v>
      </c>
      <c r="W45" s="774">
        <f t="shared" si="14"/>
        <v>100</v>
      </c>
      <c r="X45" s="1811"/>
      <c r="Y45" s="3246"/>
      <c r="Z45" s="1812">
        <f t="shared" si="18"/>
        <v>111</v>
      </c>
      <c r="AA45" s="1809">
        <f t="shared" si="15"/>
        <v>1</v>
      </c>
      <c r="AB45" s="1809">
        <f t="shared" si="16"/>
        <v>1</v>
      </c>
      <c r="AC45" s="1809">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287"/>
      <c r="Q46" s="1808">
        <f t="shared" si="11"/>
        <v>111</v>
      </c>
      <c r="R46" s="773" t="s">
        <v>20</v>
      </c>
      <c r="S46" s="774">
        <f t="shared" si="12"/>
        <v>100</v>
      </c>
      <c r="T46" s="773" t="s">
        <v>20</v>
      </c>
      <c r="U46" s="774">
        <f t="shared" si="13"/>
        <v>100</v>
      </c>
      <c r="V46" s="773" t="s">
        <v>20</v>
      </c>
      <c r="W46" s="774">
        <f t="shared" si="14"/>
        <v>100</v>
      </c>
      <c r="X46" s="1811"/>
      <c r="Y46" s="3288"/>
      <c r="Z46" s="1812">
        <f t="shared" si="18"/>
        <v>111</v>
      </c>
      <c r="AA46" s="1809">
        <f t="shared" si="15"/>
        <v>1</v>
      </c>
      <c r="AB46" s="1809">
        <f t="shared" si="16"/>
        <v>1</v>
      </c>
      <c r="AC46" s="1809">
        <f t="shared" si="17"/>
        <v>1</v>
      </c>
    </row>
    <row r="47" spans="1:29" ht="15">
      <c r="A47" s="478" t="s">
        <v>2576</v>
      </c>
      <c r="B47" s="479"/>
      <c r="C47" s="1405" t="s">
        <v>19</v>
      </c>
      <c r="D47" s="1406"/>
      <c r="E47" s="1407">
        <v>12500</v>
      </c>
      <c r="F47" s="1408"/>
      <c r="G47" s="1409">
        <v>14000</v>
      </c>
      <c r="H47" s="1410"/>
      <c r="I47" s="1407">
        <v>12500</v>
      </c>
      <c r="J47" s="1410"/>
      <c r="K47" s="2621"/>
      <c r="L47" s="1142"/>
      <c r="M47" s="1143"/>
      <c r="N47" s="1130"/>
      <c r="O47" s="1143"/>
      <c r="P47" s="3228" t="str">
        <f>A47</f>
        <v>成交单价（元/平方米）</v>
      </c>
      <c r="Q47" s="3228"/>
      <c r="R47" s="3284">
        <f>E47</f>
        <v>12500</v>
      </c>
      <c r="S47" s="3284"/>
      <c r="T47" s="3284">
        <f>G47</f>
        <v>14000</v>
      </c>
      <c r="U47" s="3284"/>
      <c r="V47" s="3284">
        <f>I47</f>
        <v>12500</v>
      </c>
      <c r="W47" s="3284"/>
      <c r="X47" s="758"/>
      <c r="Y47" s="780"/>
      <c r="Z47" s="758"/>
      <c r="AA47" s="758"/>
      <c r="AB47" s="758"/>
      <c r="AC47" s="758"/>
    </row>
    <row r="48" spans="1:29" ht="15.75" thickBot="1">
      <c r="A48" s="485" t="s">
        <v>2577</v>
      </c>
      <c r="B48" s="486"/>
      <c r="C48" s="1411">
        <f>R49</f>
        <v>12258</v>
      </c>
      <c r="D48" s="1412"/>
      <c r="E48" s="1413">
        <f>R48</f>
        <v>11561</v>
      </c>
      <c r="F48" s="1413"/>
      <c r="G48" s="1411">
        <f>T48</f>
        <v>12959</v>
      </c>
      <c r="H48" s="1412"/>
      <c r="I48" s="1413">
        <f>V48</f>
        <v>12255</v>
      </c>
      <c r="J48" s="1412"/>
      <c r="K48" s="2622"/>
      <c r="L48" s="1142"/>
      <c r="M48" s="1143"/>
      <c r="N48" s="1143"/>
      <c r="O48" s="1143"/>
      <c r="P48" s="3228" t="str">
        <f>A48</f>
        <v>比较价值（元/平方米）</v>
      </c>
      <c r="Q48" s="3228"/>
      <c r="R48" s="3284">
        <f>IF(F1="售价",ROUND(PRODUCT(R47,AA7:AA46),0),ROUND(PRODUCT(R47,AA7:AA46),1))</f>
        <v>11561</v>
      </c>
      <c r="S48" s="3284"/>
      <c r="T48" s="3284">
        <f>IF(F1="售价",ROUND(PRODUCT(T47,AB7:AB46),0),ROUND(PRODUCT(T47,AB7:AB46),1))</f>
        <v>12959</v>
      </c>
      <c r="U48" s="3284"/>
      <c r="V48" s="3284">
        <f>IF(F1="售价",ROUND(PRODUCT(V47,AC7:AC46),0),ROUND(PRODUCT(V47,AC7:AC46),1))</f>
        <v>12255</v>
      </c>
      <c r="W48" s="3284"/>
      <c r="X48" s="758"/>
      <c r="Y48" s="758"/>
      <c r="Z48" s="758"/>
      <c r="AA48" s="758"/>
      <c r="AB48" s="758"/>
      <c r="AC48" s="758"/>
    </row>
    <row r="49" spans="1:29" ht="15.75" thickBot="1">
      <c r="A49" s="491" t="s">
        <v>2578</v>
      </c>
      <c r="B49" s="492"/>
      <c r="C49" s="1414">
        <f>R49</f>
        <v>12258</v>
      </c>
      <c r="D49" s="1415"/>
      <c r="E49" s="1415"/>
      <c r="F49" s="1415"/>
      <c r="G49" s="1415"/>
      <c r="H49" s="1415"/>
      <c r="I49" s="1415"/>
      <c r="J49" s="1415"/>
      <c r="K49" s="2623"/>
      <c r="L49" s="1142"/>
      <c r="M49" s="1143"/>
      <c r="N49" s="1143"/>
      <c r="O49" s="1143"/>
      <c r="P49" s="3248" t="str">
        <f>A49</f>
        <v>估价对象XX用房的比较价值（楼面单价，元/平方米）</v>
      </c>
      <c r="Q49" s="3249"/>
      <c r="R49" s="3283">
        <f>IF(F1="售价",ROUND(AVERAGE(R48:V48),0),ROUND(AVERAGE(R48:V48),1))</f>
        <v>12258</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f>IF(E47&lt;E48,E48/E47-1,E47/E48-1)</f>
        <v>8.1221347634287788E-2</v>
      </c>
      <c r="F52" s="499" t="str">
        <f>IF(OR(E52&gt;=0.3,E52&lt;=-0.3),"超过30%","")</f>
        <v/>
      </c>
      <c r="G52" s="498">
        <f>IF(G47&lt;G48,G48/G47-1,G47/G48-1)</f>
        <v>8.0330272397561631E-2</v>
      </c>
      <c r="H52" s="499" t="str">
        <f>IF(OR(G52&gt;=0.3,G52&lt;=-0.3),"超过30%","")</f>
        <v/>
      </c>
      <c r="I52" s="498">
        <f>IF(I47&lt;I48,I48/I47-1,I47/I48-1)</f>
        <v>1.9991840065279431E-2</v>
      </c>
      <c r="J52" s="499" t="str">
        <f>IF(OR(I52&gt;=0.3,I52&lt;=-0.3),"超过30%","")</f>
        <v/>
      </c>
      <c r="K52" s="1104"/>
      <c r="L52" s="1105"/>
      <c r="M52" s="1143"/>
      <c r="N52" s="1143"/>
      <c r="O52" s="1143"/>
    </row>
    <row r="53" spans="1:29" ht="13.5" customHeight="1">
      <c r="A53" s="1143"/>
      <c r="B53" s="1143"/>
      <c r="C53" s="496" t="s">
        <v>2580</v>
      </c>
      <c r="D53" s="500"/>
      <c r="E53" s="498">
        <f>IF(E48&lt;G48,G48/E48-1,E48/G48-1)</f>
        <v>0.12092379551941868</v>
      </c>
      <c r="F53" s="499" t="str">
        <f>IF(OR(E53&gt;=0.2,E53&lt;=-0.2),"超过20%","")</f>
        <v/>
      </c>
      <c r="G53" s="498">
        <f>IF(G48&lt;I48,I48/G48-1,G48/I48-1)</f>
        <v>5.7445940432476528E-2</v>
      </c>
      <c r="H53" s="499" t="str">
        <f>IF(OR(G53&gt;=0.2,G53&lt;=-0.2),"超过20%","")</f>
        <v/>
      </c>
      <c r="I53" s="498">
        <f>IF(I48&lt;E48,E48/I48-1,I48/E48-1)</f>
        <v>6.0029409220655694E-2</v>
      </c>
      <c r="J53" s="499" t="str">
        <f>IF(OR(I53&gt;=0.2,I53&lt;=-0.2),"超过20%","")</f>
        <v/>
      </c>
      <c r="K53" s="1104"/>
      <c r="L53" s="1105"/>
      <c r="M53" s="1143"/>
      <c r="N53" s="1143"/>
      <c r="O53" s="1143"/>
    </row>
    <row r="54" spans="1:29" s="501" customFormat="1" ht="13.5" customHeight="1">
      <c r="A54" s="1144"/>
      <c r="B54" s="1144"/>
      <c r="C54" s="496" t="s">
        <v>2581</v>
      </c>
      <c r="D54" s="500"/>
      <c r="E54" s="498">
        <f>IF(E47&lt;G47,G47/E47-1,E47/G47-1)</f>
        <v>0.12000000000000011</v>
      </c>
      <c r="F54" s="499" t="str">
        <f>IF(OR(E54&gt;=0.3,E54&lt;=-0.3),"超过30%","")</f>
        <v/>
      </c>
      <c r="G54" s="498">
        <f>IF(G47&lt;I47,I47/G47-1,G47/I47-1)</f>
        <v>0.12000000000000011</v>
      </c>
      <c r="H54" s="499" t="str">
        <f>IF(OR(G54&gt;=0.3,G54&lt;=-0.3),"超过30%","")</f>
        <v/>
      </c>
      <c r="I54" s="498">
        <f>IF(I47&lt;E47,E47/I47-1,I47/E47-1)</f>
        <v>0</v>
      </c>
      <c r="J54" s="499" t="str">
        <f>IF(OR(I54&gt;=0.3,I54&lt;=-0.3),"超过30%","")</f>
        <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26"/>
      <c r="Q57" s="503"/>
    </row>
    <row r="58" spans="1:29" s="507" customFormat="1" ht="15">
      <c r="A58" s="504" t="s">
        <v>2583</v>
      </c>
      <c r="B58" s="505"/>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ht="15">
      <c r="A59" s="508"/>
      <c r="B59" s="2627"/>
      <c r="C59" s="1571">
        <v>100</v>
      </c>
      <c r="D59" s="510"/>
      <c r="E59" s="511"/>
      <c r="F59" s="511"/>
      <c r="G59" s="511"/>
      <c r="H59" s="511"/>
      <c r="I59" s="511"/>
      <c r="J59" s="511"/>
      <c r="K59" s="511"/>
      <c r="L59" s="511"/>
      <c r="M59" s="512"/>
      <c r="N59" s="511"/>
      <c r="O59" s="512"/>
      <c r="P59" s="2628"/>
    </row>
    <row r="60" spans="1:29" s="117" customFormat="1" ht="15.75" thickBot="1">
      <c r="A60" s="514" t="s">
        <v>2584</v>
      </c>
      <c r="B60" s="515"/>
      <c r="C60" s="516"/>
      <c r="D60" s="517"/>
      <c r="E60" s="517"/>
      <c r="F60" s="517"/>
      <c r="G60" s="517"/>
      <c r="H60" s="517"/>
      <c r="I60" s="517"/>
      <c r="J60" s="517"/>
      <c r="K60" s="517"/>
      <c r="L60" s="517"/>
      <c r="M60" s="518"/>
      <c r="N60" s="517"/>
      <c r="O60" s="518"/>
      <c r="P60" s="2628"/>
      <c r="Q60" s="503"/>
    </row>
    <row r="61" spans="1:29" s="117" customFormat="1" ht="15">
      <c r="A61" s="520" t="s">
        <v>2585</v>
      </c>
      <c r="B61" s="509"/>
      <c r="C61" s="521" t="s">
        <v>2586</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2587</v>
      </c>
      <c r="B63" s="527" t="s">
        <v>2553</v>
      </c>
      <c r="C63" s="528" t="str">
        <f>C9</f>
        <v>住宅</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0"/>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0"/>
      <c r="Q66" s="503"/>
    </row>
    <row r="67" spans="1:17" ht="15.75" thickTop="1">
      <c r="A67" s="533"/>
      <c r="B67" s="545" t="s">
        <v>2557</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v>0</v>
      </c>
      <c r="D68" s="548">
        <v>1</v>
      </c>
      <c r="E68" s="548">
        <v>2</v>
      </c>
      <c r="F68" s="548">
        <v>3</v>
      </c>
      <c r="G68" s="548">
        <v>4</v>
      </c>
      <c r="H68" s="548"/>
      <c r="I68" s="548"/>
      <c r="J68" s="548"/>
      <c r="K68" s="549"/>
      <c r="L68" s="550"/>
      <c r="M68" s="551"/>
      <c r="N68" s="1151"/>
      <c r="O68" s="1151"/>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2098</v>
      </c>
      <c r="C82" s="538" t="s">
        <v>2603</v>
      </c>
      <c r="D82" s="538" t="s">
        <v>2604</v>
      </c>
      <c r="E82" s="538" t="s">
        <v>2605</v>
      </c>
      <c r="F82" s="538" t="s">
        <v>2606</v>
      </c>
      <c r="G82" s="538" t="s">
        <v>2607</v>
      </c>
      <c r="H82" s="538"/>
      <c r="I82" s="538"/>
      <c r="J82" s="538"/>
      <c r="K82" s="538"/>
      <c r="L82" s="538"/>
      <c r="M82" s="1381"/>
      <c r="N82" s="1152"/>
      <c r="O82" s="1152"/>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0"/>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75" thickTop="1">
      <c r="A86" s="578"/>
      <c r="B86" s="537" t="s">
        <v>2609</v>
      </c>
      <c r="C86" s="553"/>
      <c r="D86" s="553"/>
      <c r="E86" s="553"/>
      <c r="F86" s="553"/>
      <c r="G86" s="553"/>
      <c r="H86" s="553"/>
      <c r="I86" s="553"/>
      <c r="J86" s="553"/>
      <c r="K86" s="553"/>
      <c r="L86" s="579"/>
      <c r="M86" s="580"/>
      <c r="N86" s="1150"/>
      <c r="O86" s="1150"/>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7" customFormat="1" ht="15.75" thickTop="1">
      <c r="A88" s="578"/>
      <c r="B88" s="537" t="s">
        <v>2610</v>
      </c>
      <c r="C88" s="553"/>
      <c r="D88" s="553"/>
      <c r="E88" s="553"/>
      <c r="F88" s="2635"/>
      <c r="G88" s="553"/>
      <c r="H88" s="553"/>
      <c r="I88" s="553"/>
      <c r="J88" s="553"/>
      <c r="K88" s="553"/>
      <c r="L88" s="553"/>
      <c r="M88" s="580"/>
      <c r="N88" s="1150"/>
      <c r="O88" s="1150"/>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2562</v>
      </c>
      <c r="B100" s="527" t="s">
        <v>2611</v>
      </c>
      <c r="C100" s="2984" t="s">
        <v>3114</v>
      </c>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0"/>
      <c r="Q101" s="503"/>
    </row>
    <row r="102" spans="1:17" ht="29.25" thickTop="1">
      <c r="A102" s="533"/>
      <c r="B102" s="537" t="s">
        <v>2612</v>
      </c>
      <c r="C102" s="577" t="str">
        <f>C103&amp;"(含)"&amp;"-"&amp;D103</f>
        <v>0(含)-50000</v>
      </c>
      <c r="D102" s="577" t="str">
        <f t="shared" ref="D102:L102" si="27">D103&amp;"(含)"&amp;"-"&amp;E103</f>
        <v>50000(含)-100000</v>
      </c>
      <c r="E102" s="577" t="str">
        <f t="shared" si="27"/>
        <v>100000(含)-200000</v>
      </c>
      <c r="F102" s="577" t="str">
        <f t="shared" si="27"/>
        <v>200000(含)-500000</v>
      </c>
      <c r="G102" s="577" t="str">
        <f t="shared" si="27"/>
        <v>500000(含)-800000</v>
      </c>
      <c r="H102" s="577" t="str">
        <f t="shared" si="27"/>
        <v>800000(含)-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594">
        <v>0</v>
      </c>
      <c r="D103" s="594">
        <v>50000</v>
      </c>
      <c r="E103" s="594">
        <v>100000</v>
      </c>
      <c r="F103" s="594">
        <v>200000</v>
      </c>
      <c r="G103" s="594">
        <v>500000</v>
      </c>
      <c r="H103" s="594">
        <v>800000</v>
      </c>
      <c r="I103" s="594"/>
      <c r="J103" s="595"/>
      <c r="K103" s="595"/>
      <c r="L103" s="596"/>
      <c r="M103" s="597"/>
      <c r="N103" s="1153"/>
      <c r="O103" s="1153"/>
      <c r="P103" s="2631"/>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2"/>
      <c r="O104" s="1152"/>
      <c r="P104" s="2631"/>
      <c r="Q104" s="558"/>
    </row>
    <row r="105" spans="1:17" ht="15" thickTop="1">
      <c r="A105" s="598"/>
      <c r="B105" s="537" t="s">
        <v>2613</v>
      </c>
      <c r="C105" s="2985" t="s">
        <v>3116</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0"/>
      <c r="Q106" s="503"/>
    </row>
    <row r="107" spans="1:17" ht="15" thickTop="1">
      <c r="A107" s="598"/>
      <c r="B107" s="537" t="s">
        <v>2614</v>
      </c>
      <c r="C107" s="2986" t="s">
        <v>3320</v>
      </c>
      <c r="D107" s="2986" t="s">
        <v>3321</v>
      </c>
      <c r="E107" s="582"/>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0"/>
      <c r="Q108" s="503"/>
    </row>
    <row r="109" spans="1:17" ht="15" thickTop="1">
      <c r="A109" s="598"/>
      <c r="B109" s="537" t="s">
        <v>2615</v>
      </c>
      <c r="C109" s="553"/>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1"/>
      <c r="Q113" s="558"/>
    </row>
    <row r="114" spans="1:17" ht="15" thickTop="1">
      <c r="A114" s="598"/>
      <c r="B114" s="537" t="s">
        <v>2616</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0"/>
      <c r="Q115" s="503"/>
    </row>
    <row r="116" spans="1:17" ht="15" thickTop="1">
      <c r="A116" s="598"/>
      <c r="B116" s="537" t="s">
        <v>2617</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2618</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3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1"/>
      <c r="Q121" s="558"/>
    </row>
    <row r="122" spans="1:17" ht="15" thickTop="1">
      <c r="A122" s="598"/>
      <c r="B122" s="537" t="s">
        <v>2619</v>
      </c>
      <c r="C122" s="2985" t="s">
        <v>3118</v>
      </c>
      <c r="D122" s="553"/>
      <c r="E122" s="553"/>
      <c r="F122" s="2986" t="s">
        <v>3120</v>
      </c>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2"/>
      <c r="O123" s="1152"/>
      <c r="P123" s="2630"/>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0</v>
      </c>
      <c r="C126" s="2985" t="s">
        <v>3317</v>
      </c>
      <c r="D126" s="2985" t="s">
        <v>3318</v>
      </c>
      <c r="E126" s="553"/>
      <c r="F126" s="553"/>
      <c r="G126" s="553"/>
      <c r="H126" s="554"/>
      <c r="I126" s="554"/>
      <c r="J126" s="554"/>
      <c r="K126" s="554"/>
      <c r="L126" s="555"/>
      <c r="M126" s="556"/>
      <c r="N126" s="1153"/>
      <c r="O126" s="1153"/>
      <c r="P126" s="2631"/>
      <c r="Q126" s="558"/>
    </row>
    <row r="127" spans="1:17" s="470" customFormat="1" ht="15.75" thickBot="1">
      <c r="A127" s="552"/>
      <c r="B127" s="542"/>
      <c r="C127" s="559">
        <v>100</v>
      </c>
      <c r="D127" s="535">
        <v>95</v>
      </c>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5" t="s">
        <v>2624</v>
      </c>
      <c r="D138" s="145" t="s">
        <v>2625</v>
      </c>
      <c r="E138" s="2645" t="s">
        <v>2626</v>
      </c>
      <c r="F138" s="2646" t="s">
        <v>2627</v>
      </c>
      <c r="G138" s="145" t="s">
        <v>2625</v>
      </c>
      <c r="H138" s="146" t="s">
        <v>2626</v>
      </c>
      <c r="I138" s="2647"/>
      <c r="J138" s="145" t="s">
        <v>2628</v>
      </c>
      <c r="K138" s="146" t="s">
        <v>2629</v>
      </c>
    </row>
    <row r="139" spans="1:17" ht="15">
      <c r="B139" s="1083">
        <v>6</v>
      </c>
      <c r="C139" s="1084">
        <v>96</v>
      </c>
      <c r="D139" s="2648" t="s">
        <v>2630</v>
      </c>
      <c r="E139" s="1085">
        <v>100</v>
      </c>
      <c r="F139" s="1086">
        <v>102.5</v>
      </c>
      <c r="G139" s="2648" t="s">
        <v>2630</v>
      </c>
      <c r="H139" s="1087">
        <v>105</v>
      </c>
      <c r="I139" s="2649" t="s">
        <v>2631</v>
      </c>
      <c r="J139" s="1084">
        <v>20</v>
      </c>
      <c r="K139" s="1088">
        <f>C145/(J139-2)</f>
        <v>4.0555555555555553E-3</v>
      </c>
    </row>
    <row r="140" spans="1:17" ht="15">
      <c r="B140" s="1089">
        <v>5</v>
      </c>
      <c r="C140" s="1090">
        <v>100</v>
      </c>
      <c r="D140" s="1090"/>
      <c r="E140" s="1091"/>
      <c r="F140" s="1092">
        <v>102</v>
      </c>
      <c r="G140" s="1090"/>
      <c r="H140" s="1093"/>
      <c r="I140" s="2650" t="s">
        <v>2632</v>
      </c>
      <c r="J140" s="314">
        <f>ROUNDUP((J139-1)/2,0)</f>
        <v>10</v>
      </c>
      <c r="K140" s="1094">
        <v>100</v>
      </c>
    </row>
    <row r="141" spans="1:17" ht="15">
      <c r="B141" s="1089">
        <v>4</v>
      </c>
      <c r="C141" s="1090">
        <v>102</v>
      </c>
      <c r="D141" s="1090"/>
      <c r="E141" s="1091"/>
      <c r="F141" s="1092">
        <v>101.5</v>
      </c>
      <c r="G141" s="1090"/>
      <c r="H141" s="1093"/>
      <c r="I141" s="2650" t="s">
        <v>2633</v>
      </c>
      <c r="J141" s="314">
        <v>1</v>
      </c>
      <c r="K141" s="1095">
        <f>ROUND(100+(J141-J140)*K139*100,1)</f>
        <v>96.4</v>
      </c>
    </row>
    <row r="142" spans="1:17" ht="15">
      <c r="B142" s="1089">
        <v>3</v>
      </c>
      <c r="C142" s="1090">
        <v>103</v>
      </c>
      <c r="D142" s="1090"/>
      <c r="E142" s="1091"/>
      <c r="F142" s="1092">
        <v>101</v>
      </c>
      <c r="G142" s="1090"/>
      <c r="H142" s="1093"/>
      <c r="I142" s="2650" t="s">
        <v>2634</v>
      </c>
      <c r="J142" s="314">
        <f>J139</f>
        <v>20</v>
      </c>
      <c r="K142" s="1096">
        <v>95</v>
      </c>
    </row>
    <row r="143" spans="1:17" ht="15">
      <c r="B143" s="1089">
        <v>2</v>
      </c>
      <c r="C143" s="1090">
        <v>100</v>
      </c>
      <c r="D143" s="1090"/>
      <c r="E143" s="1091"/>
      <c r="F143" s="1092">
        <v>100.5</v>
      </c>
      <c r="G143" s="1090"/>
      <c r="H143" s="1093"/>
      <c r="I143" s="2650" t="s">
        <v>2635</v>
      </c>
      <c r="J143" s="1090">
        <v>15</v>
      </c>
      <c r="K143" s="1095">
        <f>ROUND(100+(J143-J140)*K139*100,1)</f>
        <v>102</v>
      </c>
    </row>
    <row r="144" spans="1:17" ht="15">
      <c r="B144" s="1089">
        <v>1</v>
      </c>
      <c r="C144" s="1090">
        <v>98</v>
      </c>
      <c r="D144" s="2651" t="s">
        <v>2636</v>
      </c>
      <c r="E144" s="1091">
        <v>102</v>
      </c>
      <c r="F144" s="1097">
        <v>100</v>
      </c>
      <c r="G144" s="2651" t="s">
        <v>2636</v>
      </c>
      <c r="H144" s="1093">
        <v>105</v>
      </c>
      <c r="I144" s="2650" t="s">
        <v>2635</v>
      </c>
      <c r="J144" s="1090">
        <v>18</v>
      </c>
      <c r="K144" s="1095">
        <f>ROUND(100+(J144-J140)*K139*100,1)</f>
        <v>103.2</v>
      </c>
    </row>
    <row r="145" spans="2:11" ht="15.75" thickBot="1">
      <c r="B145" s="2652" t="s">
        <v>2637</v>
      </c>
      <c r="C145" s="1098">
        <f>ROUND(MAX(C139:C144)/MIN(C139:C144)-1,3)</f>
        <v>7.2999999999999995E-2</v>
      </c>
      <c r="D145" s="1099"/>
      <c r="E145" s="1099"/>
      <c r="F145" s="2653" t="s">
        <v>2638</v>
      </c>
      <c r="G145" s="2654"/>
      <c r="H145" s="2655"/>
      <c r="I145" s="2656" t="s">
        <v>2635</v>
      </c>
      <c r="J145" s="1100">
        <v>8</v>
      </c>
      <c r="K145" s="1101">
        <f>ROUND(100+(J145-J140)*K139*100,1)</f>
        <v>99.2</v>
      </c>
    </row>
    <row r="147" spans="2:11">
      <c r="B147" s="2637" t="s">
        <v>2639</v>
      </c>
    </row>
    <row r="148" spans="2:11">
      <c r="B148" s="2637"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5" stopIfTrue="1" operator="containsText" text="超过">
      <formula>NOT(ISERROR(SEARCH("超过",F52)))</formula>
    </cfRule>
  </conditionalFormatting>
  <conditionalFormatting sqref="J54">
    <cfRule type="containsText" dxfId="128" priority="14" stopIfTrue="1" operator="containsText" text="超过">
      <formula>NOT(ISERROR(SEARCH("超过",J54)))</formula>
    </cfRule>
  </conditionalFormatting>
  <conditionalFormatting sqref="H54">
    <cfRule type="containsText" dxfId="127" priority="13" stopIfTrue="1" operator="containsText" text="超过">
      <formula>NOT(ISERROR(SEARCH("超过",H54)))</formula>
    </cfRule>
  </conditionalFormatting>
  <conditionalFormatting sqref="F54">
    <cfRule type="containsText" dxfId="126" priority="12" stopIfTrue="1" operator="containsText" text="超过">
      <formula>NOT(ISERROR(SEARCH("超过",F54)))</formula>
    </cfRule>
  </conditionalFormatting>
  <conditionalFormatting sqref="F53 H53 J53">
    <cfRule type="containsText" dxfId="125" priority="11" stopIfTrue="1" operator="containsText" text="超过">
      <formula>NOT(ISERROR(SEARCH("超过",F53)))</formula>
    </cfRule>
  </conditionalFormatting>
  <conditionalFormatting sqref="E52">
    <cfRule type="expression" dxfId="124" priority="10" stopIfTrue="1">
      <formula>$F$52="超过30%"</formula>
    </cfRule>
  </conditionalFormatting>
  <conditionalFormatting sqref="G54">
    <cfRule type="expression" dxfId="123" priority="8" stopIfTrue="1">
      <formula>$H$54="超过30%"</formula>
    </cfRule>
  </conditionalFormatting>
  <conditionalFormatting sqref="E53">
    <cfRule type="expression" dxfId="122" priority="7" stopIfTrue="1">
      <formula>$F$53="超过20%"</formula>
    </cfRule>
  </conditionalFormatting>
  <conditionalFormatting sqref="E54">
    <cfRule type="expression" dxfId="121" priority="6" stopIfTrue="1">
      <formula>$F$54="超过30%"</formula>
    </cfRule>
  </conditionalFormatting>
  <conditionalFormatting sqref="G52">
    <cfRule type="expression" dxfId="120" priority="5" stopIfTrue="1">
      <formula>$H$52="超过30%"</formula>
    </cfRule>
  </conditionalFormatting>
  <conditionalFormatting sqref="G53">
    <cfRule type="expression" dxfId="119" priority="4" stopIfTrue="1">
      <formula>$H$53="超过20%"</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估价对象为出让国有建设用地使用权及在建建筑物房地产，为所有。根据《国有土地使用证》[]，估价对象（分摊）出让国有建设用地使用权面积为3519.75平方米，建筑面积为18470.39平方米。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3519.75平方米，规划建筑面积为18470.39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2019年9月6日（评估专业人员实地查勘之日）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M26" sqref="M26"/>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I45" sqref="I4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2" t="s">
        <v>2641</v>
      </c>
      <c r="C1" s="1632" t="s">
        <v>2529</v>
      </c>
      <c r="D1" s="1619" t="s">
        <v>1373</v>
      </c>
      <c r="E1" s="2657"/>
      <c r="F1" s="2584" t="s">
        <v>3121</v>
      </c>
      <c r="G1" s="1629" t="s">
        <v>2642</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7" customFormat="1" ht="28.5" customHeight="1" thickTop="1">
      <c r="A2" s="1615" t="s">
        <v>2329</v>
      </c>
      <c r="B2" s="1416" t="e">
        <f ca="1">IF(C2="——",ROUND(C49*D3/10000,0),ROUND(C49*D3/10000,0)-D2)</f>
        <v>#REF!</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2331</v>
      </c>
      <c r="B3" s="608" t="e">
        <f ca="1">IF(C2="——",C49,ROUND(B2*10000/D3,0))</f>
        <v>#REF!</v>
      </c>
      <c r="C3" s="399" t="s">
        <v>2643</v>
      </c>
      <c r="D3" s="398">
        <f>IF(D1="",'数据-汇总表'!E3,SUMIF('数据-汇总表'!$C19:$C33,D1,'数据-汇总表'!$E19:$E33))</f>
        <v>17260.72</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2644</v>
      </c>
      <c r="B4" s="401"/>
      <c r="C4" s="3229" t="s">
        <v>2645</v>
      </c>
      <c r="D4" s="3230"/>
      <c r="E4" s="3231" t="s">
        <v>2646</v>
      </c>
      <c r="F4" s="3232"/>
      <c r="G4" s="3229" t="s">
        <v>2647</v>
      </c>
      <c r="H4" s="3230"/>
      <c r="I4" s="3229" t="s">
        <v>2648</v>
      </c>
      <c r="J4" s="3230"/>
      <c r="K4" s="609" t="s">
        <v>2649</v>
      </c>
      <c r="L4" s="1129"/>
      <c r="M4" s="1130"/>
      <c r="N4" s="1130"/>
      <c r="O4" s="1130"/>
      <c r="P4" s="3233" t="s">
        <v>2650</v>
      </c>
      <c r="Q4" s="3234"/>
      <c r="R4" s="3216" t="s">
        <v>2646</v>
      </c>
      <c r="S4" s="3217"/>
      <c r="T4" s="3216" t="s">
        <v>2647</v>
      </c>
      <c r="U4" s="3217"/>
      <c r="V4" s="3241" t="s">
        <v>2648</v>
      </c>
      <c r="W4" s="3241"/>
      <c r="X4" s="1811"/>
      <c r="Y4" s="3216" t="s">
        <v>2650</v>
      </c>
      <c r="Z4" s="3217"/>
      <c r="AA4" s="3211" t="s">
        <v>2646</v>
      </c>
      <c r="AB4" s="3241" t="s">
        <v>2647</v>
      </c>
      <c r="AC4" s="3211" t="s">
        <v>2648</v>
      </c>
    </row>
    <row r="5" spans="1:29" ht="15">
      <c r="A5" s="403"/>
      <c r="B5" s="404"/>
      <c r="C5" s="3222" t="s">
        <v>2541</v>
      </c>
      <c r="D5" s="3223"/>
      <c r="E5" s="3281" t="s">
        <v>3124</v>
      </c>
      <c r="F5" s="3221"/>
      <c r="G5" s="3282" t="s">
        <v>3125</v>
      </c>
      <c r="H5" s="3223"/>
      <c r="I5" s="3282" t="s">
        <v>3126</v>
      </c>
      <c r="J5" s="3223"/>
      <c r="K5" s="609"/>
      <c r="L5" s="1129"/>
      <c r="M5" s="1130"/>
      <c r="N5" s="1130"/>
      <c r="O5" s="1130"/>
      <c r="P5" s="3235"/>
      <c r="Q5" s="3236"/>
      <c r="R5" s="3218"/>
      <c r="S5" s="3219"/>
      <c r="T5" s="3218"/>
      <c r="U5" s="3219"/>
      <c r="V5" s="3241"/>
      <c r="W5" s="3241"/>
      <c r="X5" s="1811"/>
      <c r="Y5" s="3218"/>
      <c r="Z5" s="3219"/>
      <c r="AA5" s="3212"/>
      <c r="AB5" s="3241"/>
      <c r="AC5" s="3212"/>
    </row>
    <row r="6" spans="1:29" ht="15.75" thickBot="1">
      <c r="A6" s="405"/>
      <c r="B6" s="406"/>
      <c r="C6" s="3224" t="s">
        <v>2545</v>
      </c>
      <c r="D6" s="3225"/>
      <c r="E6" s="3226" t="s">
        <v>2545</v>
      </c>
      <c r="F6" s="3227"/>
      <c r="G6" s="3224" t="s">
        <v>2545</v>
      </c>
      <c r="H6" s="3225"/>
      <c r="I6" s="3224" t="s">
        <v>2545</v>
      </c>
      <c r="J6" s="3225"/>
      <c r="K6" s="609" t="s">
        <v>2546</v>
      </c>
      <c r="L6" s="1129"/>
      <c r="M6" s="1130"/>
      <c r="N6" s="1130"/>
      <c r="O6" s="1130"/>
      <c r="P6" s="3237"/>
      <c r="Q6" s="3238"/>
      <c r="R6" s="3218"/>
      <c r="S6" s="3219"/>
      <c r="T6" s="3239"/>
      <c r="U6" s="3240"/>
      <c r="V6" s="3241"/>
      <c r="W6" s="3241"/>
      <c r="X6" s="1811"/>
      <c r="Y6" s="3239"/>
      <c r="Z6" s="3240"/>
      <c r="AA6" s="3213"/>
      <c r="AB6" s="3241"/>
      <c r="AC6" s="3213"/>
    </row>
    <row r="7" spans="1:29" s="117" customFormat="1" ht="15.75" thickBot="1">
      <c r="A7" s="407" t="s">
        <v>2547</v>
      </c>
      <c r="B7" s="408"/>
      <c r="C7" s="409">
        <f>'数据-取费表'!B2</f>
        <v>43714</v>
      </c>
      <c r="D7" s="410">
        <v>100</v>
      </c>
      <c r="E7" s="411">
        <f>C7</f>
        <v>43714</v>
      </c>
      <c r="F7" s="412">
        <f>SUMIF(58:58,YEAR(E7)&amp;"-"&amp;MONTH(E7),59:59)</f>
        <v>100</v>
      </c>
      <c r="G7" s="411">
        <f>C7</f>
        <v>43714</v>
      </c>
      <c r="H7" s="410">
        <f>SUMIF(58:58,YEAR(G7)&amp;"-"&amp;MONTH(G7),59:59)</f>
        <v>100</v>
      </c>
      <c r="I7" s="411">
        <f>C7</f>
        <v>43714</v>
      </c>
      <c r="J7" s="410">
        <f>SUMIF(58:58,YEAR(I7)&amp;"-"&amp;MONTH(I7),59:59)</f>
        <v>100</v>
      </c>
      <c r="K7" s="610"/>
      <c r="L7" s="1131"/>
      <c r="M7" s="1132"/>
      <c r="N7" s="1132"/>
      <c r="O7" s="1132"/>
      <c r="P7" s="3214" t="s">
        <v>2548</v>
      </c>
      <c r="Q7" s="3242"/>
      <c r="R7" s="769" t="s">
        <v>17</v>
      </c>
      <c r="S7" s="770">
        <f t="shared" ref="S7:S15" si="0">F7</f>
        <v>100</v>
      </c>
      <c r="T7" s="769" t="s">
        <v>17</v>
      </c>
      <c r="U7" s="770">
        <f t="shared" ref="U7:U15" si="1">H7</f>
        <v>100</v>
      </c>
      <c r="V7" s="769" t="s">
        <v>17</v>
      </c>
      <c r="W7" s="770">
        <f t="shared" ref="W7:W15" si="2">J7</f>
        <v>100</v>
      </c>
      <c r="X7" s="771"/>
      <c r="Y7" s="3214" t="s">
        <v>2548</v>
      </c>
      <c r="Z7" s="3215"/>
      <c r="AA7" s="772">
        <f>D7/F7</f>
        <v>1</v>
      </c>
      <c r="AB7" s="772">
        <f>D7/H7</f>
        <v>1</v>
      </c>
      <c r="AC7" s="772">
        <f>D7/J7</f>
        <v>1</v>
      </c>
    </row>
    <row r="8" spans="1:29" s="117" customFormat="1" ht="15.75" thickBot="1">
      <c r="A8" s="407" t="s">
        <v>2549</v>
      </c>
      <c r="B8" s="408"/>
      <c r="C8" s="413" t="s">
        <v>2651</v>
      </c>
      <c r="D8" s="410">
        <v>100</v>
      </c>
      <c r="E8" s="413" t="s">
        <v>3107</v>
      </c>
      <c r="F8" s="412">
        <f>SUMIF(61:61,E8,62:62)-SUMIF(61:61,C8,62:62)+100</f>
        <v>100</v>
      </c>
      <c r="G8" s="413" t="s">
        <v>3107</v>
      </c>
      <c r="H8" s="410">
        <f>SUMIF(61:61,G8,62:62)-SUMIF(61:61,C8,62:62)+100</f>
        <v>100</v>
      </c>
      <c r="I8" s="413" t="s">
        <v>3107</v>
      </c>
      <c r="J8" s="410">
        <f>SUMIF(61:61,I8,62:62)-SUMIF(61:61,C8,62:62)+100</f>
        <v>100</v>
      </c>
      <c r="K8" s="610"/>
      <c r="L8" s="1131"/>
      <c r="M8" s="1132"/>
      <c r="N8" s="1132"/>
      <c r="O8" s="1132"/>
      <c r="P8" s="3214" t="s">
        <v>2551</v>
      </c>
      <c r="Q8" s="3215"/>
      <c r="R8" s="769" t="s">
        <v>17</v>
      </c>
      <c r="S8" s="770">
        <f t="shared" si="0"/>
        <v>100</v>
      </c>
      <c r="T8" s="769" t="s">
        <v>17</v>
      </c>
      <c r="U8" s="770">
        <f t="shared" si="1"/>
        <v>100</v>
      </c>
      <c r="V8" s="769" t="s">
        <v>17</v>
      </c>
      <c r="W8" s="770">
        <f t="shared" si="2"/>
        <v>100</v>
      </c>
      <c r="X8" s="771"/>
      <c r="Y8" s="3214" t="s">
        <v>2551</v>
      </c>
      <c r="Z8" s="3215"/>
      <c r="AA8" s="772">
        <f t="shared" ref="AA8:AA46" si="3">D8/F8</f>
        <v>1</v>
      </c>
      <c r="AB8" s="772">
        <f t="shared" ref="AB8:AB46" si="4">D8/H8</f>
        <v>1</v>
      </c>
      <c r="AC8" s="772">
        <f t="shared" ref="AC8:AC46" si="5">D8/J8</f>
        <v>1</v>
      </c>
    </row>
    <row r="9" spans="1:29" s="117" customFormat="1">
      <c r="A9" s="414" t="s">
        <v>2552</v>
      </c>
      <c r="B9" s="71" t="s">
        <v>2553</v>
      </c>
      <c r="C9" s="2983" t="s">
        <v>3122</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252" t="s">
        <v>2554</v>
      </c>
      <c r="Q9" s="1793" t="str">
        <f t="shared" ref="Q9:Q15" si="6">B9</f>
        <v>用途</v>
      </c>
      <c r="R9" s="769" t="s">
        <v>17</v>
      </c>
      <c r="S9" s="770">
        <f t="shared" si="0"/>
        <v>100</v>
      </c>
      <c r="T9" s="769" t="s">
        <v>17</v>
      </c>
      <c r="U9" s="770">
        <f t="shared" si="1"/>
        <v>100</v>
      </c>
      <c r="V9" s="769" t="s">
        <v>17</v>
      </c>
      <c r="W9" s="770">
        <f t="shared" si="2"/>
        <v>100</v>
      </c>
      <c r="X9" s="771"/>
      <c r="Y9" s="3079" t="s">
        <v>2555</v>
      </c>
      <c r="Z9" s="55" t="str">
        <f t="shared" ref="Z9:Z15" si="7">Q9</f>
        <v>用途</v>
      </c>
      <c r="AA9" s="772">
        <f t="shared" si="3"/>
        <v>1</v>
      </c>
      <c r="AB9" s="772">
        <f t="shared" si="4"/>
        <v>1</v>
      </c>
      <c r="AC9" s="772">
        <f t="shared" si="5"/>
        <v>1</v>
      </c>
    </row>
    <row r="10" spans="1:29" s="426" customFormat="1" ht="27">
      <c r="A10" s="420"/>
      <c r="B10" s="421" t="s">
        <v>2556</v>
      </c>
      <c r="C10" s="422" t="s">
        <v>3123</v>
      </c>
      <c r="D10" s="135">
        <v>100</v>
      </c>
      <c r="E10" s="423" t="s">
        <v>3123</v>
      </c>
      <c r="F10" s="424">
        <f>SUMIF(65:65,E10,66:66)-SUMIF(65:65,C10,66:66)+100</f>
        <v>100</v>
      </c>
      <c r="G10" s="422" t="s">
        <v>3123</v>
      </c>
      <c r="H10" s="135">
        <f>SUMIF(65:65,G10,66:66)-SUMIF(65:65,C10,66:66)+100</f>
        <v>100</v>
      </c>
      <c r="I10" s="422" t="s">
        <v>3123</v>
      </c>
      <c r="J10" s="135">
        <f>SUMIF(65:65,I10,66:66)-SUMIF(65:65,C10,66:66)+100</f>
        <v>100</v>
      </c>
      <c r="K10" s="611">
        <v>1</v>
      </c>
      <c r="L10" s="1134"/>
      <c r="M10" s="1135"/>
      <c r="N10" s="1135"/>
      <c r="O10" s="1135"/>
      <c r="P10" s="3252"/>
      <c r="Q10" s="1793"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7"/>
      <c r="B11" s="421" t="s">
        <v>2557</v>
      </c>
      <c r="C11" s="428">
        <f>'数据-汇总表'!I4</f>
        <v>4.12</v>
      </c>
      <c r="D11" s="135">
        <v>100</v>
      </c>
      <c r="E11" s="429">
        <v>1.8</v>
      </c>
      <c r="F11" s="424">
        <f>LOOKUP(E11,68:68,69:69)-LOOKUP(C11,68:68,69:69)+100</f>
        <v>106</v>
      </c>
      <c r="G11" s="428">
        <v>2</v>
      </c>
      <c r="H11" s="135">
        <f>LOOKUP(G11,68:68,69:69)-LOOKUP(C11,68:68,69:69)+100</f>
        <v>104</v>
      </c>
      <c r="I11" s="428">
        <v>3.5</v>
      </c>
      <c r="J11" s="135">
        <f>LOOKUP(I11,68:68,69:69)-LOOKUP(C11,68:68,69:69)+100</f>
        <v>102</v>
      </c>
      <c r="K11" s="611">
        <v>2</v>
      </c>
      <c r="L11" s="1137"/>
      <c r="M11" s="1130"/>
      <c r="N11" s="1130"/>
      <c r="O11" s="1130"/>
      <c r="P11" s="3252"/>
      <c r="Q11" s="1793" t="str">
        <f t="shared" si="6"/>
        <v>容积率</v>
      </c>
      <c r="R11" s="769" t="s">
        <v>17</v>
      </c>
      <c r="S11" s="770">
        <f t="shared" si="0"/>
        <v>106</v>
      </c>
      <c r="T11" s="769" t="s">
        <v>17</v>
      </c>
      <c r="U11" s="770">
        <f t="shared" si="1"/>
        <v>104</v>
      </c>
      <c r="V11" s="769" t="s">
        <v>17</v>
      </c>
      <c r="W11" s="770">
        <f t="shared" si="2"/>
        <v>102</v>
      </c>
      <c r="X11" s="771"/>
      <c r="Y11" s="3079"/>
      <c r="Z11" s="55" t="str">
        <f t="shared" si="7"/>
        <v>容积率</v>
      </c>
      <c r="AA11" s="772">
        <f t="shared" si="3"/>
        <v>0.94339622641509435</v>
      </c>
      <c r="AB11" s="772">
        <f t="shared" si="4"/>
        <v>0.96153846153846156</v>
      </c>
      <c r="AC11" s="772">
        <f t="shared" si="5"/>
        <v>0.98039215686274506</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2"/>
      <c r="Q12" s="1793">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2"/>
      <c r="Q13" s="1793">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2"/>
      <c r="Q14" s="1793">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71.25">
      <c r="A15" s="439" t="s">
        <v>2558</v>
      </c>
      <c r="B15" s="69" t="s">
        <v>2652</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89" t="s">
        <v>2559</v>
      </c>
      <c r="Q15" s="1808" t="str">
        <f t="shared" si="6"/>
        <v>商业繁华度</v>
      </c>
      <c r="R15" s="773" t="s">
        <v>17</v>
      </c>
      <c r="S15" s="774">
        <f t="shared" si="0"/>
        <v>100</v>
      </c>
      <c r="T15" s="773" t="s">
        <v>17</v>
      </c>
      <c r="U15" s="774">
        <f t="shared" si="1"/>
        <v>100</v>
      </c>
      <c r="V15" s="773" t="s">
        <v>17</v>
      </c>
      <c r="W15" s="774">
        <f t="shared" si="2"/>
        <v>100</v>
      </c>
      <c r="X15" s="1811"/>
      <c r="Y15" s="3243" t="s">
        <v>2559</v>
      </c>
      <c r="Z15" s="1812" t="str">
        <f t="shared" si="7"/>
        <v>商业繁华度</v>
      </c>
      <c r="AA15" s="1809">
        <f t="shared" si="3"/>
        <v>1</v>
      </c>
      <c r="AB15" s="1809">
        <f t="shared" si="4"/>
        <v>1</v>
      </c>
      <c r="AC15" s="1809">
        <f t="shared" si="5"/>
        <v>1</v>
      </c>
    </row>
    <row r="16" spans="1:29" ht="15">
      <c r="A16" s="427"/>
      <c r="B16" s="445"/>
      <c r="C16" s="446" t="s">
        <v>3110</v>
      </c>
      <c r="D16" s="447"/>
      <c r="E16" s="446" t="s">
        <v>3110</v>
      </c>
      <c r="F16" s="448"/>
      <c r="G16" s="446" t="s">
        <v>3110</v>
      </c>
      <c r="H16" s="449"/>
      <c r="I16" s="446" t="s">
        <v>3110</v>
      </c>
      <c r="J16" s="447"/>
      <c r="K16" s="614"/>
      <c r="L16" s="1139"/>
      <c r="M16" s="1130"/>
      <c r="N16" s="1130"/>
      <c r="O16" s="1130"/>
      <c r="P16" s="3290"/>
      <c r="Q16" s="1808"/>
      <c r="R16" s="773"/>
      <c r="S16" s="774"/>
      <c r="T16" s="773"/>
      <c r="U16" s="774"/>
      <c r="V16" s="773"/>
      <c r="W16" s="774"/>
      <c r="X16" s="1811"/>
      <c r="Y16" s="3244"/>
      <c r="Z16" s="1812"/>
      <c r="AA16" s="1809">
        <v>1</v>
      </c>
      <c r="AB16" s="1809">
        <v>1</v>
      </c>
      <c r="AC16" s="1809">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90"/>
      <c r="Q17" s="1808" t="str">
        <f>B17</f>
        <v>交通便捷度</v>
      </c>
      <c r="R17" s="773" t="s">
        <v>17</v>
      </c>
      <c r="S17" s="774">
        <f>F17</f>
        <v>100</v>
      </c>
      <c r="T17" s="773" t="s">
        <v>17</v>
      </c>
      <c r="U17" s="774">
        <f>H17</f>
        <v>100</v>
      </c>
      <c r="V17" s="773" t="s">
        <v>17</v>
      </c>
      <c r="W17" s="774">
        <f>J17</f>
        <v>100</v>
      </c>
      <c r="X17" s="1811"/>
      <c r="Y17" s="3244"/>
      <c r="Z17" s="1812" t="str">
        <f>Q17</f>
        <v>交通便捷度</v>
      </c>
      <c r="AA17" s="1809">
        <f t="shared" si="3"/>
        <v>1</v>
      </c>
      <c r="AB17" s="1809">
        <f t="shared" si="4"/>
        <v>1</v>
      </c>
      <c r="AC17" s="1809">
        <f t="shared" si="5"/>
        <v>1</v>
      </c>
    </row>
    <row r="18" spans="1:29" ht="15">
      <c r="A18" s="427"/>
      <c r="B18" s="455"/>
      <c r="C18" s="2608" t="s">
        <v>3110</v>
      </c>
      <c r="D18" s="449"/>
      <c r="E18" s="2610" t="s">
        <v>3110</v>
      </c>
      <c r="F18" s="452"/>
      <c r="G18" s="2609" t="s">
        <v>3110</v>
      </c>
      <c r="H18" s="447"/>
      <c r="I18" s="2610" t="s">
        <v>3110</v>
      </c>
      <c r="J18" s="447"/>
      <c r="K18" s="614"/>
      <c r="L18" s="1139"/>
      <c r="M18" s="1130"/>
      <c r="N18" s="1130"/>
      <c r="O18" s="1130"/>
      <c r="P18" s="3290"/>
      <c r="Q18" s="1808"/>
      <c r="R18" s="773"/>
      <c r="S18" s="774"/>
      <c r="T18" s="773"/>
      <c r="U18" s="774"/>
      <c r="V18" s="773"/>
      <c r="W18" s="774"/>
      <c r="X18" s="1811"/>
      <c r="Y18" s="3244"/>
      <c r="Z18" s="1812"/>
      <c r="AA18" s="1809">
        <v>1</v>
      </c>
      <c r="AB18" s="1809">
        <v>1</v>
      </c>
      <c r="AC18" s="1809">
        <v>1</v>
      </c>
    </row>
    <row r="19" spans="1:29" ht="42.75">
      <c r="A19" s="427"/>
      <c r="B19" s="450" t="s">
        <v>2653</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90"/>
      <c r="Q19" s="1808" t="str">
        <f>B19</f>
        <v>公共配套设施</v>
      </c>
      <c r="R19" s="773" t="s">
        <v>17</v>
      </c>
      <c r="S19" s="774">
        <f>F19</f>
        <v>100</v>
      </c>
      <c r="T19" s="773" t="s">
        <v>17</v>
      </c>
      <c r="U19" s="774">
        <f>H19</f>
        <v>100</v>
      </c>
      <c r="V19" s="773" t="s">
        <v>17</v>
      </c>
      <c r="W19" s="774">
        <f>J19</f>
        <v>100</v>
      </c>
      <c r="X19" s="1811"/>
      <c r="Y19" s="3244"/>
      <c r="Z19" s="1812" t="str">
        <f>Q19</f>
        <v>公共配套设施</v>
      </c>
      <c r="AA19" s="1809">
        <f t="shared" si="3"/>
        <v>1</v>
      </c>
      <c r="AB19" s="1809">
        <f t="shared" si="4"/>
        <v>1</v>
      </c>
      <c r="AC19" s="1809">
        <f t="shared" si="5"/>
        <v>1</v>
      </c>
    </row>
    <row r="20" spans="1:29" ht="15">
      <c r="A20" s="427"/>
      <c r="B20" s="455"/>
      <c r="C20" s="446" t="s">
        <v>3110</v>
      </c>
      <c r="D20" s="447"/>
      <c r="E20" s="2605" t="s">
        <v>3110</v>
      </c>
      <c r="F20" s="448"/>
      <c r="G20" s="2604" t="s">
        <v>3110</v>
      </c>
      <c r="H20" s="447"/>
      <c r="I20" s="2605" t="s">
        <v>3110</v>
      </c>
      <c r="J20" s="447"/>
      <c r="K20" s="614"/>
      <c r="L20" s="1139"/>
      <c r="M20" s="1130"/>
      <c r="N20" s="1130"/>
      <c r="O20" s="1130"/>
      <c r="P20" s="3290"/>
      <c r="Q20" s="1808"/>
      <c r="R20" s="773"/>
      <c r="S20" s="774"/>
      <c r="T20" s="773"/>
      <c r="U20" s="774"/>
      <c r="V20" s="773"/>
      <c r="W20" s="774"/>
      <c r="X20" s="1811"/>
      <c r="Y20" s="3244"/>
      <c r="Z20" s="1812"/>
      <c r="AA20" s="1809">
        <v>1</v>
      </c>
      <c r="AB20" s="1809">
        <v>1</v>
      </c>
      <c r="AC20" s="1809">
        <v>1</v>
      </c>
    </row>
    <row r="21" spans="1:29" ht="28.5">
      <c r="A21" s="427"/>
      <c r="B21" s="1383" t="s">
        <v>2654</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90"/>
      <c r="Q21" s="1808" t="str">
        <f>B21</f>
        <v>基础设施水平</v>
      </c>
      <c r="R21" s="773" t="s">
        <v>17</v>
      </c>
      <c r="S21" s="774">
        <f>F21</f>
        <v>100</v>
      </c>
      <c r="T21" s="773" t="s">
        <v>17</v>
      </c>
      <c r="U21" s="774">
        <f>H21</f>
        <v>100</v>
      </c>
      <c r="V21" s="773" t="s">
        <v>17</v>
      </c>
      <c r="W21" s="774">
        <f>J21</f>
        <v>100</v>
      </c>
      <c r="X21" s="1811"/>
      <c r="Y21" s="3244"/>
      <c r="Z21" s="1812" t="str">
        <f>Q21</f>
        <v>基础设施水平</v>
      </c>
      <c r="AA21" s="1809">
        <f t="shared" ref="AA21" si="8">D21/F21</f>
        <v>1</v>
      </c>
      <c r="AB21" s="1809">
        <f t="shared" ref="AB21" si="9">D21/H21</f>
        <v>1</v>
      </c>
      <c r="AC21" s="1809">
        <f t="shared" ref="AC21" si="10">D21/J21</f>
        <v>1</v>
      </c>
    </row>
    <row r="22" spans="1:29" ht="15">
      <c r="A22" s="427"/>
      <c r="B22" s="1383"/>
      <c r="C22" s="2608" t="s">
        <v>3112</v>
      </c>
      <c r="D22" s="447"/>
      <c r="E22" s="446" t="s">
        <v>3112</v>
      </c>
      <c r="F22" s="448"/>
      <c r="G22" s="446" t="s">
        <v>3112</v>
      </c>
      <c r="H22" s="447"/>
      <c r="I22" s="446" t="s">
        <v>3112</v>
      </c>
      <c r="J22" s="447"/>
      <c r="K22" s="1382"/>
      <c r="L22" s="1139"/>
      <c r="M22" s="1130"/>
      <c r="N22" s="1130"/>
      <c r="O22" s="1130"/>
      <c r="P22" s="3290"/>
      <c r="Q22" s="1808"/>
      <c r="R22" s="773"/>
      <c r="S22" s="774"/>
      <c r="T22" s="773"/>
      <c r="U22" s="774"/>
      <c r="V22" s="773"/>
      <c r="W22" s="774"/>
      <c r="X22" s="1811"/>
      <c r="Y22" s="3244"/>
      <c r="Z22" s="1812"/>
      <c r="AA22" s="1809">
        <v>1</v>
      </c>
      <c r="AB22" s="1809">
        <v>1</v>
      </c>
      <c r="AC22" s="1809">
        <v>1</v>
      </c>
    </row>
    <row r="23" spans="1:29" ht="57">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90"/>
      <c r="Q23" s="1808" t="str">
        <f>B23</f>
        <v>自然及人文环境</v>
      </c>
      <c r="R23" s="773" t="s">
        <v>17</v>
      </c>
      <c r="S23" s="774">
        <f>F23</f>
        <v>100</v>
      </c>
      <c r="T23" s="773" t="s">
        <v>17</v>
      </c>
      <c r="U23" s="774">
        <f>H23</f>
        <v>100</v>
      </c>
      <c r="V23" s="773" t="s">
        <v>17</v>
      </c>
      <c r="W23" s="774">
        <f>J23</f>
        <v>100</v>
      </c>
      <c r="X23" s="1811"/>
      <c r="Y23" s="3244"/>
      <c r="Z23" s="1812" t="str">
        <f>Q23</f>
        <v>自然及人文环境</v>
      </c>
      <c r="AA23" s="1809">
        <f t="shared" si="3"/>
        <v>1</v>
      </c>
      <c r="AB23" s="1809">
        <f t="shared" si="4"/>
        <v>1</v>
      </c>
      <c r="AC23" s="1809">
        <f t="shared" si="5"/>
        <v>1</v>
      </c>
    </row>
    <row r="24" spans="1:29" ht="15">
      <c r="A24" s="427"/>
      <c r="B24" s="455"/>
      <c r="C24" s="446" t="s">
        <v>3110</v>
      </c>
      <c r="D24" s="447"/>
      <c r="E24" s="2605" t="s">
        <v>3110</v>
      </c>
      <c r="F24" s="448"/>
      <c r="G24" s="2604" t="s">
        <v>3110</v>
      </c>
      <c r="H24" s="447"/>
      <c r="I24" s="2605" t="s">
        <v>3110</v>
      </c>
      <c r="J24" s="447"/>
      <c r="K24" s="614"/>
      <c r="L24" s="1139"/>
      <c r="M24" s="1130"/>
      <c r="N24" s="1130"/>
      <c r="O24" s="1130"/>
      <c r="P24" s="3290"/>
      <c r="Q24" s="1808"/>
      <c r="R24" s="773"/>
      <c r="S24" s="774"/>
      <c r="T24" s="773"/>
      <c r="U24" s="774"/>
      <c r="V24" s="773"/>
      <c r="W24" s="774"/>
      <c r="X24" s="1811"/>
      <c r="Y24" s="3244"/>
      <c r="Z24" s="1812"/>
      <c r="AA24" s="1809">
        <v>1</v>
      </c>
      <c r="AB24" s="1809">
        <v>1</v>
      </c>
      <c r="AC24" s="1809">
        <v>1</v>
      </c>
    </row>
    <row r="25" spans="1:29" ht="15">
      <c r="A25" s="427"/>
      <c r="B25" s="421" t="s">
        <v>2655</v>
      </c>
      <c r="C25" s="615" t="s">
        <v>3129</v>
      </c>
      <c r="D25" s="434">
        <v>100</v>
      </c>
      <c r="E25" s="615" t="s">
        <v>3129</v>
      </c>
      <c r="F25" s="460">
        <f>SUMIF(86:86,E25,87:87)-SUMIF(86:86,C25,87:87)+100</f>
        <v>100</v>
      </c>
      <c r="G25" s="615" t="s">
        <v>3129</v>
      </c>
      <c r="H25" s="434">
        <f>SUMIF(86:86,G25,87:87)-SUMIF(86:86,C25,87:87)+100</f>
        <v>100</v>
      </c>
      <c r="I25" s="615" t="s">
        <v>3129</v>
      </c>
      <c r="J25" s="434">
        <f>SUMIF(86:86,I25,87:87)-SUMIF(86:86,C25,87:87)+100</f>
        <v>100</v>
      </c>
      <c r="K25" s="611"/>
      <c r="L25" s="1139"/>
      <c r="M25" s="1130"/>
      <c r="N25" s="1130"/>
      <c r="O25" s="1130"/>
      <c r="P25" s="3290"/>
      <c r="Q25" s="1808" t="str">
        <f t="shared" ref="Q25:Q46" si="11">B25</f>
        <v>临街状况</v>
      </c>
      <c r="R25" s="773" t="s">
        <v>17</v>
      </c>
      <c r="S25" s="774">
        <f>F25</f>
        <v>100</v>
      </c>
      <c r="T25" s="773" t="s">
        <v>17</v>
      </c>
      <c r="U25" s="774">
        <f>H25</f>
        <v>100</v>
      </c>
      <c r="V25" s="773" t="s">
        <v>17</v>
      </c>
      <c r="W25" s="774">
        <f>J25</f>
        <v>100</v>
      </c>
      <c r="X25" s="1811"/>
      <c r="Y25" s="3244"/>
      <c r="Z25" s="1812" t="str">
        <f>Q25</f>
        <v>临街状况</v>
      </c>
      <c r="AA25" s="1809">
        <f t="shared" si="3"/>
        <v>1</v>
      </c>
      <c r="AB25" s="1809">
        <f t="shared" si="4"/>
        <v>1</v>
      </c>
      <c r="AC25" s="1809">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90"/>
      <c r="Q26" s="1808" t="str">
        <f t="shared" si="11"/>
        <v>平面位置/可视性</v>
      </c>
      <c r="R26" s="773" t="s">
        <v>17</v>
      </c>
      <c r="S26" s="774">
        <f>F26</f>
        <v>100</v>
      </c>
      <c r="T26" s="773" t="s">
        <v>17</v>
      </c>
      <c r="U26" s="774">
        <f>H26</f>
        <v>100</v>
      </c>
      <c r="V26" s="773" t="s">
        <v>17</v>
      </c>
      <c r="W26" s="774">
        <f>J26</f>
        <v>100</v>
      </c>
      <c r="X26" s="1811"/>
      <c r="Y26" s="3244"/>
      <c r="Z26" s="1812" t="str">
        <f>Q26</f>
        <v>平面位置/可视性</v>
      </c>
      <c r="AA26" s="1809">
        <f t="shared" si="3"/>
        <v>1</v>
      </c>
      <c r="AB26" s="1809">
        <f t="shared" si="4"/>
        <v>1</v>
      </c>
      <c r="AC26" s="1809">
        <f t="shared" si="5"/>
        <v>1</v>
      </c>
    </row>
    <row r="27" spans="1:29" s="117" customFormat="1" ht="15">
      <c r="A27" s="430"/>
      <c r="B27" s="450" t="s">
        <v>2657</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290"/>
      <c r="Q27" s="1793" t="str">
        <f t="shared" si="11"/>
        <v>人流量</v>
      </c>
      <c r="R27" s="769" t="s">
        <v>17</v>
      </c>
      <c r="S27" s="770">
        <f>F27</f>
        <v>100</v>
      </c>
      <c r="T27" s="769" t="s">
        <v>17</v>
      </c>
      <c r="U27" s="770">
        <f>H27</f>
        <v>100</v>
      </c>
      <c r="V27" s="769" t="s">
        <v>17</v>
      </c>
      <c r="W27" s="770">
        <f>J27</f>
        <v>100</v>
      </c>
      <c r="X27" s="771"/>
      <c r="Y27" s="3244"/>
      <c r="Z27" s="55" t="str">
        <f>Q27</f>
        <v>人流量</v>
      </c>
      <c r="AA27" s="1809">
        <f>D27/F27</f>
        <v>1</v>
      </c>
      <c r="AB27" s="1809">
        <f>D27/H27</f>
        <v>1</v>
      </c>
      <c r="AC27" s="1809">
        <f>D27/J27</f>
        <v>1</v>
      </c>
    </row>
    <row r="28" spans="1:29" ht="15">
      <c r="A28" s="427"/>
      <c r="B28" s="421" t="s">
        <v>2658</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9"/>
      <c r="M28" s="1130"/>
      <c r="N28" s="1130"/>
      <c r="O28" s="1130"/>
      <c r="P28" s="329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4"/>
      <c r="Z28" s="1812" t="str">
        <f t="shared" ref="Z28:Z46" si="15">Q28</f>
        <v>楼层</v>
      </c>
      <c r="AA28" s="1809">
        <f t="shared" si="3"/>
        <v>1</v>
      </c>
      <c r="AB28" s="1809">
        <f t="shared" si="4"/>
        <v>1</v>
      </c>
      <c r="AC28" s="1809">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90"/>
      <c r="Q29" s="1808">
        <f t="shared" si="11"/>
        <v>111</v>
      </c>
      <c r="R29" s="773" t="s">
        <v>17</v>
      </c>
      <c r="S29" s="774">
        <f t="shared" si="12"/>
        <v>100</v>
      </c>
      <c r="T29" s="773" t="s">
        <v>17</v>
      </c>
      <c r="U29" s="774">
        <f t="shared" si="13"/>
        <v>100</v>
      </c>
      <c r="V29" s="773" t="s">
        <v>17</v>
      </c>
      <c r="W29" s="774">
        <f t="shared" si="14"/>
        <v>100</v>
      </c>
      <c r="X29" s="1811"/>
      <c r="Y29" s="3244"/>
      <c r="Z29" s="1812">
        <f t="shared" si="15"/>
        <v>111</v>
      </c>
      <c r="AA29" s="1809">
        <f t="shared" si="3"/>
        <v>1</v>
      </c>
      <c r="AB29" s="1809">
        <f t="shared" si="4"/>
        <v>1</v>
      </c>
      <c r="AC29" s="1809">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90"/>
      <c r="Q30" s="1808">
        <f t="shared" si="11"/>
        <v>111</v>
      </c>
      <c r="R30" s="773" t="s">
        <v>17</v>
      </c>
      <c r="S30" s="774">
        <f t="shared" si="12"/>
        <v>100</v>
      </c>
      <c r="T30" s="773" t="s">
        <v>17</v>
      </c>
      <c r="U30" s="774">
        <f t="shared" si="13"/>
        <v>100</v>
      </c>
      <c r="V30" s="773" t="s">
        <v>17</v>
      </c>
      <c r="W30" s="774">
        <f t="shared" si="14"/>
        <v>100</v>
      </c>
      <c r="X30" s="1811"/>
      <c r="Y30" s="3244"/>
      <c r="Z30" s="1812">
        <f t="shared" si="15"/>
        <v>111</v>
      </c>
      <c r="AA30" s="1809">
        <f t="shared" si="3"/>
        <v>1</v>
      </c>
      <c r="AB30" s="1809">
        <f t="shared" si="4"/>
        <v>1</v>
      </c>
      <c r="AC30" s="1809">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90"/>
      <c r="Q31" s="1808">
        <f t="shared" si="11"/>
        <v>111</v>
      </c>
      <c r="R31" s="773" t="s">
        <v>17</v>
      </c>
      <c r="S31" s="774">
        <f t="shared" si="12"/>
        <v>100</v>
      </c>
      <c r="T31" s="773" t="s">
        <v>17</v>
      </c>
      <c r="U31" s="774">
        <f t="shared" si="13"/>
        <v>100</v>
      </c>
      <c r="V31" s="773" t="s">
        <v>17</v>
      </c>
      <c r="W31" s="774">
        <f t="shared" si="14"/>
        <v>100</v>
      </c>
      <c r="X31" s="1811"/>
      <c r="Y31" s="3244"/>
      <c r="Z31" s="1812">
        <f t="shared" si="15"/>
        <v>111</v>
      </c>
      <c r="AA31" s="1809">
        <f t="shared" si="3"/>
        <v>1</v>
      </c>
      <c r="AB31" s="1809">
        <f t="shared" si="4"/>
        <v>1</v>
      </c>
      <c r="AC31" s="1809">
        <f t="shared" si="5"/>
        <v>1</v>
      </c>
    </row>
    <row r="32" spans="1:29" ht="15">
      <c r="A32" s="439" t="s">
        <v>2562</v>
      </c>
      <c r="B32" s="71" t="s">
        <v>2659</v>
      </c>
      <c r="C32" s="2617" t="s">
        <v>3134</v>
      </c>
      <c r="D32" s="466">
        <v>100</v>
      </c>
      <c r="E32" s="2617" t="s">
        <v>3134</v>
      </c>
      <c r="F32" s="460">
        <f>SUMIF(100:100,E32,101:101)-SUMIF(100:100,C32,101:101)+100</f>
        <v>100</v>
      </c>
      <c r="G32" s="2617" t="s">
        <v>3134</v>
      </c>
      <c r="H32" s="434">
        <f>SUMIF(100:100,G32,101:101)-SUMIF(100:100,C32,101:101)+100</f>
        <v>100</v>
      </c>
      <c r="I32" s="2617" t="s">
        <v>3134</v>
      </c>
      <c r="J32" s="466">
        <f>SUMIF(100:100,I32,101:101)-SUMIF(100:100,C32,101:101)+100</f>
        <v>100</v>
      </c>
      <c r="K32" s="611"/>
      <c r="L32" s="1139"/>
      <c r="M32" s="1130"/>
      <c r="N32" s="1130"/>
      <c r="O32" s="1130"/>
      <c r="P32" s="3285" t="s">
        <v>2564</v>
      </c>
      <c r="Q32" s="1808" t="str">
        <f t="shared" si="11"/>
        <v>商业类型</v>
      </c>
      <c r="R32" s="773" t="s">
        <v>17</v>
      </c>
      <c r="S32" s="774">
        <f t="shared" si="12"/>
        <v>100</v>
      </c>
      <c r="T32" s="773" t="s">
        <v>17</v>
      </c>
      <c r="U32" s="774">
        <f t="shared" si="13"/>
        <v>100</v>
      </c>
      <c r="V32" s="773" t="s">
        <v>17</v>
      </c>
      <c r="W32" s="774">
        <f t="shared" si="14"/>
        <v>100</v>
      </c>
      <c r="X32" s="1811"/>
      <c r="Y32" s="3246" t="s">
        <v>2564</v>
      </c>
      <c r="Z32" s="1812" t="str">
        <f t="shared" si="15"/>
        <v>商业类型</v>
      </c>
      <c r="AA32" s="1809">
        <f t="shared" si="3"/>
        <v>1</v>
      </c>
      <c r="AB32" s="1809">
        <f t="shared" si="4"/>
        <v>1</v>
      </c>
      <c r="AC32" s="1809">
        <f t="shared" si="5"/>
        <v>1</v>
      </c>
    </row>
    <row r="33" spans="1:29" s="470" customFormat="1" ht="15">
      <c r="A33" s="467"/>
      <c r="B33" s="421" t="s">
        <v>2565</v>
      </c>
      <c r="C33" s="468">
        <f>'数据-基础表'!B3</f>
        <v>255265.94</v>
      </c>
      <c r="D33" s="135">
        <v>100</v>
      </c>
      <c r="E33" s="429">
        <v>1825770</v>
      </c>
      <c r="F33" s="424">
        <f>LOOKUP(E33,103:103,104:104)-LOOKUP(C33,103:103,104:104)+100</f>
        <v>100</v>
      </c>
      <c r="G33" s="428">
        <f>'比较法-住宅'!E33</f>
        <v>325242</v>
      </c>
      <c r="H33" s="135">
        <f>LOOKUP(G33,103:103,104:104)-LOOKUP(C33,103:103,104:104)+100</f>
        <v>100</v>
      </c>
      <c r="I33" s="428">
        <v>428357</v>
      </c>
      <c r="J33" s="135">
        <f>LOOKUP(I33,103:103,104:104)-LOOKUP(C33,103:103,104:104)+100</f>
        <v>100</v>
      </c>
      <c r="K33" s="612"/>
      <c r="L33" s="1137"/>
      <c r="M33" s="1140"/>
      <c r="N33" s="1140"/>
      <c r="O33" s="1140"/>
      <c r="P33" s="3286"/>
      <c r="Q33" s="775" t="str">
        <f t="shared" si="11"/>
        <v>项目建筑规模</v>
      </c>
      <c r="R33" s="776" t="s">
        <v>17</v>
      </c>
      <c r="S33" s="777">
        <f t="shared" si="12"/>
        <v>100</v>
      </c>
      <c r="T33" s="776" t="s">
        <v>17</v>
      </c>
      <c r="U33" s="777">
        <f t="shared" si="13"/>
        <v>100</v>
      </c>
      <c r="V33" s="776" t="s">
        <v>17</v>
      </c>
      <c r="W33" s="777">
        <f t="shared" si="14"/>
        <v>100</v>
      </c>
      <c r="X33" s="778"/>
      <c r="Y33" s="3246"/>
      <c r="Z33" s="779" t="str">
        <f t="shared" si="15"/>
        <v>项目建筑规模</v>
      </c>
      <c r="AA33" s="1809">
        <f t="shared" si="3"/>
        <v>1</v>
      </c>
      <c r="AB33" s="1809">
        <f t="shared" si="4"/>
        <v>1</v>
      </c>
      <c r="AC33" s="1809">
        <f t="shared" si="5"/>
        <v>1</v>
      </c>
    </row>
    <row r="34" spans="1:29" ht="15">
      <c r="A34" s="471"/>
      <c r="B34" s="421" t="s">
        <v>2566</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286"/>
      <c r="Q34" s="1808" t="str">
        <f t="shared" si="11"/>
        <v>建筑结构</v>
      </c>
      <c r="R34" s="773" t="s">
        <v>17</v>
      </c>
      <c r="S34" s="774">
        <f t="shared" si="12"/>
        <v>100</v>
      </c>
      <c r="T34" s="773" t="s">
        <v>17</v>
      </c>
      <c r="U34" s="774">
        <f t="shared" si="13"/>
        <v>100</v>
      </c>
      <c r="V34" s="773" t="s">
        <v>17</v>
      </c>
      <c r="W34" s="774">
        <f t="shared" si="14"/>
        <v>100</v>
      </c>
      <c r="X34" s="1811"/>
      <c r="Y34" s="3246"/>
      <c r="Z34" s="1812" t="str">
        <f t="shared" si="15"/>
        <v>建筑结构</v>
      </c>
      <c r="AA34" s="1809">
        <f t="shared" si="3"/>
        <v>1</v>
      </c>
      <c r="AB34" s="1809">
        <f t="shared" si="4"/>
        <v>1</v>
      </c>
      <c r="AC34" s="1809">
        <f t="shared" si="5"/>
        <v>1</v>
      </c>
    </row>
    <row r="35" spans="1:29" ht="15">
      <c r="A35" s="471"/>
      <c r="B35" s="421" t="s">
        <v>2660</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286"/>
      <c r="Q35" s="1808" t="str">
        <f t="shared" si="11"/>
        <v>公共部分装修</v>
      </c>
      <c r="R35" s="773" t="s">
        <v>17</v>
      </c>
      <c r="S35" s="774">
        <f t="shared" si="12"/>
        <v>100</v>
      </c>
      <c r="T35" s="773" t="s">
        <v>17</v>
      </c>
      <c r="U35" s="774">
        <f t="shared" si="13"/>
        <v>100</v>
      </c>
      <c r="V35" s="773" t="s">
        <v>17</v>
      </c>
      <c r="W35" s="774">
        <f t="shared" si="14"/>
        <v>100</v>
      </c>
      <c r="X35" s="1811"/>
      <c r="Y35" s="3246"/>
      <c r="Z35" s="1812" t="str">
        <f t="shared" si="15"/>
        <v>公共部分装修</v>
      </c>
      <c r="AA35" s="1809">
        <f t="shared" si="3"/>
        <v>1</v>
      </c>
      <c r="AB35" s="1809">
        <f t="shared" si="4"/>
        <v>1</v>
      </c>
      <c r="AC35" s="1809">
        <f t="shared" si="5"/>
        <v>1</v>
      </c>
    </row>
    <row r="36" spans="1:29" ht="15">
      <c r="A36" s="471"/>
      <c r="B36" s="421" t="s">
        <v>2661</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9"/>
      <c r="M36" s="1130"/>
      <c r="N36" s="1130"/>
      <c r="O36" s="1130"/>
      <c r="P36" s="3286"/>
      <c r="Q36" s="1808" t="str">
        <f t="shared" si="11"/>
        <v>成新度</v>
      </c>
      <c r="R36" s="773" t="s">
        <v>17</v>
      </c>
      <c r="S36" s="774">
        <f t="shared" si="12"/>
        <v>100</v>
      </c>
      <c r="T36" s="773" t="s">
        <v>17</v>
      </c>
      <c r="U36" s="774">
        <f t="shared" si="13"/>
        <v>100</v>
      </c>
      <c r="V36" s="773" t="s">
        <v>17</v>
      </c>
      <c r="W36" s="774">
        <f t="shared" si="14"/>
        <v>100</v>
      </c>
      <c r="X36" s="1811"/>
      <c r="Y36" s="3246"/>
      <c r="Z36" s="1812" t="str">
        <f t="shared" si="15"/>
        <v>成新度</v>
      </c>
      <c r="AA36" s="1809">
        <f t="shared" si="3"/>
        <v>1</v>
      </c>
      <c r="AB36" s="1809">
        <f t="shared" si="4"/>
        <v>1</v>
      </c>
      <c r="AC36" s="1809">
        <f t="shared" si="5"/>
        <v>1</v>
      </c>
    </row>
    <row r="37" spans="1:29" s="117" customFormat="1" ht="15">
      <c r="A37" s="472"/>
      <c r="B37" s="421" t="s">
        <v>2662</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286"/>
      <c r="Q37" s="1793" t="str">
        <f t="shared" si="11"/>
        <v>市政基础设施</v>
      </c>
      <c r="R37" s="769" t="s">
        <v>17</v>
      </c>
      <c r="S37" s="770">
        <f t="shared" si="12"/>
        <v>100</v>
      </c>
      <c r="T37" s="769" t="s">
        <v>17</v>
      </c>
      <c r="U37" s="770">
        <f t="shared" si="13"/>
        <v>100</v>
      </c>
      <c r="V37" s="769" t="s">
        <v>17</v>
      </c>
      <c r="W37" s="770">
        <f t="shared" si="14"/>
        <v>100</v>
      </c>
      <c r="X37" s="771"/>
      <c r="Y37" s="3246"/>
      <c r="Z37" s="55" t="str">
        <f t="shared" si="15"/>
        <v>市政基础设施</v>
      </c>
      <c r="AA37" s="772">
        <f t="shared" si="3"/>
        <v>1</v>
      </c>
      <c r="AB37" s="772">
        <f t="shared" si="4"/>
        <v>1</v>
      </c>
      <c r="AC37" s="772">
        <f t="shared" si="5"/>
        <v>1</v>
      </c>
    </row>
    <row r="38" spans="1:29" ht="15">
      <c r="A38" s="471"/>
      <c r="B38" s="421" t="s">
        <v>2663</v>
      </c>
      <c r="C38" s="2613" t="s">
        <v>3138</v>
      </c>
      <c r="D38" s="434">
        <v>100</v>
      </c>
      <c r="E38" s="2613" t="s">
        <v>3138</v>
      </c>
      <c r="F38" s="460">
        <f>SUMIF(114:114,E38,115:115)-SUMIF(114:114,C38,115:115)+100</f>
        <v>100</v>
      </c>
      <c r="G38" s="2613" t="s">
        <v>3140</v>
      </c>
      <c r="H38" s="434">
        <f>SUMIF(114:114,G38,115:115)-SUMIF(114:114,C38,115:115)+100</f>
        <v>95</v>
      </c>
      <c r="I38" s="2613" t="s">
        <v>3140</v>
      </c>
      <c r="J38" s="434">
        <f>SUMIF(114:114,I38,115:115)-SUMIF(114:114,C38,115:115)+100</f>
        <v>95</v>
      </c>
      <c r="K38" s="611">
        <v>5</v>
      </c>
      <c r="L38" s="1139"/>
      <c r="M38" s="1130"/>
      <c r="N38" s="1130"/>
      <c r="O38" s="1130"/>
      <c r="P38" s="3286" t="s">
        <v>2564</v>
      </c>
      <c r="Q38" s="1808" t="str">
        <f t="shared" si="11"/>
        <v>业态</v>
      </c>
      <c r="R38" s="773" t="s">
        <v>17</v>
      </c>
      <c r="S38" s="774">
        <f t="shared" si="12"/>
        <v>100</v>
      </c>
      <c r="T38" s="773" t="s">
        <v>17</v>
      </c>
      <c r="U38" s="774">
        <f t="shared" si="13"/>
        <v>95</v>
      </c>
      <c r="V38" s="773" t="s">
        <v>17</v>
      </c>
      <c r="W38" s="774">
        <f t="shared" si="14"/>
        <v>95</v>
      </c>
      <c r="X38" s="1811"/>
      <c r="Y38" s="3246" t="s">
        <v>2564</v>
      </c>
      <c r="Z38" s="1812" t="str">
        <f t="shared" si="15"/>
        <v>业态</v>
      </c>
      <c r="AA38" s="1809">
        <f t="shared" si="3"/>
        <v>1</v>
      </c>
      <c r="AB38" s="1809">
        <f t="shared" si="4"/>
        <v>1.0526315789473684</v>
      </c>
      <c r="AC38" s="1809">
        <f t="shared" si="5"/>
        <v>1.0526315789473684</v>
      </c>
    </row>
    <row r="39" spans="1:29" ht="15">
      <c r="A39" s="471"/>
      <c r="B39" s="421" t="s">
        <v>2664</v>
      </c>
      <c r="C39" s="2613" t="s">
        <v>3144</v>
      </c>
      <c r="D39" s="434">
        <v>100</v>
      </c>
      <c r="E39" s="2613" t="s">
        <v>3142</v>
      </c>
      <c r="F39" s="460">
        <f>SUMIF(116:116,E39,117:117)-SUMIF(116:116,C39,117:117)+100</f>
        <v>105</v>
      </c>
      <c r="G39" s="2613" t="s">
        <v>3144</v>
      </c>
      <c r="H39" s="434">
        <f>SUMIF(116:116,G39,117:117)-SUMIF(116:116,C39,117:117)+100</f>
        <v>100</v>
      </c>
      <c r="I39" s="2613" t="s">
        <v>3144</v>
      </c>
      <c r="J39" s="434">
        <f>SUMIF(116:116,I39,117:117)-SUMIF(116:116,C39,117:117)+100</f>
        <v>100</v>
      </c>
      <c r="K39" s="611">
        <v>5</v>
      </c>
      <c r="L39" s="1139"/>
      <c r="M39" s="1130"/>
      <c r="N39" s="1130"/>
      <c r="O39" s="1130"/>
      <c r="P39" s="3286"/>
      <c r="Q39" s="1808" t="str">
        <f t="shared" si="11"/>
        <v>层高</v>
      </c>
      <c r="R39" s="773" t="s">
        <v>17</v>
      </c>
      <c r="S39" s="774">
        <f t="shared" si="12"/>
        <v>105</v>
      </c>
      <c r="T39" s="773" t="s">
        <v>17</v>
      </c>
      <c r="U39" s="774">
        <f t="shared" si="13"/>
        <v>100</v>
      </c>
      <c r="V39" s="773" t="s">
        <v>17</v>
      </c>
      <c r="W39" s="774">
        <f t="shared" si="14"/>
        <v>100</v>
      </c>
      <c r="X39" s="1811"/>
      <c r="Y39" s="3246"/>
      <c r="Z39" s="1812" t="str">
        <f t="shared" si="15"/>
        <v>层高</v>
      </c>
      <c r="AA39" s="1809">
        <f t="shared" si="3"/>
        <v>0.95238095238095233</v>
      </c>
      <c r="AB39" s="1809">
        <f t="shared" si="4"/>
        <v>1</v>
      </c>
      <c r="AC39" s="1809">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6"/>
      <c r="Q40" s="1808" t="str">
        <f t="shared" si="11"/>
        <v>单套建筑面积</v>
      </c>
      <c r="R40" s="773" t="s">
        <v>17</v>
      </c>
      <c r="S40" s="774">
        <f t="shared" si="12"/>
        <v>100</v>
      </c>
      <c r="T40" s="773" t="s">
        <v>17</v>
      </c>
      <c r="U40" s="774">
        <f t="shared" si="13"/>
        <v>100</v>
      </c>
      <c r="V40" s="773" t="s">
        <v>17</v>
      </c>
      <c r="W40" s="774">
        <f t="shared" si="14"/>
        <v>100</v>
      </c>
      <c r="X40" s="1811"/>
      <c r="Y40" s="3246"/>
      <c r="Z40" s="1812" t="str">
        <f t="shared" si="15"/>
        <v>单套建筑面积</v>
      </c>
      <c r="AA40" s="1809">
        <f t="shared" si="3"/>
        <v>1</v>
      </c>
      <c r="AB40" s="1809">
        <f t="shared" si="4"/>
        <v>1</v>
      </c>
      <c r="AC40" s="1809">
        <f t="shared" si="5"/>
        <v>1</v>
      </c>
    </row>
    <row r="41" spans="1:29" s="470" customFormat="1" ht="15">
      <c r="A41" s="467"/>
      <c r="B41" s="1810"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6"/>
      <c r="Q41" s="775" t="str">
        <f t="shared" si="11"/>
        <v>进深比</v>
      </c>
      <c r="R41" s="776" t="s">
        <v>17</v>
      </c>
      <c r="S41" s="777">
        <f t="shared" si="12"/>
        <v>100</v>
      </c>
      <c r="T41" s="776" t="s">
        <v>17</v>
      </c>
      <c r="U41" s="777">
        <f t="shared" si="13"/>
        <v>100</v>
      </c>
      <c r="V41" s="776" t="s">
        <v>17</v>
      </c>
      <c r="W41" s="777">
        <f t="shared" si="14"/>
        <v>100</v>
      </c>
      <c r="X41" s="778"/>
      <c r="Y41" s="3246"/>
      <c r="Z41" s="779" t="str">
        <f t="shared" si="15"/>
        <v>进深比</v>
      </c>
      <c r="AA41" s="1809">
        <f t="shared" si="3"/>
        <v>1</v>
      </c>
      <c r="AB41" s="1809">
        <f t="shared" si="4"/>
        <v>1</v>
      </c>
      <c r="AC41" s="1809">
        <f t="shared" si="5"/>
        <v>1</v>
      </c>
    </row>
    <row r="42" spans="1:29" ht="15">
      <c r="A42" s="471"/>
      <c r="B42" s="421" t="s">
        <v>2667</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286"/>
      <c r="Q42" s="1808" t="str">
        <f t="shared" si="11"/>
        <v>内部装修</v>
      </c>
      <c r="R42" s="773" t="s">
        <v>17</v>
      </c>
      <c r="S42" s="774">
        <f t="shared" si="12"/>
        <v>100</v>
      </c>
      <c r="T42" s="773" t="s">
        <v>17</v>
      </c>
      <c r="U42" s="774">
        <f t="shared" si="13"/>
        <v>100</v>
      </c>
      <c r="V42" s="773" t="s">
        <v>17</v>
      </c>
      <c r="W42" s="774">
        <f t="shared" si="14"/>
        <v>100</v>
      </c>
      <c r="X42" s="1811"/>
      <c r="Y42" s="3246"/>
      <c r="Z42" s="1812" t="str">
        <f t="shared" si="15"/>
        <v>内部装修</v>
      </c>
      <c r="AA42" s="1809">
        <f t="shared" si="3"/>
        <v>1</v>
      </c>
      <c r="AB42" s="1809">
        <f t="shared" si="4"/>
        <v>1</v>
      </c>
      <c r="AC42" s="1809">
        <f t="shared" si="5"/>
        <v>1</v>
      </c>
    </row>
    <row r="43" spans="1:29" ht="15">
      <c r="A43" s="471"/>
      <c r="B43" s="421" t="s">
        <v>2575</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286"/>
      <c r="Q43" s="1808" t="str">
        <f t="shared" si="11"/>
        <v>内部装修维护情况</v>
      </c>
      <c r="R43" s="773" t="s">
        <v>17</v>
      </c>
      <c r="S43" s="774">
        <f t="shared" si="12"/>
        <v>100</v>
      </c>
      <c r="T43" s="773" t="s">
        <v>17</v>
      </c>
      <c r="U43" s="774">
        <f t="shared" si="13"/>
        <v>100</v>
      </c>
      <c r="V43" s="773" t="s">
        <v>17</v>
      </c>
      <c r="W43" s="774">
        <f t="shared" si="14"/>
        <v>100</v>
      </c>
      <c r="X43" s="1811"/>
      <c r="Y43" s="3246"/>
      <c r="Z43" s="1812" t="str">
        <f t="shared" si="15"/>
        <v>内部装修维护情况</v>
      </c>
      <c r="AA43" s="1809">
        <f t="shared" si="3"/>
        <v>1</v>
      </c>
      <c r="AB43" s="1809">
        <f t="shared" si="4"/>
        <v>1</v>
      </c>
      <c r="AC43" s="1809">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6"/>
      <c r="Q44" s="1793">
        <f t="shared" si="11"/>
        <v>111</v>
      </c>
      <c r="R44" s="769" t="s">
        <v>17</v>
      </c>
      <c r="S44" s="770">
        <f t="shared" si="12"/>
        <v>100</v>
      </c>
      <c r="T44" s="769" t="s">
        <v>17</v>
      </c>
      <c r="U44" s="770">
        <f t="shared" si="13"/>
        <v>100</v>
      </c>
      <c r="V44" s="769" t="s">
        <v>17</v>
      </c>
      <c r="W44" s="770">
        <f t="shared" si="14"/>
        <v>100</v>
      </c>
      <c r="X44" s="771"/>
      <c r="Y44" s="3246"/>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6"/>
      <c r="Q45" s="1808">
        <f t="shared" si="11"/>
        <v>111</v>
      </c>
      <c r="R45" s="773" t="s">
        <v>17</v>
      </c>
      <c r="S45" s="774">
        <f t="shared" si="12"/>
        <v>100</v>
      </c>
      <c r="T45" s="773" t="s">
        <v>17</v>
      </c>
      <c r="U45" s="774">
        <f t="shared" si="13"/>
        <v>100</v>
      </c>
      <c r="V45" s="773" t="s">
        <v>17</v>
      </c>
      <c r="W45" s="774">
        <f t="shared" si="14"/>
        <v>100</v>
      </c>
      <c r="X45" s="1811"/>
      <c r="Y45" s="3246"/>
      <c r="Z45" s="1812">
        <f t="shared" si="15"/>
        <v>111</v>
      </c>
      <c r="AA45" s="1809">
        <f t="shared" si="3"/>
        <v>1</v>
      </c>
      <c r="AB45" s="1809">
        <f t="shared" si="4"/>
        <v>1</v>
      </c>
      <c r="AC45" s="1809">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7"/>
      <c r="Q46" s="1808">
        <f t="shared" si="11"/>
        <v>111</v>
      </c>
      <c r="R46" s="773" t="s">
        <v>17</v>
      </c>
      <c r="S46" s="774">
        <f t="shared" si="12"/>
        <v>100</v>
      </c>
      <c r="T46" s="773" t="s">
        <v>17</v>
      </c>
      <c r="U46" s="774">
        <f t="shared" si="13"/>
        <v>100</v>
      </c>
      <c r="V46" s="773" t="s">
        <v>17</v>
      </c>
      <c r="W46" s="774">
        <f t="shared" si="14"/>
        <v>100</v>
      </c>
      <c r="X46" s="1811"/>
      <c r="Y46" s="3288"/>
      <c r="Z46" s="1812">
        <f t="shared" si="15"/>
        <v>111</v>
      </c>
      <c r="AA46" s="1809">
        <f t="shared" si="3"/>
        <v>1</v>
      </c>
      <c r="AB46" s="1809">
        <f t="shared" si="4"/>
        <v>1</v>
      </c>
      <c r="AC46" s="1809">
        <f t="shared" si="5"/>
        <v>1</v>
      </c>
    </row>
    <row r="47" spans="1:29" ht="15">
      <c r="A47" s="478" t="s">
        <v>2576</v>
      </c>
      <c r="B47" s="479"/>
      <c r="C47" s="1405" t="s">
        <v>1</v>
      </c>
      <c r="D47" s="1406"/>
      <c r="E47" s="1407">
        <v>40000</v>
      </c>
      <c r="F47" s="1408"/>
      <c r="G47" s="1409">
        <v>30000</v>
      </c>
      <c r="H47" s="1410"/>
      <c r="I47" s="1407">
        <v>30000</v>
      </c>
      <c r="J47" s="1410"/>
      <c r="K47" s="782"/>
      <c r="L47" s="1142"/>
      <c r="M47" s="1143"/>
      <c r="N47" s="1130"/>
      <c r="O47" s="1143"/>
      <c r="P47" s="3228" t="str">
        <f>A47</f>
        <v>成交单价（元/平方米）</v>
      </c>
      <c r="Q47" s="3228"/>
      <c r="R47" s="3241">
        <f>E47</f>
        <v>40000</v>
      </c>
      <c r="S47" s="3241"/>
      <c r="T47" s="3241">
        <f>G47</f>
        <v>30000</v>
      </c>
      <c r="U47" s="3241"/>
      <c r="V47" s="3241">
        <f>I47</f>
        <v>30000</v>
      </c>
      <c r="W47" s="3241"/>
      <c r="X47" s="758"/>
      <c r="Y47" s="780"/>
      <c r="Z47" s="758"/>
      <c r="AA47" s="758"/>
      <c r="AB47" s="758"/>
      <c r="AC47" s="758"/>
    </row>
    <row r="48" spans="1:29" ht="15.75" thickBot="1">
      <c r="A48" s="485" t="s">
        <v>2668</v>
      </c>
      <c r="B48" s="486"/>
      <c r="C48" s="1411">
        <f>R49</f>
        <v>32421</v>
      </c>
      <c r="D48" s="1412"/>
      <c r="E48" s="1413">
        <f>R48</f>
        <v>35939</v>
      </c>
      <c r="F48" s="1413"/>
      <c r="G48" s="1411">
        <f>T48</f>
        <v>30364</v>
      </c>
      <c r="H48" s="1412"/>
      <c r="I48" s="1413">
        <f>V48</f>
        <v>30960</v>
      </c>
      <c r="J48" s="1412"/>
      <c r="K48" s="783"/>
      <c r="L48" s="1142"/>
      <c r="M48" s="1143"/>
      <c r="N48" s="1130"/>
      <c r="O48" s="1143"/>
      <c r="P48" s="3228" t="str">
        <f>A48</f>
        <v>比较价值（元/平方米）</v>
      </c>
      <c r="Q48" s="3228"/>
      <c r="R48" s="3284">
        <f>IF(F1="售价",ROUND(PRODUCT(R47,AA7:AA46),0),ROUND(PRODUCT(R47,AA7:AA46),1))</f>
        <v>35939</v>
      </c>
      <c r="S48" s="3284"/>
      <c r="T48" s="3284">
        <f>IF(F1="售价",ROUND(PRODUCT(T47,AB7:AB46),0),ROUND(PRODUCT(T47,AB7:AB46),1))</f>
        <v>30364</v>
      </c>
      <c r="U48" s="3284"/>
      <c r="V48" s="3284">
        <f>IF(F1="售价",ROUND(PRODUCT(V47,AC7:AC46),0),ROUND(PRODUCT(V47,AC7:AC46),1))</f>
        <v>30960</v>
      </c>
      <c r="W48" s="3284"/>
      <c r="X48" s="758"/>
      <c r="Y48" s="758"/>
      <c r="Z48" s="758"/>
      <c r="AA48" s="758"/>
      <c r="AB48" s="758"/>
      <c r="AC48" s="758"/>
    </row>
    <row r="49" spans="1:29" ht="15.75" thickBot="1">
      <c r="A49" s="491" t="s">
        <v>2669</v>
      </c>
      <c r="B49" s="492"/>
      <c r="C49" s="1415">
        <f>R49</f>
        <v>32421</v>
      </c>
      <c r="D49" s="1415"/>
      <c r="E49" s="1415"/>
      <c r="F49" s="1415"/>
      <c r="G49" s="1415"/>
      <c r="H49" s="1415"/>
      <c r="I49" s="1415"/>
      <c r="J49" s="1415"/>
      <c r="K49" s="784"/>
      <c r="L49" s="1142"/>
      <c r="M49" s="1143"/>
      <c r="N49" s="1130"/>
      <c r="O49" s="1143"/>
      <c r="P49" s="3248" t="str">
        <f>A49</f>
        <v>估价对象XX用房的比较价值（楼面单价，元/平方米）</v>
      </c>
      <c r="Q49" s="3249"/>
      <c r="R49" s="3283">
        <f>IF(F1="售价",ROUND(AVERAGE(R48:V48),0),ROUND(AVERAGE(R48:V48),1))</f>
        <v>32421</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f>IF(E47&lt;E48,E48/E47-1,E47/E48-1)</f>
        <v>0.11299702273296419</v>
      </c>
      <c r="F52" s="499" t="str">
        <f>IF(OR(E52&gt;=0.3,E52&lt;=-0.3),"超过30%","")</f>
        <v/>
      </c>
      <c r="G52" s="498">
        <f>IF(G47&lt;G48,G48/G47-1,G47/G48-1)</f>
        <v>1.2133333333333329E-2</v>
      </c>
      <c r="H52" s="499" t="str">
        <f>IF(OR(G52&gt;=0.3,G52&lt;=-0.3),"超过30%","")</f>
        <v/>
      </c>
      <c r="I52" s="498">
        <f>IF(I47&lt;I48,I48/I47-1,I47/I48-1)</f>
        <v>3.2000000000000028E-2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f>IF(E48&lt;G48,G48/E48-1,E48/G48-1)</f>
        <v>0.18360558556184947</v>
      </c>
      <c r="F53" s="499" t="str">
        <f>IF(OR(E53&gt;=0.2,E53&lt;=-0.2),"超过20%","")</f>
        <v/>
      </c>
      <c r="G53" s="498">
        <f>IF(G48&lt;I48,I48/G48-1,G48/I48-1)</f>
        <v>1.962850744302469E-2</v>
      </c>
      <c r="H53" s="499" t="str">
        <f>IF(OR(G53&gt;=0.2,G53&lt;=-0.2),"超过20%","")</f>
        <v/>
      </c>
      <c r="I53" s="498">
        <f>IF(I48&lt;E48,E48/I48-1,I48/E48-1)</f>
        <v>0.1608204134366924</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f>IF(E47&lt;G47,G47/E47-1,E47/G47-1)</f>
        <v>0.33333333333333326</v>
      </c>
      <c r="F54" s="499" t="str">
        <f>IF(OR(E54&gt;=0.3,E54&lt;=-0.3),"超过30%","")</f>
        <v>超过30%</v>
      </c>
      <c r="G54" s="498">
        <f>IF(G47&lt;I47,I47/G47-1,G47/I47-1)</f>
        <v>0</v>
      </c>
      <c r="H54" s="499" t="str">
        <f>IF(OR(G54&gt;=0.3,G54&lt;=-0.3),"超过30%","")</f>
        <v/>
      </c>
      <c r="I54" s="498">
        <f>IF(I47&lt;E47,E47/I47-1,I47/E47-1)</f>
        <v>0.33333333333333326</v>
      </c>
      <c r="J54" s="499" t="str">
        <f>IF(OR(I54&gt;=0.3,I54&lt;=-0.3),"超过30%","")</f>
        <v>超过30%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2547</v>
      </c>
      <c r="B58" s="505"/>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8"/>
      <c r="B59" s="509"/>
      <c r="C59" s="1571">
        <v>100</v>
      </c>
      <c r="D59" s="511"/>
      <c r="E59" s="511"/>
      <c r="F59" s="511"/>
      <c r="G59" s="511"/>
      <c r="H59" s="511"/>
      <c r="I59" s="511"/>
      <c r="J59" s="511"/>
      <c r="K59" s="511"/>
      <c r="L59" s="511"/>
      <c r="M59" s="512"/>
      <c r="N59" s="511"/>
      <c r="O59" s="512"/>
      <c r="P59" s="2628"/>
    </row>
    <row r="60" spans="1:29" s="117" customFormat="1" ht="15.75" thickBot="1">
      <c r="A60" s="514" t="s">
        <v>2584</v>
      </c>
      <c r="B60" s="515"/>
      <c r="C60" s="516"/>
      <c r="D60" s="517"/>
      <c r="E60" s="517"/>
      <c r="F60" s="517"/>
      <c r="G60" s="517"/>
      <c r="H60" s="517"/>
      <c r="I60" s="517"/>
      <c r="J60" s="517"/>
      <c r="K60" s="517"/>
      <c r="L60" s="517"/>
      <c r="M60" s="518"/>
      <c r="N60" s="517"/>
      <c r="O60" s="518"/>
      <c r="P60" s="2628"/>
      <c r="Q60" s="503"/>
    </row>
    <row r="61" spans="1:29" s="117" customFormat="1" ht="15">
      <c r="A61" s="520" t="s">
        <v>2549</v>
      </c>
      <c r="B61" s="509"/>
      <c r="C61" s="521" t="s">
        <v>2651</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2587</v>
      </c>
      <c r="B63" s="527" t="s">
        <v>2553</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2"/>
      <c r="O66" s="1152"/>
      <c r="P66" s="2630"/>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v>0</v>
      </c>
      <c r="D68" s="548">
        <v>1</v>
      </c>
      <c r="E68" s="548">
        <v>2</v>
      </c>
      <c r="F68" s="548">
        <v>3</v>
      </c>
      <c r="G68" s="548">
        <v>4</v>
      </c>
      <c r="H68" s="548">
        <v>5</v>
      </c>
      <c r="I68" s="548"/>
      <c r="J68" s="548"/>
      <c r="K68" s="549"/>
      <c r="L68" s="550"/>
      <c r="M68" s="551"/>
      <c r="N68" s="1151"/>
      <c r="O68" s="1151"/>
      <c r="P68" s="2630"/>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75" thickTop="1">
      <c r="A86" s="578"/>
      <c r="B86" s="537" t="s">
        <v>2679</v>
      </c>
      <c r="C86" s="2985" t="s">
        <v>3127</v>
      </c>
      <c r="D86" s="2985" t="s">
        <v>3128</v>
      </c>
      <c r="E86" s="2985" t="s">
        <v>3130</v>
      </c>
      <c r="F86" s="2985" t="s">
        <v>3131</v>
      </c>
      <c r="G86" s="553"/>
      <c r="H86" s="553"/>
      <c r="I86" s="553"/>
      <c r="J86" s="553"/>
      <c r="K86" s="553"/>
      <c r="L86" s="579"/>
      <c r="M86" s="580"/>
      <c r="N86" s="1150"/>
      <c r="O86" s="1150"/>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5.75" thickTop="1">
      <c r="A88" s="578"/>
      <c r="B88" s="537" t="str">
        <f>B26</f>
        <v>平面位置/可视性</v>
      </c>
      <c r="C88" s="2985" t="s">
        <v>3132</v>
      </c>
      <c r="D88" s="2985" t="s">
        <v>3133</v>
      </c>
      <c r="E88" s="553"/>
      <c r="F88" s="2635"/>
      <c r="G88" s="553"/>
      <c r="H88" s="553"/>
      <c r="I88" s="553"/>
      <c r="J88" s="553"/>
      <c r="K88" s="553"/>
      <c r="L88" s="553"/>
      <c r="M88" s="580"/>
      <c r="N88" s="1150"/>
      <c r="O88" s="1150"/>
      <c r="P88" s="2630"/>
      <c r="Q88" s="503"/>
    </row>
    <row r="89" spans="1:17" s="117" customFormat="1" ht="15.75" thickBot="1">
      <c r="A89" s="578"/>
      <c r="B89" s="542"/>
      <c r="C89" s="559">
        <v>100</v>
      </c>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5.75" thickTop="1">
      <c r="A92" s="533"/>
      <c r="B92" s="537" t="str">
        <f>B28</f>
        <v>楼层</v>
      </c>
      <c r="C92" s="553">
        <v>1</v>
      </c>
      <c r="D92" s="553"/>
      <c r="E92" s="553"/>
      <c r="F92" s="553"/>
      <c r="G92" s="553"/>
      <c r="H92" s="553"/>
      <c r="I92" s="553"/>
      <c r="J92" s="553"/>
      <c r="K92" s="553"/>
      <c r="L92" s="579"/>
      <c r="M92" s="580"/>
      <c r="N92" s="1151"/>
      <c r="O92" s="1151"/>
      <c r="P92" s="2630"/>
      <c r="Q92" s="503"/>
    </row>
    <row r="93" spans="1:17" ht="15.75" thickBot="1">
      <c r="A93" s="533"/>
      <c r="B93" s="542"/>
      <c r="C93" s="535">
        <v>100</v>
      </c>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2562</v>
      </c>
      <c r="B100" s="527" t="s">
        <v>2680</v>
      </c>
      <c r="C100" s="2984" t="s">
        <v>3135</v>
      </c>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29.25" thickTop="1">
      <c r="A102" s="533"/>
      <c r="B102" s="537" t="s">
        <v>2612</v>
      </c>
      <c r="C102" s="577" t="str">
        <f>C103&amp;"(含)"&amp;"-"&amp;D103</f>
        <v>0(含)-50000</v>
      </c>
      <c r="D102" s="577" t="str">
        <f t="shared" ref="D102:L102" si="23">D103&amp;"(含)"&amp;"-"&amp;E103</f>
        <v>50000(含)-100000</v>
      </c>
      <c r="E102" s="577" t="str">
        <f t="shared" si="23"/>
        <v>100000(含)-150000</v>
      </c>
      <c r="F102" s="577" t="str">
        <f t="shared" si="23"/>
        <v>150000(含)-200000</v>
      </c>
      <c r="G102" s="577" t="str">
        <f t="shared" si="23"/>
        <v>200000(含)-250000</v>
      </c>
      <c r="H102" s="577" t="str">
        <f t="shared" si="23"/>
        <v>250000(含)-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3"/>
      <c r="O103" s="1153"/>
      <c r="P103" s="2631"/>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6"/>
      <c r="N104" s="1152"/>
      <c r="O104" s="1152"/>
      <c r="P104" s="2631"/>
      <c r="Q104" s="558"/>
    </row>
    <row r="105" spans="1:17" ht="15" thickTop="1">
      <c r="A105" s="598"/>
      <c r="B105" s="537" t="s">
        <v>2613</v>
      </c>
      <c r="C105" s="2985" t="s">
        <v>3136</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2615</v>
      </c>
      <c r="C107" s="2985" t="s">
        <v>3137</v>
      </c>
      <c r="D107" s="553"/>
      <c r="E107" s="553"/>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2681</v>
      </c>
      <c r="C114" s="2985" t="s">
        <v>3139</v>
      </c>
      <c r="D114" s="2985" t="s">
        <v>3141</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2"/>
      <c r="O115" s="1152"/>
      <c r="P115" s="2630"/>
      <c r="Q115" s="503"/>
    </row>
    <row r="116" spans="1:17" ht="15" thickTop="1">
      <c r="A116" s="598"/>
      <c r="B116" s="537" t="s">
        <v>2682</v>
      </c>
      <c r="C116" s="2985" t="s">
        <v>3143</v>
      </c>
      <c r="D116" s="2985" t="s">
        <v>3145</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30"/>
      <c r="Q117" s="503"/>
    </row>
    <row r="118" spans="1:17" ht="15" thickTop="1">
      <c r="A118" s="598"/>
      <c r="B118" s="537" t="s">
        <v>2683</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2619</v>
      </c>
      <c r="C122" s="2985" t="s">
        <v>3146</v>
      </c>
      <c r="D122" s="553"/>
      <c r="E122" s="553"/>
      <c r="F122" s="2986" t="s">
        <v>3147</v>
      </c>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5" priority="17" stopIfTrue="1" operator="containsText" text="超过">
      <formula>NOT(ISERROR(SEARCH("超过",F52)))</formula>
    </cfRule>
  </conditionalFormatting>
  <conditionalFormatting sqref="H54">
    <cfRule type="containsText" dxfId="114" priority="15" stopIfTrue="1" operator="containsText" text="超过">
      <formula>NOT(ISERROR(SEARCH("超过",H54)))</formula>
    </cfRule>
  </conditionalFormatting>
  <conditionalFormatting sqref="F54">
    <cfRule type="containsText" dxfId="113" priority="14" stopIfTrue="1" operator="containsText" text="超过">
      <formula>NOT(ISERROR(SEARCH("超过",F54)))</formula>
    </cfRule>
  </conditionalFormatting>
  <conditionalFormatting sqref="F53 H53">
    <cfRule type="containsText" dxfId="112" priority="13" stopIfTrue="1" operator="containsText" text="超过">
      <formula>NOT(ISERROR(SEARCH("超过",F53)))</formula>
    </cfRule>
  </conditionalFormatting>
  <conditionalFormatting sqref="E52">
    <cfRule type="expression" dxfId="111" priority="12"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4">
    <cfRule type="expression" dxfId="108" priority="9" stopIfTrue="1">
      <formula>$H$54="超过30%"</formula>
    </cfRule>
  </conditionalFormatting>
  <conditionalFormatting sqref="G52">
    <cfRule type="expression" dxfId="107" priority="8" stopIfTrue="1">
      <formula>$H$52="超过30%"</formula>
    </cfRule>
  </conditionalFormatting>
  <conditionalFormatting sqref="G53">
    <cfRule type="expression" dxfId="106" priority="7" stopIfTrue="1">
      <formula>$H$53="超过20%"</formula>
    </cfRule>
  </conditionalFormatting>
  <conditionalFormatting sqref="J52">
    <cfRule type="containsText" dxfId="105" priority="6" stopIfTrue="1" operator="containsText" text="超过">
      <formula>NOT(ISERROR(SEARCH("超过",J52)))</formula>
    </cfRule>
  </conditionalFormatting>
  <conditionalFormatting sqref="J54">
    <cfRule type="containsText" dxfId="104" priority="5" stopIfTrue="1" operator="containsText" text="超过">
      <formula>NOT(ISERROR(SEARCH("超过",J54)))</formula>
    </cfRule>
  </conditionalFormatting>
  <conditionalFormatting sqref="J53">
    <cfRule type="containsText" dxfId="103" priority="4" stopIfTrue="1" operator="containsText" text="超过">
      <formula>NOT(ISERROR(SEARCH("超过",J53)))</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9" t="s">
        <v>2685</v>
      </c>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2329</v>
      </c>
      <c r="B2" s="1416" t="e">
        <f ca="1">IF(C2="——",ROUND(C50*D3/10000,0),ROUND(C50*D3/10000,0)-D2)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18470.39</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29" t="s">
        <v>2645</v>
      </c>
      <c r="D4" s="3230"/>
      <c r="E4" s="3231" t="s">
        <v>2646</v>
      </c>
      <c r="F4" s="3232"/>
      <c r="G4" s="3229" t="s">
        <v>2647</v>
      </c>
      <c r="H4" s="3230"/>
      <c r="I4" s="3229" t="s">
        <v>2648</v>
      </c>
      <c r="J4" s="3230"/>
      <c r="K4" s="609" t="s">
        <v>2649</v>
      </c>
      <c r="L4" s="1129"/>
      <c r="M4" s="1130"/>
      <c r="N4" s="1130"/>
      <c r="O4" s="1130"/>
      <c r="P4" s="3297" t="s">
        <v>2650</v>
      </c>
      <c r="Q4" s="3298"/>
      <c r="R4" s="3292" t="s">
        <v>2646</v>
      </c>
      <c r="S4" s="3293"/>
      <c r="T4" s="3292" t="s">
        <v>2647</v>
      </c>
      <c r="U4" s="3293"/>
      <c r="V4" s="3301" t="s">
        <v>2648</v>
      </c>
      <c r="W4" s="3301"/>
      <c r="X4" s="2670"/>
      <c r="Y4" s="3292" t="s">
        <v>2650</v>
      </c>
      <c r="Z4" s="3293"/>
      <c r="AA4" s="3291" t="s">
        <v>2646</v>
      </c>
      <c r="AB4" s="3291" t="s">
        <v>2647</v>
      </c>
      <c r="AC4" s="3294" t="s">
        <v>2648</v>
      </c>
    </row>
    <row r="5" spans="1:29" ht="15">
      <c r="A5" s="403"/>
      <c r="B5" s="404"/>
      <c r="C5" s="3222" t="s">
        <v>2541</v>
      </c>
      <c r="D5" s="3223"/>
      <c r="E5" s="3220" t="s">
        <v>2542</v>
      </c>
      <c r="F5" s="3221"/>
      <c r="G5" s="3222" t="s">
        <v>2543</v>
      </c>
      <c r="H5" s="3223"/>
      <c r="I5" s="3222" t="s">
        <v>2544</v>
      </c>
      <c r="J5" s="3223"/>
      <c r="K5" s="609"/>
      <c r="L5" s="1129"/>
      <c r="M5" s="1130"/>
      <c r="N5" s="1130"/>
      <c r="O5" s="1130"/>
      <c r="P5" s="3299"/>
      <c r="Q5" s="3236"/>
      <c r="R5" s="3218"/>
      <c r="S5" s="3219"/>
      <c r="T5" s="3218"/>
      <c r="U5" s="3219"/>
      <c r="V5" s="3241"/>
      <c r="W5" s="3241"/>
      <c r="X5" s="1811"/>
      <c r="Y5" s="3218"/>
      <c r="Z5" s="3219"/>
      <c r="AA5" s="3212"/>
      <c r="AB5" s="3212"/>
      <c r="AC5" s="3295"/>
    </row>
    <row r="6" spans="1:29" ht="15.75" thickBot="1">
      <c r="A6" s="405"/>
      <c r="B6" s="406"/>
      <c r="C6" s="3224" t="s">
        <v>2545</v>
      </c>
      <c r="D6" s="3225"/>
      <c r="E6" s="3226" t="s">
        <v>2545</v>
      </c>
      <c r="F6" s="3227"/>
      <c r="G6" s="3224" t="s">
        <v>2545</v>
      </c>
      <c r="H6" s="3225"/>
      <c r="I6" s="3224" t="s">
        <v>2545</v>
      </c>
      <c r="J6" s="3225"/>
      <c r="K6" s="609" t="s">
        <v>2546</v>
      </c>
      <c r="L6" s="1129"/>
      <c r="M6" s="1130"/>
      <c r="N6" s="1130"/>
      <c r="O6" s="1130"/>
      <c r="P6" s="3300"/>
      <c r="Q6" s="3238"/>
      <c r="R6" s="3218"/>
      <c r="S6" s="3219"/>
      <c r="T6" s="3239"/>
      <c r="U6" s="3240"/>
      <c r="V6" s="3241"/>
      <c r="W6" s="3241"/>
      <c r="X6" s="1811"/>
      <c r="Y6" s="3239"/>
      <c r="Z6" s="3240"/>
      <c r="AA6" s="3213"/>
      <c r="AB6" s="3213"/>
      <c r="AC6" s="3296"/>
    </row>
    <row r="7" spans="1:29" s="117" customFormat="1" ht="15.75" thickBot="1">
      <c r="A7" s="407" t="s">
        <v>2547</v>
      </c>
      <c r="B7" s="408"/>
      <c r="C7" s="409">
        <f>'数据-取费表'!B2</f>
        <v>43714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02" t="s">
        <v>2548</v>
      </c>
      <c r="Q7" s="3242"/>
      <c r="R7" s="769" t="s">
        <v>17</v>
      </c>
      <c r="S7" s="770">
        <f t="shared" ref="S7:S15" si="0">F7</f>
        <v>0</v>
      </c>
      <c r="T7" s="769" t="s">
        <v>17</v>
      </c>
      <c r="U7" s="770">
        <f t="shared" ref="U7:U15" si="1">H7</f>
        <v>0</v>
      </c>
      <c r="V7" s="769" t="s">
        <v>17</v>
      </c>
      <c r="W7" s="770">
        <f t="shared" ref="W7:W15" si="2">J7</f>
        <v>0</v>
      </c>
      <c r="X7" s="771"/>
      <c r="Y7" s="3214" t="s">
        <v>2548</v>
      </c>
      <c r="Z7" s="3215"/>
      <c r="AA7" s="772" t="e">
        <f>D7/F7</f>
        <v>#DIV/0!</v>
      </c>
      <c r="AB7" s="772" t="e">
        <f>D7/H7</f>
        <v>#DIV/0!</v>
      </c>
      <c r="AC7" s="2671"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02" t="s">
        <v>2551</v>
      </c>
      <c r="Q8" s="3215"/>
      <c r="R8" s="769" t="s">
        <v>17</v>
      </c>
      <c r="S8" s="770">
        <f t="shared" si="0"/>
        <v>0</v>
      </c>
      <c r="T8" s="769" t="s">
        <v>17</v>
      </c>
      <c r="U8" s="770">
        <f t="shared" si="1"/>
        <v>0</v>
      </c>
      <c r="V8" s="769" t="s">
        <v>17</v>
      </c>
      <c r="W8" s="770">
        <f t="shared" si="2"/>
        <v>0</v>
      </c>
      <c r="X8" s="771"/>
      <c r="Y8" s="3214" t="s">
        <v>2551</v>
      </c>
      <c r="Z8" s="3215"/>
      <c r="AA8" s="772" t="e">
        <f t="shared" ref="AA8:AA47" si="3">D8/F8</f>
        <v>#DIV/0!</v>
      </c>
      <c r="AB8" s="772" t="e">
        <f t="shared" ref="AB8:AB47" si="4">D8/H8</f>
        <v>#DIV/0!</v>
      </c>
      <c r="AC8" s="2671"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2" t="s">
        <v>2554</v>
      </c>
      <c r="Q9" s="1793" t="str">
        <f t="shared" ref="Q9:Q15" si="6">B9</f>
        <v>用途</v>
      </c>
      <c r="R9" s="769" t="s">
        <v>17</v>
      </c>
      <c r="S9" s="770">
        <f t="shared" si="0"/>
        <v>100</v>
      </c>
      <c r="T9" s="769" t="s">
        <v>17</v>
      </c>
      <c r="U9" s="770">
        <f t="shared" si="1"/>
        <v>100</v>
      </c>
      <c r="V9" s="769" t="s">
        <v>17</v>
      </c>
      <c r="W9" s="770">
        <f t="shared" si="2"/>
        <v>100</v>
      </c>
      <c r="X9" s="771"/>
      <c r="Y9" s="3079" t="s">
        <v>2555</v>
      </c>
      <c r="Z9" s="55" t="str">
        <f t="shared" ref="Z9:Z15" si="7">Q9</f>
        <v>用途</v>
      </c>
      <c r="AA9" s="772">
        <f t="shared" si="3"/>
        <v>1</v>
      </c>
      <c r="AB9" s="772">
        <f t="shared" si="4"/>
        <v>1</v>
      </c>
      <c r="AC9" s="2671">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2"/>
      <c r="Q10" s="1793"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2671">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2"/>
      <c r="Q11" s="1793"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52"/>
      <c r="Q12" s="1793">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52"/>
      <c r="Q13" s="1793">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52"/>
      <c r="Q14" s="1793">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2671">
        <f t="shared" si="5"/>
        <v>1</v>
      </c>
    </row>
    <row r="15" spans="1:29" ht="71.25">
      <c r="A15" s="439" t="s">
        <v>2558</v>
      </c>
      <c r="B15" s="628" t="s">
        <v>2686</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89" t="s">
        <v>2559</v>
      </c>
      <c r="Q15" s="1808" t="str">
        <f t="shared" si="6"/>
        <v>办公集聚程度</v>
      </c>
      <c r="R15" s="773" t="s">
        <v>17</v>
      </c>
      <c r="S15" s="774">
        <f t="shared" si="0"/>
        <v>100</v>
      </c>
      <c r="T15" s="773" t="s">
        <v>17</v>
      </c>
      <c r="U15" s="774">
        <f t="shared" si="1"/>
        <v>100</v>
      </c>
      <c r="V15" s="773" t="s">
        <v>17</v>
      </c>
      <c r="W15" s="774">
        <f t="shared" si="2"/>
        <v>100</v>
      </c>
      <c r="X15" s="1811"/>
      <c r="Y15" s="3243" t="s">
        <v>2559</v>
      </c>
      <c r="Z15" s="1812" t="str">
        <f t="shared" si="7"/>
        <v>办公集聚程度</v>
      </c>
      <c r="AA15" s="1809">
        <f t="shared" si="3"/>
        <v>1</v>
      </c>
      <c r="AB15" s="1809">
        <f t="shared" si="4"/>
        <v>1</v>
      </c>
      <c r="AC15" s="2674">
        <f t="shared" si="5"/>
        <v>1</v>
      </c>
    </row>
    <row r="16" spans="1:29" ht="15">
      <c r="A16" s="427"/>
      <c r="B16" s="629"/>
      <c r="C16" s="2611"/>
      <c r="D16" s="447"/>
      <c r="E16" s="446"/>
      <c r="F16" s="447"/>
      <c r="G16" s="2611"/>
      <c r="H16" s="449"/>
      <c r="I16" s="446"/>
      <c r="J16" s="447"/>
      <c r="K16" s="614"/>
      <c r="L16" s="1139"/>
      <c r="M16" s="1130"/>
      <c r="N16" s="1130"/>
      <c r="O16" s="1130"/>
      <c r="P16" s="3290"/>
      <c r="Q16" s="1808"/>
      <c r="R16" s="773"/>
      <c r="S16" s="774"/>
      <c r="T16" s="773"/>
      <c r="U16" s="774"/>
      <c r="V16" s="773"/>
      <c r="W16" s="774"/>
      <c r="X16" s="1811"/>
      <c r="Y16" s="3244"/>
      <c r="Z16" s="1812"/>
      <c r="AA16" s="1809">
        <v>1</v>
      </c>
      <c r="AB16" s="1809">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90"/>
      <c r="Q17" s="1808" t="str">
        <f>B17</f>
        <v>交通便捷度</v>
      </c>
      <c r="R17" s="773" t="s">
        <v>17</v>
      </c>
      <c r="S17" s="774">
        <f>F17</f>
        <v>100</v>
      </c>
      <c r="T17" s="773" t="s">
        <v>17</v>
      </c>
      <c r="U17" s="774">
        <f>H17</f>
        <v>100</v>
      </c>
      <c r="V17" s="773" t="s">
        <v>17</v>
      </c>
      <c r="W17" s="774">
        <f>J17</f>
        <v>100</v>
      </c>
      <c r="X17" s="1811"/>
      <c r="Y17" s="3244"/>
      <c r="Z17" s="1812" t="str">
        <f>Q17</f>
        <v>交通便捷度</v>
      </c>
      <c r="AA17" s="1809">
        <f t="shared" si="3"/>
        <v>1</v>
      </c>
      <c r="AB17" s="1809">
        <f t="shared" si="4"/>
        <v>1</v>
      </c>
      <c r="AC17" s="2674">
        <f t="shared" si="5"/>
        <v>1</v>
      </c>
    </row>
    <row r="18" spans="1:29" ht="15">
      <c r="A18" s="427"/>
      <c r="B18" s="631"/>
      <c r="C18" s="2676"/>
      <c r="D18" s="449"/>
      <c r="E18" s="2609"/>
      <c r="F18" s="449"/>
      <c r="G18" s="2610"/>
      <c r="H18" s="447"/>
      <c r="I18" s="2610"/>
      <c r="J18" s="447"/>
      <c r="K18" s="614"/>
      <c r="L18" s="1139"/>
      <c r="M18" s="1130"/>
      <c r="N18" s="1130"/>
      <c r="O18" s="1130"/>
      <c r="P18" s="3290"/>
      <c r="Q18" s="1808"/>
      <c r="R18" s="773"/>
      <c r="S18" s="774"/>
      <c r="T18" s="773"/>
      <c r="U18" s="774"/>
      <c r="V18" s="773"/>
      <c r="W18" s="774"/>
      <c r="X18" s="1811"/>
      <c r="Y18" s="3244"/>
      <c r="Z18" s="1812"/>
      <c r="AA18" s="1809">
        <v>1</v>
      </c>
      <c r="AB18" s="1809">
        <v>1</v>
      </c>
      <c r="AC18" s="2674">
        <v>1</v>
      </c>
    </row>
    <row r="19" spans="1:29" ht="42.75">
      <c r="A19" s="427"/>
      <c r="B19" s="630" t="s">
        <v>2687</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90"/>
      <c r="Q19" s="1808" t="str">
        <f>B19</f>
        <v>公共配套设施</v>
      </c>
      <c r="R19" s="773" t="s">
        <v>17</v>
      </c>
      <c r="S19" s="774">
        <f>F19</f>
        <v>100</v>
      </c>
      <c r="T19" s="773" t="s">
        <v>17</v>
      </c>
      <c r="U19" s="774">
        <f>H19</f>
        <v>100</v>
      </c>
      <c r="V19" s="773" t="s">
        <v>17</v>
      </c>
      <c r="W19" s="774">
        <f>J19</f>
        <v>100</v>
      </c>
      <c r="X19" s="1811"/>
      <c r="Y19" s="3244"/>
      <c r="Z19" s="1812" t="str">
        <f>Q19</f>
        <v>公共配套设施</v>
      </c>
      <c r="AA19" s="1809">
        <f t="shared" si="3"/>
        <v>1</v>
      </c>
      <c r="AB19" s="1809">
        <f t="shared" si="4"/>
        <v>1</v>
      </c>
      <c r="AC19" s="2674">
        <f t="shared" si="5"/>
        <v>1</v>
      </c>
    </row>
    <row r="20" spans="1:29" ht="15">
      <c r="A20" s="427"/>
      <c r="B20" s="631"/>
      <c r="C20" s="2611"/>
      <c r="D20" s="447"/>
      <c r="E20" s="2604"/>
      <c r="F20" s="447"/>
      <c r="G20" s="2605"/>
      <c r="H20" s="447"/>
      <c r="I20" s="2605"/>
      <c r="J20" s="447"/>
      <c r="K20" s="614"/>
      <c r="L20" s="1139"/>
      <c r="M20" s="1130"/>
      <c r="N20" s="1130"/>
      <c r="O20" s="1130"/>
      <c r="P20" s="3290"/>
      <c r="Q20" s="1808"/>
      <c r="R20" s="773"/>
      <c r="S20" s="774"/>
      <c r="T20" s="773"/>
      <c r="U20" s="774"/>
      <c r="V20" s="773"/>
      <c r="W20" s="774"/>
      <c r="X20" s="1811"/>
      <c r="Y20" s="3244"/>
      <c r="Z20" s="1812"/>
      <c r="AA20" s="1809">
        <v>1</v>
      </c>
      <c r="AB20" s="1809">
        <v>1</v>
      </c>
      <c r="AC20" s="2674">
        <v>1</v>
      </c>
    </row>
    <row r="21" spans="1:29" ht="28.5">
      <c r="A21" s="427"/>
      <c r="B21" s="632" t="s">
        <v>2688</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90"/>
      <c r="Q21" s="1808" t="str">
        <f>B21</f>
        <v>基础设施水平</v>
      </c>
      <c r="R21" s="773" t="s">
        <v>17</v>
      </c>
      <c r="S21" s="774">
        <f>F21</f>
        <v>100</v>
      </c>
      <c r="T21" s="773" t="s">
        <v>17</v>
      </c>
      <c r="U21" s="774">
        <f>H21</f>
        <v>100</v>
      </c>
      <c r="V21" s="773" t="s">
        <v>17</v>
      </c>
      <c r="W21" s="774">
        <f>J21</f>
        <v>100</v>
      </c>
      <c r="X21" s="1811"/>
      <c r="Y21" s="3244"/>
      <c r="Z21" s="1812" t="str">
        <f>Q21</f>
        <v>基础设施水平</v>
      </c>
      <c r="AA21" s="1809">
        <f t="shared" ref="AA21" si="8">D21/F21</f>
        <v>1</v>
      </c>
      <c r="AB21" s="1809">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290"/>
      <c r="Q22" s="1808"/>
      <c r="R22" s="773"/>
      <c r="S22" s="774"/>
      <c r="T22" s="773"/>
      <c r="U22" s="774"/>
      <c r="V22" s="773"/>
      <c r="W22" s="774"/>
      <c r="X22" s="1811"/>
      <c r="Y22" s="3244"/>
      <c r="Z22" s="1812"/>
      <c r="AA22" s="1809">
        <v>1</v>
      </c>
      <c r="AB22" s="1809">
        <v>1</v>
      </c>
      <c r="AC22" s="2674">
        <v>1</v>
      </c>
    </row>
    <row r="23" spans="1:29" ht="42.75">
      <c r="A23" s="427"/>
      <c r="B23" s="630" t="s">
        <v>2689</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90"/>
      <c r="Q23" s="1808" t="str">
        <f>B23</f>
        <v>环境质量</v>
      </c>
      <c r="R23" s="773" t="s">
        <v>17</v>
      </c>
      <c r="S23" s="774">
        <f>F23</f>
        <v>100</v>
      </c>
      <c r="T23" s="773" t="s">
        <v>17</v>
      </c>
      <c r="U23" s="774">
        <f>H23</f>
        <v>100</v>
      </c>
      <c r="V23" s="773" t="s">
        <v>17</v>
      </c>
      <c r="W23" s="774">
        <f>J23</f>
        <v>100</v>
      </c>
      <c r="X23" s="1811"/>
      <c r="Y23" s="3244"/>
      <c r="Z23" s="1812" t="str">
        <f>Q23</f>
        <v>环境质量</v>
      </c>
      <c r="AA23" s="1809">
        <f t="shared" si="3"/>
        <v>1</v>
      </c>
      <c r="AB23" s="1809">
        <f t="shared" si="4"/>
        <v>1</v>
      </c>
      <c r="AC23" s="2674">
        <f t="shared" si="5"/>
        <v>1</v>
      </c>
    </row>
    <row r="24" spans="1:29" ht="15">
      <c r="A24" s="427"/>
      <c r="B24" s="632"/>
      <c r="C24" s="2611"/>
      <c r="D24" s="447"/>
      <c r="E24" s="2604"/>
      <c r="F24" s="447"/>
      <c r="G24" s="2605"/>
      <c r="H24" s="447"/>
      <c r="I24" s="2605"/>
      <c r="J24" s="447"/>
      <c r="K24" s="614"/>
      <c r="L24" s="1139"/>
      <c r="M24" s="1130"/>
      <c r="N24" s="1130"/>
      <c r="O24" s="1130"/>
      <c r="P24" s="3290"/>
      <c r="Q24" s="1808"/>
      <c r="R24" s="773"/>
      <c r="S24" s="774"/>
      <c r="T24" s="773"/>
      <c r="U24" s="774"/>
      <c r="V24" s="773"/>
      <c r="W24" s="774"/>
      <c r="X24" s="1811"/>
      <c r="Y24" s="3244"/>
      <c r="Z24" s="1812"/>
      <c r="AA24" s="1809">
        <v>1</v>
      </c>
      <c r="AB24" s="1809">
        <v>1</v>
      </c>
      <c r="AC24" s="2674">
        <v>1</v>
      </c>
    </row>
    <row r="25" spans="1:29" ht="27">
      <c r="A25" s="403"/>
      <c r="B25" s="630" t="s">
        <v>2690</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290"/>
      <c r="Q25" s="1808" t="str">
        <f>B25</f>
        <v>毗邻道路的类型与等级</v>
      </c>
      <c r="R25" s="773" t="s">
        <v>17</v>
      </c>
      <c r="S25" s="774">
        <f>F25</f>
        <v>100</v>
      </c>
      <c r="T25" s="773" t="s">
        <v>17</v>
      </c>
      <c r="U25" s="774">
        <f>H25</f>
        <v>100</v>
      </c>
      <c r="V25" s="773" t="s">
        <v>17</v>
      </c>
      <c r="W25" s="774">
        <f>J25</f>
        <v>100</v>
      </c>
      <c r="X25" s="1811"/>
      <c r="Y25" s="3244"/>
      <c r="Z25" s="1812" t="str">
        <f>Q25</f>
        <v>毗邻道路的类型与等级</v>
      </c>
      <c r="AA25" s="1809">
        <f t="shared" si="3"/>
        <v>1</v>
      </c>
      <c r="AB25" s="1809">
        <f t="shared" si="4"/>
        <v>1</v>
      </c>
      <c r="AC25" s="2674">
        <f t="shared" si="5"/>
        <v>1</v>
      </c>
    </row>
    <row r="26" spans="1:29" ht="15">
      <c r="A26" s="403"/>
      <c r="B26" s="631"/>
      <c r="C26" s="633"/>
      <c r="D26" s="434"/>
      <c r="E26" s="615"/>
      <c r="F26" s="434"/>
      <c r="G26" s="633"/>
      <c r="H26" s="434"/>
      <c r="I26" s="615"/>
      <c r="J26" s="434"/>
      <c r="K26" s="614"/>
      <c r="L26" s="1139"/>
      <c r="M26" s="1130"/>
      <c r="N26" s="1130"/>
      <c r="O26" s="1130"/>
      <c r="P26" s="3290"/>
      <c r="Q26" s="1808"/>
      <c r="R26" s="773"/>
      <c r="S26" s="774"/>
      <c r="T26" s="773"/>
      <c r="U26" s="774"/>
      <c r="V26" s="773"/>
      <c r="W26" s="774"/>
      <c r="X26" s="1811"/>
      <c r="Y26" s="3244"/>
      <c r="Z26" s="1812"/>
      <c r="AA26" s="1809">
        <v>1</v>
      </c>
      <c r="AB26" s="1809">
        <v>1</v>
      </c>
      <c r="AC26" s="2674">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90"/>
      <c r="Q27" s="1808" t="str">
        <f t="shared" ref="Q27:Q47" si="11">B27</f>
        <v>楼层</v>
      </c>
      <c r="R27" s="773" t="s">
        <v>17</v>
      </c>
      <c r="S27" s="774">
        <f>F27</f>
        <v>100</v>
      </c>
      <c r="T27" s="773" t="s">
        <v>17</v>
      </c>
      <c r="U27" s="774">
        <f>H27</f>
        <v>100</v>
      </c>
      <c r="V27" s="773" t="s">
        <v>17</v>
      </c>
      <c r="W27" s="774">
        <f>J27</f>
        <v>100</v>
      </c>
      <c r="X27" s="1811"/>
      <c r="Y27" s="3244"/>
      <c r="Z27" s="1812" t="str">
        <f>Q27</f>
        <v>楼层</v>
      </c>
      <c r="AA27" s="1809">
        <f t="shared" si="3"/>
        <v>1</v>
      </c>
      <c r="AB27" s="1809">
        <f t="shared" si="4"/>
        <v>1</v>
      </c>
      <c r="AC27" s="2674">
        <f t="shared" si="5"/>
        <v>1</v>
      </c>
    </row>
    <row r="28" spans="1:29" s="117" customFormat="1" ht="15">
      <c r="A28" s="430"/>
      <c r="B28" s="630" t="s">
        <v>2691</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290"/>
      <c r="Q28" s="1793" t="str">
        <f t="shared" si="11"/>
        <v>朝向</v>
      </c>
      <c r="R28" s="769" t="s">
        <v>17</v>
      </c>
      <c r="S28" s="770">
        <f>F28</f>
        <v>100</v>
      </c>
      <c r="T28" s="769" t="s">
        <v>17</v>
      </c>
      <c r="U28" s="770">
        <f>H28</f>
        <v>100</v>
      </c>
      <c r="V28" s="769" t="s">
        <v>17</v>
      </c>
      <c r="W28" s="770">
        <f>J28</f>
        <v>100</v>
      </c>
      <c r="X28" s="771"/>
      <c r="Y28" s="3244"/>
      <c r="Z28" s="55" t="str">
        <f>Q28</f>
        <v>朝向</v>
      </c>
      <c r="AA28" s="1809">
        <f>D28/F28</f>
        <v>1</v>
      </c>
      <c r="AB28" s="1809">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290"/>
      <c r="Q29" s="1808">
        <f t="shared" si="11"/>
        <v>111</v>
      </c>
      <c r="R29" s="773" t="s">
        <v>17</v>
      </c>
      <c r="S29" s="774">
        <f t="shared" ref="S29:S47" si="12">F29</f>
        <v>100</v>
      </c>
      <c r="T29" s="773" t="s">
        <v>17</v>
      </c>
      <c r="U29" s="774">
        <f t="shared" ref="U29:U47" si="13">H29</f>
        <v>100</v>
      </c>
      <c r="V29" s="773" t="s">
        <v>17</v>
      </c>
      <c r="W29" s="774">
        <f t="shared" ref="W29:W47" si="14">J29</f>
        <v>100</v>
      </c>
      <c r="X29" s="1811"/>
      <c r="Y29" s="3244"/>
      <c r="Z29" s="1812">
        <f t="shared" ref="Z29:Z47" si="15">Q29</f>
        <v>111</v>
      </c>
      <c r="AA29" s="1809">
        <f t="shared" si="3"/>
        <v>1</v>
      </c>
      <c r="AB29" s="1809">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290"/>
      <c r="Q30" s="1808">
        <f t="shared" si="11"/>
        <v>111</v>
      </c>
      <c r="R30" s="773" t="s">
        <v>17</v>
      </c>
      <c r="S30" s="774">
        <f t="shared" si="12"/>
        <v>100</v>
      </c>
      <c r="T30" s="773" t="s">
        <v>17</v>
      </c>
      <c r="U30" s="774">
        <f t="shared" si="13"/>
        <v>100</v>
      </c>
      <c r="V30" s="773" t="s">
        <v>17</v>
      </c>
      <c r="W30" s="774">
        <f t="shared" si="14"/>
        <v>100</v>
      </c>
      <c r="X30" s="1811"/>
      <c r="Y30" s="3244"/>
      <c r="Z30" s="1812">
        <f t="shared" si="15"/>
        <v>111</v>
      </c>
      <c r="AA30" s="1809">
        <f t="shared" si="3"/>
        <v>1</v>
      </c>
      <c r="AB30" s="1809">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290"/>
      <c r="Q31" s="1808">
        <f t="shared" si="11"/>
        <v>111</v>
      </c>
      <c r="R31" s="773" t="s">
        <v>17</v>
      </c>
      <c r="S31" s="774">
        <f t="shared" si="12"/>
        <v>100</v>
      </c>
      <c r="T31" s="773" t="s">
        <v>17</v>
      </c>
      <c r="U31" s="774">
        <f t="shared" si="13"/>
        <v>100</v>
      </c>
      <c r="V31" s="773" t="s">
        <v>17</v>
      </c>
      <c r="W31" s="774">
        <f t="shared" si="14"/>
        <v>100</v>
      </c>
      <c r="X31" s="1811"/>
      <c r="Y31" s="3244"/>
      <c r="Z31" s="1812">
        <f t="shared" si="15"/>
        <v>111</v>
      </c>
      <c r="AA31" s="1809">
        <f t="shared" si="3"/>
        <v>1</v>
      </c>
      <c r="AB31" s="1809">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290"/>
      <c r="Q32" s="1808">
        <f t="shared" si="11"/>
        <v>111</v>
      </c>
      <c r="R32" s="773" t="s">
        <v>17</v>
      </c>
      <c r="S32" s="774">
        <f t="shared" si="12"/>
        <v>100</v>
      </c>
      <c r="T32" s="773" t="s">
        <v>17</v>
      </c>
      <c r="U32" s="774">
        <f t="shared" si="13"/>
        <v>100</v>
      </c>
      <c r="V32" s="773" t="s">
        <v>17</v>
      </c>
      <c r="W32" s="774">
        <f t="shared" si="14"/>
        <v>100</v>
      </c>
      <c r="X32" s="1811"/>
      <c r="Y32" s="3244"/>
      <c r="Z32" s="1812">
        <f t="shared" si="15"/>
        <v>111</v>
      </c>
      <c r="AA32" s="1809">
        <f t="shared" si="3"/>
        <v>1</v>
      </c>
      <c r="AB32" s="1809">
        <f t="shared" si="4"/>
        <v>1</v>
      </c>
      <c r="AC32" s="2674">
        <f t="shared" si="5"/>
        <v>1</v>
      </c>
    </row>
    <row r="33" spans="1:29" ht="15">
      <c r="A33" s="439" t="s">
        <v>2562</v>
      </c>
      <c r="B33" s="71" t="s">
        <v>2692</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285" t="s">
        <v>2564</v>
      </c>
      <c r="Q33" s="1808" t="str">
        <f t="shared" si="11"/>
        <v>建筑类型</v>
      </c>
      <c r="R33" s="773" t="s">
        <v>17</v>
      </c>
      <c r="S33" s="774">
        <f t="shared" si="12"/>
        <v>100</v>
      </c>
      <c r="T33" s="773" t="s">
        <v>17</v>
      </c>
      <c r="U33" s="774">
        <f t="shared" si="13"/>
        <v>100</v>
      </c>
      <c r="V33" s="773" t="s">
        <v>17</v>
      </c>
      <c r="W33" s="774">
        <f t="shared" si="14"/>
        <v>100</v>
      </c>
      <c r="X33" s="1811"/>
      <c r="Y33" s="3246" t="s">
        <v>2564</v>
      </c>
      <c r="Z33" s="1812" t="str">
        <f t="shared" si="15"/>
        <v>建筑类型</v>
      </c>
      <c r="AA33" s="1809">
        <f t="shared" si="3"/>
        <v>1</v>
      </c>
      <c r="AB33" s="1809">
        <f t="shared" si="4"/>
        <v>1</v>
      </c>
      <c r="AC33" s="2674">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86"/>
      <c r="Q34" s="775" t="str">
        <f t="shared" si="11"/>
        <v>项目建筑规模</v>
      </c>
      <c r="R34" s="776" t="s">
        <v>17</v>
      </c>
      <c r="S34" s="777" t="e">
        <f t="shared" si="12"/>
        <v>#N/A</v>
      </c>
      <c r="T34" s="776" t="s">
        <v>17</v>
      </c>
      <c r="U34" s="777" t="e">
        <f t="shared" si="13"/>
        <v>#N/A</v>
      </c>
      <c r="V34" s="776" t="s">
        <v>17</v>
      </c>
      <c r="W34" s="777" t="e">
        <f t="shared" si="14"/>
        <v>#N/A</v>
      </c>
      <c r="X34" s="778"/>
      <c r="Y34" s="3246"/>
      <c r="Z34" s="779" t="str">
        <f t="shared" si="15"/>
        <v>项目建筑规模</v>
      </c>
      <c r="AA34" s="1809" t="e">
        <f t="shared" si="3"/>
        <v>#N/A</v>
      </c>
      <c r="AB34" s="1809" t="e">
        <f t="shared" si="4"/>
        <v>#N/A</v>
      </c>
      <c r="AC34" s="2674"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86"/>
      <c r="Q35" s="1808" t="str">
        <f t="shared" si="11"/>
        <v>建筑结构</v>
      </c>
      <c r="R35" s="773" t="s">
        <v>17</v>
      </c>
      <c r="S35" s="774">
        <f t="shared" si="12"/>
        <v>100</v>
      </c>
      <c r="T35" s="773" t="s">
        <v>17</v>
      </c>
      <c r="U35" s="774">
        <f t="shared" si="13"/>
        <v>100</v>
      </c>
      <c r="V35" s="773" t="s">
        <v>17</v>
      </c>
      <c r="W35" s="774">
        <f t="shared" si="14"/>
        <v>100</v>
      </c>
      <c r="X35" s="1811"/>
      <c r="Y35" s="3246"/>
      <c r="Z35" s="1812" t="str">
        <f t="shared" si="15"/>
        <v>建筑结构</v>
      </c>
      <c r="AA35" s="1809">
        <f t="shared" si="3"/>
        <v>1</v>
      </c>
      <c r="AB35" s="1809">
        <f t="shared" si="4"/>
        <v>1</v>
      </c>
      <c r="AC35" s="2674">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86"/>
      <c r="Q36" s="1808" t="str">
        <f t="shared" si="11"/>
        <v>公共部分装修</v>
      </c>
      <c r="R36" s="773" t="s">
        <v>17</v>
      </c>
      <c r="S36" s="774">
        <f t="shared" si="12"/>
        <v>100</v>
      </c>
      <c r="T36" s="773" t="s">
        <v>17</v>
      </c>
      <c r="U36" s="774">
        <f t="shared" si="13"/>
        <v>100</v>
      </c>
      <c r="V36" s="773" t="s">
        <v>17</v>
      </c>
      <c r="W36" s="774">
        <f t="shared" si="14"/>
        <v>100</v>
      </c>
      <c r="X36" s="1811"/>
      <c r="Y36" s="3246"/>
      <c r="Z36" s="1812" t="str">
        <f t="shared" si="15"/>
        <v>公共部分装修</v>
      </c>
      <c r="AA36" s="1809">
        <f t="shared" si="3"/>
        <v>1</v>
      </c>
      <c r="AB36" s="1809">
        <f t="shared" si="4"/>
        <v>1</v>
      </c>
      <c r="AC36" s="2674">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86"/>
      <c r="Q37" s="1808" t="str">
        <f t="shared" si="11"/>
        <v>成新度</v>
      </c>
      <c r="R37" s="773" t="s">
        <v>17</v>
      </c>
      <c r="S37" s="774" t="e">
        <f t="shared" si="12"/>
        <v>#N/A</v>
      </c>
      <c r="T37" s="773" t="s">
        <v>17</v>
      </c>
      <c r="U37" s="774" t="e">
        <f t="shared" si="13"/>
        <v>#N/A</v>
      </c>
      <c r="V37" s="773" t="s">
        <v>17</v>
      </c>
      <c r="W37" s="774" t="e">
        <f t="shared" si="14"/>
        <v>#N/A</v>
      </c>
      <c r="X37" s="1811"/>
      <c r="Y37" s="3246"/>
      <c r="Z37" s="1812" t="str">
        <f t="shared" si="15"/>
        <v>成新度</v>
      </c>
      <c r="AA37" s="1809" t="e">
        <f t="shared" si="3"/>
        <v>#N/A</v>
      </c>
      <c r="AB37" s="1809" t="e">
        <f t="shared" si="4"/>
        <v>#N/A</v>
      </c>
      <c r="AC37" s="2674"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86"/>
      <c r="Q38" s="1793" t="str">
        <f t="shared" si="11"/>
        <v>写字楼等级</v>
      </c>
      <c r="R38" s="769" t="s">
        <v>17</v>
      </c>
      <c r="S38" s="770">
        <f t="shared" si="12"/>
        <v>100</v>
      </c>
      <c r="T38" s="769" t="s">
        <v>17</v>
      </c>
      <c r="U38" s="770">
        <f t="shared" si="13"/>
        <v>100</v>
      </c>
      <c r="V38" s="769" t="s">
        <v>17</v>
      </c>
      <c r="W38" s="770">
        <f t="shared" si="14"/>
        <v>100</v>
      </c>
      <c r="X38" s="771"/>
      <c r="Y38" s="3246"/>
      <c r="Z38" s="55" t="str">
        <f t="shared" si="15"/>
        <v>写字楼等级</v>
      </c>
      <c r="AA38" s="772">
        <f t="shared" si="3"/>
        <v>1</v>
      </c>
      <c r="AB38" s="772">
        <f t="shared" si="4"/>
        <v>1</v>
      </c>
      <c r="AC38" s="2671">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86" t="s">
        <v>2564</v>
      </c>
      <c r="Q39" s="1808" t="str">
        <f t="shared" si="11"/>
        <v>物业管理</v>
      </c>
      <c r="R39" s="773" t="s">
        <v>17</v>
      </c>
      <c r="S39" s="774">
        <f t="shared" si="12"/>
        <v>100</v>
      </c>
      <c r="T39" s="773" t="s">
        <v>17</v>
      </c>
      <c r="U39" s="774">
        <f t="shared" si="13"/>
        <v>100</v>
      </c>
      <c r="V39" s="773" t="s">
        <v>17</v>
      </c>
      <c r="W39" s="774">
        <f t="shared" si="14"/>
        <v>100</v>
      </c>
      <c r="X39" s="1811"/>
      <c r="Y39" s="3246" t="s">
        <v>2564</v>
      </c>
      <c r="Z39" s="1812" t="str">
        <f t="shared" si="15"/>
        <v>物业管理</v>
      </c>
      <c r="AA39" s="1809">
        <f t="shared" si="3"/>
        <v>1</v>
      </c>
      <c r="AB39" s="1809">
        <f t="shared" si="4"/>
        <v>1</v>
      </c>
      <c r="AC39" s="2674">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86"/>
      <c r="Q40" s="1808" t="str">
        <f t="shared" si="11"/>
        <v>市政基础设施</v>
      </c>
      <c r="R40" s="773" t="s">
        <v>17</v>
      </c>
      <c r="S40" s="774">
        <f t="shared" si="12"/>
        <v>100</v>
      </c>
      <c r="T40" s="773" t="s">
        <v>17</v>
      </c>
      <c r="U40" s="774">
        <f t="shared" si="13"/>
        <v>100</v>
      </c>
      <c r="V40" s="773" t="s">
        <v>17</v>
      </c>
      <c r="W40" s="774">
        <f t="shared" si="14"/>
        <v>100</v>
      </c>
      <c r="X40" s="1811"/>
      <c r="Y40" s="3246"/>
      <c r="Z40" s="1812" t="str">
        <f t="shared" si="15"/>
        <v>市政基础设施</v>
      </c>
      <c r="AA40" s="1809">
        <f t="shared" si="3"/>
        <v>1</v>
      </c>
      <c r="AB40" s="1809">
        <f t="shared" si="4"/>
        <v>1</v>
      </c>
      <c r="AC40" s="2674">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86"/>
      <c r="Q41" s="1808" t="str">
        <f t="shared" si="11"/>
        <v>层高</v>
      </c>
      <c r="R41" s="773" t="s">
        <v>17</v>
      </c>
      <c r="S41" s="774">
        <f t="shared" si="12"/>
        <v>100</v>
      </c>
      <c r="T41" s="773" t="s">
        <v>17</v>
      </c>
      <c r="U41" s="774">
        <f t="shared" si="13"/>
        <v>100</v>
      </c>
      <c r="V41" s="773" t="s">
        <v>17</v>
      </c>
      <c r="W41" s="774">
        <f t="shared" si="14"/>
        <v>100</v>
      </c>
      <c r="X41" s="1811"/>
      <c r="Y41" s="3246"/>
      <c r="Z41" s="1812" t="str">
        <f t="shared" si="15"/>
        <v>层高</v>
      </c>
      <c r="AA41" s="1809">
        <f t="shared" si="3"/>
        <v>1</v>
      </c>
      <c r="AB41" s="1809">
        <f t="shared" si="4"/>
        <v>1</v>
      </c>
      <c r="AC41" s="2674">
        <f t="shared" si="5"/>
        <v>1</v>
      </c>
    </row>
    <row r="42" spans="1:29" s="470" customFormat="1" ht="15">
      <c r="A42" s="467"/>
      <c r="B42" s="1810"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86"/>
      <c r="Q42" s="775" t="str">
        <f t="shared" si="11"/>
        <v>单套建筑面积</v>
      </c>
      <c r="R42" s="776" t="s">
        <v>17</v>
      </c>
      <c r="S42" s="777">
        <f t="shared" si="12"/>
        <v>100</v>
      </c>
      <c r="T42" s="776" t="s">
        <v>17</v>
      </c>
      <c r="U42" s="777">
        <f t="shared" si="13"/>
        <v>100</v>
      </c>
      <c r="V42" s="776" t="s">
        <v>17</v>
      </c>
      <c r="W42" s="777">
        <f t="shared" si="14"/>
        <v>100</v>
      </c>
      <c r="X42" s="778"/>
      <c r="Y42" s="3246"/>
      <c r="Z42" s="779" t="str">
        <f t="shared" si="15"/>
        <v>单套建筑面积</v>
      </c>
      <c r="AA42" s="1809">
        <f t="shared" si="3"/>
        <v>1</v>
      </c>
      <c r="AB42" s="1809">
        <f t="shared" si="4"/>
        <v>1</v>
      </c>
      <c r="AC42" s="2674">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86"/>
      <c r="Q43" s="1808" t="str">
        <f t="shared" si="11"/>
        <v>内部装修</v>
      </c>
      <c r="R43" s="773" t="s">
        <v>17</v>
      </c>
      <c r="S43" s="774">
        <f t="shared" si="12"/>
        <v>100</v>
      </c>
      <c r="T43" s="773" t="s">
        <v>17</v>
      </c>
      <c r="U43" s="774">
        <f t="shared" si="13"/>
        <v>100</v>
      </c>
      <c r="V43" s="773" t="s">
        <v>17</v>
      </c>
      <c r="W43" s="774">
        <f t="shared" si="14"/>
        <v>100</v>
      </c>
      <c r="X43" s="1811"/>
      <c r="Y43" s="3246"/>
      <c r="Z43" s="1812" t="str">
        <f t="shared" si="15"/>
        <v>内部装修</v>
      </c>
      <c r="AA43" s="1809">
        <f t="shared" si="3"/>
        <v>1</v>
      </c>
      <c r="AB43" s="1809">
        <f t="shared" si="4"/>
        <v>1</v>
      </c>
      <c r="AC43" s="2674">
        <f t="shared" si="5"/>
        <v>1</v>
      </c>
    </row>
    <row r="44" spans="1:29" ht="15">
      <c r="A44" s="471"/>
      <c r="B44" s="421" t="s">
        <v>2575</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286"/>
      <c r="Q44" s="1808" t="str">
        <f t="shared" si="11"/>
        <v>内部装修维护情况</v>
      </c>
      <c r="R44" s="773" t="s">
        <v>17</v>
      </c>
      <c r="S44" s="774">
        <f t="shared" si="12"/>
        <v>100</v>
      </c>
      <c r="T44" s="773" t="s">
        <v>17</v>
      </c>
      <c r="U44" s="774">
        <f t="shared" si="13"/>
        <v>100</v>
      </c>
      <c r="V44" s="773" t="s">
        <v>17</v>
      </c>
      <c r="W44" s="774">
        <f t="shared" si="14"/>
        <v>100</v>
      </c>
      <c r="X44" s="1811"/>
      <c r="Y44" s="3246"/>
      <c r="Z44" s="1812" t="str">
        <f t="shared" si="15"/>
        <v>内部装修维护情况</v>
      </c>
      <c r="AA44" s="1809">
        <f t="shared" si="3"/>
        <v>1</v>
      </c>
      <c r="AB44" s="1809">
        <f t="shared" si="4"/>
        <v>1</v>
      </c>
      <c r="AC44" s="2674">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86"/>
      <c r="Q45" s="1793">
        <f t="shared" si="11"/>
        <v>111</v>
      </c>
      <c r="R45" s="769" t="s">
        <v>17</v>
      </c>
      <c r="S45" s="770">
        <f t="shared" si="12"/>
        <v>100</v>
      </c>
      <c r="T45" s="769" t="s">
        <v>17</v>
      </c>
      <c r="U45" s="770">
        <f t="shared" si="13"/>
        <v>100</v>
      </c>
      <c r="V45" s="769" t="s">
        <v>17</v>
      </c>
      <c r="W45" s="770">
        <f t="shared" si="14"/>
        <v>100</v>
      </c>
      <c r="X45" s="771"/>
      <c r="Y45" s="3246"/>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86"/>
      <c r="Q46" s="1808">
        <f t="shared" si="11"/>
        <v>111</v>
      </c>
      <c r="R46" s="773" t="s">
        <v>17</v>
      </c>
      <c r="S46" s="774">
        <f t="shared" si="12"/>
        <v>100</v>
      </c>
      <c r="T46" s="773" t="s">
        <v>17</v>
      </c>
      <c r="U46" s="774">
        <f t="shared" si="13"/>
        <v>100</v>
      </c>
      <c r="V46" s="773" t="s">
        <v>17</v>
      </c>
      <c r="W46" s="774">
        <f t="shared" si="14"/>
        <v>100</v>
      </c>
      <c r="X46" s="1811"/>
      <c r="Y46" s="3246"/>
      <c r="Z46" s="1812">
        <f t="shared" si="15"/>
        <v>111</v>
      </c>
      <c r="AA46" s="1809">
        <f t="shared" si="3"/>
        <v>1</v>
      </c>
      <c r="AB46" s="1809">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7"/>
      <c r="Q47" s="1808">
        <f t="shared" si="11"/>
        <v>111</v>
      </c>
      <c r="R47" s="773" t="s">
        <v>17</v>
      </c>
      <c r="S47" s="774">
        <f t="shared" si="12"/>
        <v>100</v>
      </c>
      <c r="T47" s="773" t="s">
        <v>17</v>
      </c>
      <c r="U47" s="774">
        <f t="shared" si="13"/>
        <v>100</v>
      </c>
      <c r="V47" s="773" t="s">
        <v>17</v>
      </c>
      <c r="W47" s="774">
        <f t="shared" si="14"/>
        <v>100</v>
      </c>
      <c r="X47" s="1811"/>
      <c r="Y47" s="3288"/>
      <c r="Z47" s="1812">
        <f t="shared" si="15"/>
        <v>111</v>
      </c>
      <c r="AA47" s="1809">
        <f t="shared" si="3"/>
        <v>1</v>
      </c>
      <c r="AB47" s="1809">
        <f t="shared" si="4"/>
        <v>1</v>
      </c>
      <c r="AC47" s="2674">
        <f t="shared" si="5"/>
        <v>1</v>
      </c>
    </row>
    <row r="48" spans="1:29" ht="15">
      <c r="A48" s="478" t="s">
        <v>2576</v>
      </c>
      <c r="B48" s="479"/>
      <c r="C48" s="1405" t="s">
        <v>1</v>
      </c>
      <c r="D48" s="1406"/>
      <c r="E48" s="1407"/>
      <c r="F48" s="1408"/>
      <c r="G48" s="1409"/>
      <c r="H48" s="1410"/>
      <c r="I48" s="1407"/>
      <c r="J48" s="484"/>
      <c r="K48" s="782"/>
      <c r="L48" s="1142"/>
      <c r="M48" s="1130"/>
      <c r="N48" s="1130"/>
      <c r="O48" s="1130"/>
      <c r="P48" s="3252" t="str">
        <f>A48</f>
        <v>成交单价（元/平方米）</v>
      </c>
      <c r="Q48" s="3228"/>
      <c r="R48" s="3284">
        <f>E48</f>
        <v>0</v>
      </c>
      <c r="S48" s="3284"/>
      <c r="T48" s="3284">
        <f>G48</f>
        <v>0</v>
      </c>
      <c r="U48" s="3284"/>
      <c r="V48" s="3284">
        <f>I48</f>
        <v>0</v>
      </c>
      <c r="W48" s="3284"/>
      <c r="X48" s="445"/>
      <c r="Y48" s="780"/>
      <c r="Z48" s="445"/>
      <c r="AA48" s="445"/>
      <c r="AB48" s="445"/>
      <c r="AC48" s="629"/>
    </row>
    <row r="49" spans="1:29" ht="15.75" thickBot="1">
      <c r="A49" s="485" t="s">
        <v>2668</v>
      </c>
      <c r="B49" s="486"/>
      <c r="C49" s="1411" t="e">
        <f>R50</f>
        <v>#DIV/0!</v>
      </c>
      <c r="D49" s="1412"/>
      <c r="E49" s="1413" t="e">
        <f>R49</f>
        <v>#DIV/0!</v>
      </c>
      <c r="F49" s="1413"/>
      <c r="G49" s="1411" t="e">
        <f>T49</f>
        <v>#DIV/0!</v>
      </c>
      <c r="H49" s="1412"/>
      <c r="I49" s="1413" t="e">
        <f>V49</f>
        <v>#DIV/0!</v>
      </c>
      <c r="J49" s="488"/>
      <c r="K49" s="783"/>
      <c r="L49" s="1142"/>
      <c r="M49" s="1130"/>
      <c r="N49" s="1130"/>
      <c r="O49" s="1130"/>
      <c r="P49" s="3252" t="str">
        <f>A49</f>
        <v>比较价值（元/平方米）</v>
      </c>
      <c r="Q49" s="3228"/>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45"/>
      <c r="Y49" s="445"/>
      <c r="Z49" s="445"/>
      <c r="AA49" s="445"/>
      <c r="AB49" s="445"/>
      <c r="AC49" s="629"/>
    </row>
    <row r="50" spans="1:29" ht="15.75" thickBot="1">
      <c r="A50" s="491" t="s">
        <v>2669</v>
      </c>
      <c r="B50" s="492"/>
      <c r="C50" s="1415" t="e">
        <f>R50</f>
        <v>#DIV/0!</v>
      </c>
      <c r="D50" s="1415"/>
      <c r="E50" s="1415"/>
      <c r="F50" s="1415"/>
      <c r="G50" s="1415"/>
      <c r="H50" s="1415"/>
      <c r="I50" s="1415"/>
      <c r="J50" s="493"/>
      <c r="K50" s="784"/>
      <c r="L50" s="1142"/>
      <c r="M50" s="1130"/>
      <c r="N50" s="1130"/>
      <c r="O50" s="1130"/>
      <c r="P50" s="3303" t="str">
        <f>A50</f>
        <v>估价对象XX用房的比较价值（楼面单价，元/平方米）</v>
      </c>
      <c r="Q50" s="3304"/>
      <c r="R50" s="3305" t="e">
        <f>IF(F1="售价",ROUND(AVERAGE(R49:V49),0),ROUND(AVERAGE(R49:V49),1))</f>
        <v>#DIV/0!</v>
      </c>
      <c r="S50" s="3305"/>
      <c r="T50" s="3305"/>
      <c r="U50" s="3305"/>
      <c r="V50" s="3305"/>
      <c r="W50" s="3305"/>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81"/>
      <c r="Q58" s="503"/>
    </row>
    <row r="59" spans="1:29" s="507" customFormat="1" ht="15">
      <c r="A59" s="504" t="s">
        <v>2547</v>
      </c>
      <c r="B59" s="505"/>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8"/>
      <c r="B60" s="509"/>
      <c r="C60" s="1571">
        <v>100</v>
      </c>
      <c r="D60" s="511"/>
      <c r="E60" s="511"/>
      <c r="F60" s="511"/>
      <c r="G60" s="511"/>
      <c r="H60" s="511"/>
      <c r="I60" s="511"/>
      <c r="J60" s="511"/>
      <c r="K60" s="511"/>
      <c r="L60" s="511"/>
      <c r="M60" s="512"/>
      <c r="N60" s="511"/>
      <c r="O60" s="512"/>
      <c r="P60" s="2682"/>
    </row>
    <row r="61" spans="1:29" s="117" customFormat="1" ht="15.75" thickBot="1">
      <c r="A61" s="514" t="s">
        <v>2584</v>
      </c>
      <c r="B61" s="515"/>
      <c r="C61" s="516"/>
      <c r="D61" s="517"/>
      <c r="E61" s="517"/>
      <c r="F61" s="517"/>
      <c r="G61" s="517"/>
      <c r="H61" s="517"/>
      <c r="I61" s="517"/>
      <c r="J61" s="517"/>
      <c r="K61" s="517"/>
      <c r="L61" s="517"/>
      <c r="M61" s="518"/>
      <c r="N61" s="517"/>
      <c r="O61" s="518"/>
      <c r="P61" s="2682"/>
      <c r="Q61" s="503"/>
    </row>
    <row r="62" spans="1:29" s="117" customFormat="1" ht="15">
      <c r="A62" s="520" t="s">
        <v>2549</v>
      </c>
      <c r="B62" s="509"/>
      <c r="C62" s="521" t="s">
        <v>2651</v>
      </c>
      <c r="D62" s="522"/>
      <c r="E62" s="522"/>
      <c r="F62" s="522"/>
      <c r="G62" s="522"/>
      <c r="H62" s="522"/>
      <c r="I62" s="522"/>
      <c r="J62" s="522"/>
      <c r="K62" s="522"/>
      <c r="L62" s="523"/>
      <c r="M62" s="524"/>
      <c r="N62" s="1150"/>
      <c r="O62" s="1150"/>
      <c r="P62" s="2683"/>
      <c r="Q62" s="503"/>
    </row>
    <row r="63" spans="1:29" s="117"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2587</v>
      </c>
      <c r="B64" s="527" t="s">
        <v>2553</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7" customFormat="1" ht="27.75" thickTop="1">
      <c r="A87" s="578"/>
      <c r="B87" s="537" t="s">
        <v>2698</v>
      </c>
      <c r="C87" s="553"/>
      <c r="D87" s="553"/>
      <c r="E87" s="553"/>
      <c r="F87" s="553"/>
      <c r="G87" s="553"/>
      <c r="H87" s="553"/>
      <c r="I87" s="553"/>
      <c r="J87" s="553"/>
      <c r="K87" s="553"/>
      <c r="L87" s="579"/>
      <c r="M87" s="580"/>
      <c r="N87" s="1150"/>
      <c r="O87" s="1150"/>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7"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2562</v>
      </c>
      <c r="B101" s="527" t="s">
        <v>2611</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2613</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2615</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2616</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2617</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2700</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2619</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9" t="s">
        <v>2701</v>
      </c>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2329</v>
      </c>
      <c r="B2" s="1416" t="e">
        <f ca="1">IF(C2="——",ROUND(C43*D3/10000,0),ROUND(C43*D3/10000,0)-D2)</f>
        <v>#DIV/0!</v>
      </c>
      <c r="C2" s="2586"/>
      <c r="D2" s="1123"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18470.39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9" t="s">
        <v>2645</v>
      </c>
      <c r="D4" s="3230"/>
      <c r="E4" s="3231" t="s">
        <v>2646</v>
      </c>
      <c r="F4" s="3232"/>
      <c r="G4" s="3229" t="s">
        <v>2647</v>
      </c>
      <c r="H4" s="3230"/>
      <c r="I4" s="3229" t="s">
        <v>2648</v>
      </c>
      <c r="J4" s="3230"/>
      <c r="K4" s="609" t="s">
        <v>2649</v>
      </c>
      <c r="L4" s="1129"/>
      <c r="M4" s="1130"/>
      <c r="N4" s="1130"/>
      <c r="O4" s="1130"/>
      <c r="P4" s="3233" t="s">
        <v>2650</v>
      </c>
      <c r="Q4" s="3234"/>
      <c r="R4" s="3216" t="s">
        <v>2646</v>
      </c>
      <c r="S4" s="3217"/>
      <c r="T4" s="3216" t="s">
        <v>2647</v>
      </c>
      <c r="U4" s="3217"/>
      <c r="V4" s="3241" t="s">
        <v>2648</v>
      </c>
      <c r="W4" s="3241"/>
      <c r="X4" s="1811"/>
      <c r="Y4" s="3216" t="s">
        <v>2650</v>
      </c>
      <c r="Z4" s="3217"/>
      <c r="AA4" s="3211" t="s">
        <v>2646</v>
      </c>
      <c r="AB4" s="3212" t="s">
        <v>2647</v>
      </c>
      <c r="AC4" s="3211" t="s">
        <v>2648</v>
      </c>
    </row>
    <row r="5" spans="1:29" ht="15">
      <c r="A5" s="403"/>
      <c r="B5" s="404"/>
      <c r="C5" s="3222" t="s">
        <v>2541</v>
      </c>
      <c r="D5" s="3223"/>
      <c r="E5" s="3220" t="s">
        <v>2542</v>
      </c>
      <c r="F5" s="3221"/>
      <c r="G5" s="3222" t="s">
        <v>2543</v>
      </c>
      <c r="H5" s="3223"/>
      <c r="I5" s="3222" t="s">
        <v>2544</v>
      </c>
      <c r="J5" s="3223"/>
      <c r="K5" s="609"/>
      <c r="L5" s="1129"/>
      <c r="M5" s="1130"/>
      <c r="N5" s="1130"/>
      <c r="O5" s="1130"/>
      <c r="P5" s="3235"/>
      <c r="Q5" s="3236"/>
      <c r="R5" s="3218"/>
      <c r="S5" s="3219"/>
      <c r="T5" s="3218"/>
      <c r="U5" s="3219"/>
      <c r="V5" s="3241"/>
      <c r="W5" s="3241"/>
      <c r="X5" s="1811"/>
      <c r="Y5" s="3218"/>
      <c r="Z5" s="3219"/>
      <c r="AA5" s="3212"/>
      <c r="AB5" s="3212"/>
      <c r="AC5" s="3212"/>
    </row>
    <row r="6" spans="1:29" ht="15.75" thickBot="1">
      <c r="A6" s="405"/>
      <c r="B6" s="406"/>
      <c r="C6" s="3224" t="s">
        <v>2545</v>
      </c>
      <c r="D6" s="3225"/>
      <c r="E6" s="3226" t="s">
        <v>2545</v>
      </c>
      <c r="F6" s="3227"/>
      <c r="G6" s="3224" t="s">
        <v>2545</v>
      </c>
      <c r="H6" s="3225"/>
      <c r="I6" s="3224" t="s">
        <v>2545</v>
      </c>
      <c r="J6" s="3225"/>
      <c r="K6" s="609" t="s">
        <v>2546</v>
      </c>
      <c r="L6" s="1129"/>
      <c r="M6" s="1130"/>
      <c r="N6" s="1130"/>
      <c r="O6" s="1130"/>
      <c r="P6" s="3237"/>
      <c r="Q6" s="3238"/>
      <c r="R6" s="3218"/>
      <c r="S6" s="3219"/>
      <c r="T6" s="3239"/>
      <c r="U6" s="3240"/>
      <c r="V6" s="3241"/>
      <c r="W6" s="3241"/>
      <c r="X6" s="1811"/>
      <c r="Y6" s="3239"/>
      <c r="Z6" s="3240"/>
      <c r="AA6" s="3213"/>
      <c r="AB6" s="3213"/>
      <c r="AC6" s="3213"/>
    </row>
    <row r="7" spans="1:29" s="117" customFormat="1" ht="15.75" thickBot="1">
      <c r="A7" s="407" t="s">
        <v>2547</v>
      </c>
      <c r="B7" s="408"/>
      <c r="C7" s="409">
        <f>'数据-取费表'!B2</f>
        <v>43714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4" t="s">
        <v>2548</v>
      </c>
      <c r="Q7" s="3242"/>
      <c r="R7" s="769" t="s">
        <v>17</v>
      </c>
      <c r="S7" s="770">
        <f t="shared" ref="S7:S15" si="0">F7</f>
        <v>0</v>
      </c>
      <c r="T7" s="769" t="s">
        <v>17</v>
      </c>
      <c r="U7" s="770">
        <f t="shared" ref="U7:U15" si="1">H7</f>
        <v>0</v>
      </c>
      <c r="V7" s="769" t="s">
        <v>17</v>
      </c>
      <c r="W7" s="770">
        <f t="shared" ref="W7:W15" si="2">J7</f>
        <v>0</v>
      </c>
      <c r="X7" s="771"/>
      <c r="Y7" s="3214" t="s">
        <v>2548</v>
      </c>
      <c r="Z7" s="3215"/>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4" t="s">
        <v>2551</v>
      </c>
      <c r="Q8" s="3215"/>
      <c r="R8" s="769" t="s">
        <v>17</v>
      </c>
      <c r="S8" s="770">
        <f t="shared" si="0"/>
        <v>0</v>
      </c>
      <c r="T8" s="769" t="s">
        <v>17</v>
      </c>
      <c r="U8" s="770">
        <f t="shared" si="1"/>
        <v>0</v>
      </c>
      <c r="V8" s="769" t="s">
        <v>17</v>
      </c>
      <c r="W8" s="770">
        <f t="shared" si="2"/>
        <v>0</v>
      </c>
      <c r="X8" s="771"/>
      <c r="Y8" s="3214" t="s">
        <v>2551</v>
      </c>
      <c r="Z8" s="3215"/>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28" t="s">
        <v>2554</v>
      </c>
      <c r="Q9" s="1793" t="str">
        <f t="shared" ref="Q9:Q15" si="6">B9</f>
        <v>用途</v>
      </c>
      <c r="R9" s="769" t="s">
        <v>17</v>
      </c>
      <c r="S9" s="770">
        <f t="shared" si="0"/>
        <v>100</v>
      </c>
      <c r="T9" s="769" t="s">
        <v>17</v>
      </c>
      <c r="U9" s="770">
        <f t="shared" si="1"/>
        <v>100</v>
      </c>
      <c r="V9" s="769" t="s">
        <v>17</v>
      </c>
      <c r="W9" s="770">
        <f t="shared" si="2"/>
        <v>100</v>
      </c>
      <c r="X9" s="771"/>
      <c r="Y9" s="307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28"/>
      <c r="Q10" s="1793"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28"/>
      <c r="Q11" s="1793"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28"/>
      <c r="Q12" s="1793">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28"/>
      <c r="Q13" s="1793">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28"/>
      <c r="Q14" s="1793">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57">
      <c r="A15" s="439" t="s">
        <v>2558</v>
      </c>
      <c r="B15" s="69" t="s">
        <v>2702</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3" t="s">
        <v>2559</v>
      </c>
      <c r="Q15" s="1808" t="str">
        <f t="shared" si="6"/>
        <v>产业集聚程度</v>
      </c>
      <c r="R15" s="773" t="s">
        <v>17</v>
      </c>
      <c r="S15" s="774">
        <f t="shared" si="0"/>
        <v>100</v>
      </c>
      <c r="T15" s="773" t="s">
        <v>17</v>
      </c>
      <c r="U15" s="774">
        <f t="shared" si="1"/>
        <v>100</v>
      </c>
      <c r="V15" s="773" t="s">
        <v>17</v>
      </c>
      <c r="W15" s="774">
        <f t="shared" si="2"/>
        <v>100</v>
      </c>
      <c r="X15" s="1811"/>
      <c r="Y15" s="3243" t="s">
        <v>2559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44"/>
      <c r="Q16" s="1808"/>
      <c r="R16" s="773"/>
      <c r="S16" s="774"/>
      <c r="T16" s="773"/>
      <c r="U16" s="774"/>
      <c r="V16" s="773"/>
      <c r="W16" s="774"/>
      <c r="X16" s="1811"/>
      <c r="Y16" s="3244"/>
      <c r="Z16" s="1812"/>
      <c r="AA16" s="1809">
        <v>1</v>
      </c>
      <c r="AB16" s="1809">
        <v>1</v>
      </c>
      <c r="AC16" s="1809">
        <v>1</v>
      </c>
    </row>
    <row r="17" spans="1:29" ht="85.5">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4"/>
      <c r="Q17" s="1808" t="str">
        <f>B17</f>
        <v>交通便捷度</v>
      </c>
      <c r="R17" s="773" t="s">
        <v>17</v>
      </c>
      <c r="S17" s="774">
        <f>F17</f>
        <v>100</v>
      </c>
      <c r="T17" s="773" t="s">
        <v>17</v>
      </c>
      <c r="U17" s="774">
        <f>H17</f>
        <v>100</v>
      </c>
      <c r="V17" s="773" t="s">
        <v>17</v>
      </c>
      <c r="W17" s="774">
        <f>J17</f>
        <v>100</v>
      </c>
      <c r="X17" s="1811"/>
      <c r="Y17" s="3244"/>
      <c r="Z17" s="1812" t="str">
        <f>Q17</f>
        <v>交通便捷度</v>
      </c>
      <c r="AA17" s="1809">
        <f t="shared" si="3"/>
        <v>1</v>
      </c>
      <c r="AB17" s="1809">
        <f t="shared" si="4"/>
        <v>1</v>
      </c>
      <c r="AC17" s="1809">
        <f t="shared" si="5"/>
        <v>1</v>
      </c>
    </row>
    <row r="18" spans="1:29" ht="15">
      <c r="A18" s="427"/>
      <c r="B18" s="455"/>
      <c r="C18" s="2608"/>
      <c r="D18" s="449"/>
      <c r="E18" s="2610"/>
      <c r="F18" s="452"/>
      <c r="G18" s="2609"/>
      <c r="H18" s="447"/>
      <c r="I18" s="2610"/>
      <c r="J18" s="447"/>
      <c r="K18" s="614"/>
      <c r="L18" s="1139"/>
      <c r="M18" s="1130"/>
      <c r="N18" s="1130"/>
      <c r="O18" s="1138"/>
      <c r="P18" s="3244"/>
      <c r="Q18" s="1808"/>
      <c r="R18" s="773"/>
      <c r="S18" s="774"/>
      <c r="T18" s="773"/>
      <c r="U18" s="774"/>
      <c r="V18" s="773"/>
      <c r="W18" s="774"/>
      <c r="X18" s="1811"/>
      <c r="Y18" s="3244"/>
      <c r="Z18" s="1812"/>
      <c r="AA18" s="1809">
        <v>1</v>
      </c>
      <c r="AB18" s="1809">
        <v>1</v>
      </c>
      <c r="AC18" s="1809">
        <v>1</v>
      </c>
    </row>
    <row r="19" spans="1:29" ht="42.75">
      <c r="A19" s="427"/>
      <c r="B19" s="450" t="s">
        <v>2687</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4"/>
      <c r="Q19" s="1808" t="str">
        <f>B19</f>
        <v>公共配套设施</v>
      </c>
      <c r="R19" s="773" t="s">
        <v>17</v>
      </c>
      <c r="S19" s="774">
        <f>F19</f>
        <v>100</v>
      </c>
      <c r="T19" s="773" t="s">
        <v>17</v>
      </c>
      <c r="U19" s="774">
        <f>H19</f>
        <v>100</v>
      </c>
      <c r="V19" s="773" t="s">
        <v>17</v>
      </c>
      <c r="W19" s="774">
        <f>J19</f>
        <v>100</v>
      </c>
      <c r="X19" s="1811"/>
      <c r="Y19" s="3244"/>
      <c r="Z19" s="1812" t="str">
        <f>Q19</f>
        <v>公共配套设施</v>
      </c>
      <c r="AA19" s="1809">
        <f t="shared" si="3"/>
        <v>1</v>
      </c>
      <c r="AB19" s="1809">
        <f t="shared" si="4"/>
        <v>1</v>
      </c>
      <c r="AC19" s="1809">
        <f t="shared" si="5"/>
        <v>1</v>
      </c>
    </row>
    <row r="20" spans="1:29" ht="15">
      <c r="A20" s="427"/>
      <c r="B20" s="455"/>
      <c r="C20" s="446"/>
      <c r="D20" s="447"/>
      <c r="E20" s="2605"/>
      <c r="F20" s="448"/>
      <c r="G20" s="2604"/>
      <c r="H20" s="447"/>
      <c r="I20" s="2605"/>
      <c r="J20" s="447"/>
      <c r="K20" s="614"/>
      <c r="L20" s="1139"/>
      <c r="M20" s="1130"/>
      <c r="N20" s="1130"/>
      <c r="O20" s="1138"/>
      <c r="P20" s="3244"/>
      <c r="Q20" s="1808"/>
      <c r="R20" s="773"/>
      <c r="S20" s="774"/>
      <c r="T20" s="773"/>
      <c r="U20" s="774"/>
      <c r="V20" s="773"/>
      <c r="W20" s="774"/>
      <c r="X20" s="1811"/>
      <c r="Y20" s="3244"/>
      <c r="Z20" s="1812"/>
      <c r="AA20" s="1809">
        <v>1</v>
      </c>
      <c r="AB20" s="1809">
        <v>1</v>
      </c>
      <c r="AC20" s="1809">
        <v>1</v>
      </c>
    </row>
    <row r="21" spans="1:29" ht="28.5">
      <c r="A21" s="427"/>
      <c r="B21" s="1383" t="s">
        <v>2688</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4"/>
      <c r="Q21" s="1808" t="str">
        <f>B21</f>
        <v>基础设施水平</v>
      </c>
      <c r="R21" s="773" t="s">
        <v>17</v>
      </c>
      <c r="S21" s="774">
        <f>F21</f>
        <v>100</v>
      </c>
      <c r="T21" s="773" t="s">
        <v>17</v>
      </c>
      <c r="U21" s="774">
        <f>H21</f>
        <v>100</v>
      </c>
      <c r="V21" s="773" t="s">
        <v>17</v>
      </c>
      <c r="W21" s="774">
        <f>J21</f>
        <v>100</v>
      </c>
      <c r="X21" s="1811"/>
      <c r="Y21" s="3244"/>
      <c r="Z21" s="1812" t="str">
        <f>Q21</f>
        <v>基础设施水平</v>
      </c>
      <c r="AA21" s="1809">
        <f t="shared" ref="AA21" si="8">D21/F21</f>
        <v>1</v>
      </c>
      <c r="AB21" s="1809">
        <f t="shared" ref="AB21" si="9">D21/H21</f>
        <v>1</v>
      </c>
      <c r="AC21" s="1809">
        <f t="shared" ref="AC21" si="10">D21/J21</f>
        <v>1</v>
      </c>
    </row>
    <row r="22" spans="1:29" ht="15">
      <c r="A22" s="427"/>
      <c r="B22" s="1383"/>
      <c r="C22" s="2608"/>
      <c r="D22" s="447"/>
      <c r="E22" s="446"/>
      <c r="F22" s="448"/>
      <c r="G22" s="446"/>
      <c r="H22" s="447"/>
      <c r="I22" s="446"/>
      <c r="J22" s="447"/>
      <c r="K22" s="1382"/>
      <c r="L22" s="1139"/>
      <c r="M22" s="1130"/>
      <c r="N22" s="1130"/>
      <c r="O22" s="1138"/>
      <c r="P22" s="3244"/>
      <c r="Q22" s="1808"/>
      <c r="R22" s="773"/>
      <c r="S22" s="774"/>
      <c r="T22" s="773"/>
      <c r="U22" s="774"/>
      <c r="V22" s="773"/>
      <c r="W22" s="774"/>
      <c r="X22" s="1811"/>
      <c r="Y22" s="3244"/>
      <c r="Z22" s="1812"/>
      <c r="AA22" s="1809">
        <v>1</v>
      </c>
      <c r="AB22" s="1809">
        <v>1</v>
      </c>
      <c r="AC22" s="1809">
        <v>1</v>
      </c>
    </row>
    <row r="23" spans="1:29" ht="71.25">
      <c r="A23" s="427"/>
      <c r="B23" s="450" t="s">
        <v>2689</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4"/>
      <c r="Q23" s="1808" t="str">
        <f>B23</f>
        <v>环境质量</v>
      </c>
      <c r="R23" s="773" t="s">
        <v>17</v>
      </c>
      <c r="S23" s="774">
        <f>F23</f>
        <v>100</v>
      </c>
      <c r="T23" s="773" t="s">
        <v>17</v>
      </c>
      <c r="U23" s="774">
        <f>H23</f>
        <v>100</v>
      </c>
      <c r="V23" s="773" t="s">
        <v>17</v>
      </c>
      <c r="W23" s="774">
        <f>J23</f>
        <v>100</v>
      </c>
      <c r="X23" s="1811"/>
      <c r="Y23" s="3244"/>
      <c r="Z23" s="1812" t="str">
        <f>Q23</f>
        <v>环境质量</v>
      </c>
      <c r="AA23" s="1809">
        <f t="shared" si="3"/>
        <v>1</v>
      </c>
      <c r="AB23" s="1809">
        <f t="shared" si="4"/>
        <v>1</v>
      </c>
      <c r="AC23" s="1809">
        <f t="shared" si="5"/>
        <v>1</v>
      </c>
    </row>
    <row r="24" spans="1:29" ht="15">
      <c r="A24" s="427"/>
      <c r="B24" s="1383"/>
      <c r="C24" s="446"/>
      <c r="D24" s="447"/>
      <c r="E24" s="2605"/>
      <c r="F24" s="448"/>
      <c r="G24" s="2604"/>
      <c r="H24" s="447"/>
      <c r="I24" s="2605"/>
      <c r="J24" s="447"/>
      <c r="K24" s="614"/>
      <c r="L24" s="1139"/>
      <c r="M24" s="1130"/>
      <c r="N24" s="1130"/>
      <c r="O24" s="1138"/>
      <c r="P24" s="3244"/>
      <c r="Q24" s="1808"/>
      <c r="R24" s="773"/>
      <c r="S24" s="774"/>
      <c r="T24" s="773"/>
      <c r="U24" s="774"/>
      <c r="V24" s="773"/>
      <c r="W24" s="774"/>
      <c r="X24" s="1811"/>
      <c r="Y24" s="3244"/>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4"/>
      <c r="Q25" s="1808">
        <f>B25</f>
        <v>111</v>
      </c>
      <c r="R25" s="773" t="s">
        <v>17</v>
      </c>
      <c r="S25" s="774">
        <f>F25</f>
        <v>100</v>
      </c>
      <c r="T25" s="773" t="s">
        <v>17</v>
      </c>
      <c r="U25" s="774">
        <f>H25</f>
        <v>100</v>
      </c>
      <c r="V25" s="773" t="s">
        <v>17</v>
      </c>
      <c r="W25" s="774">
        <f>J25</f>
        <v>100</v>
      </c>
      <c r="X25" s="1811"/>
      <c r="Y25" s="3244"/>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4"/>
      <c r="Q26" s="1808">
        <f t="shared" ref="Q26:Q40" si="11">B26</f>
        <v>111</v>
      </c>
      <c r="R26" s="773" t="s">
        <v>17</v>
      </c>
      <c r="S26" s="774">
        <f>F26</f>
        <v>100</v>
      </c>
      <c r="T26" s="773" t="s">
        <v>17</v>
      </c>
      <c r="U26" s="774">
        <f>H26</f>
        <v>100</v>
      </c>
      <c r="V26" s="773" t="s">
        <v>17</v>
      </c>
      <c r="W26" s="774">
        <f>J26</f>
        <v>100</v>
      </c>
      <c r="X26" s="1811"/>
      <c r="Y26" s="3244"/>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4"/>
      <c r="Q27" s="1793">
        <f t="shared" si="11"/>
        <v>111</v>
      </c>
      <c r="R27" s="769" t="s">
        <v>17</v>
      </c>
      <c r="S27" s="770">
        <f>F27</f>
        <v>100</v>
      </c>
      <c r="T27" s="769" t="s">
        <v>17</v>
      </c>
      <c r="U27" s="770">
        <f>H27</f>
        <v>100</v>
      </c>
      <c r="V27" s="769" t="s">
        <v>17</v>
      </c>
      <c r="W27" s="770">
        <f>J27</f>
        <v>100</v>
      </c>
      <c r="X27" s="771"/>
      <c r="Y27" s="3244"/>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4"/>
      <c r="Q28" s="1808">
        <f t="shared" si="11"/>
        <v>111</v>
      </c>
      <c r="R28" s="773" t="s">
        <v>17</v>
      </c>
      <c r="S28" s="774">
        <f t="shared" ref="S28:S40" si="12">F28</f>
        <v>100</v>
      </c>
      <c r="T28" s="773" t="s">
        <v>17</v>
      </c>
      <c r="U28" s="774">
        <f t="shared" ref="U28:U40" si="13">H28</f>
        <v>100</v>
      </c>
      <c r="V28" s="773" t="s">
        <v>17</v>
      </c>
      <c r="W28" s="774">
        <f t="shared" ref="W28:W40" si="14">J28</f>
        <v>100</v>
      </c>
      <c r="X28" s="1811"/>
      <c r="Y28" s="3244"/>
      <c r="Z28" s="1812">
        <f t="shared" ref="Z28:Z40" si="15">Q28</f>
        <v>111</v>
      </c>
      <c r="AA28" s="1809">
        <f t="shared" si="3"/>
        <v>1</v>
      </c>
      <c r="AB28" s="1809">
        <f t="shared" si="4"/>
        <v>1</v>
      </c>
      <c r="AC28" s="1809">
        <f t="shared" si="5"/>
        <v>1</v>
      </c>
    </row>
    <row r="29" spans="1:29" ht="28.5">
      <c r="A29" s="465" t="s">
        <v>2562</v>
      </c>
      <c r="B29" s="71" t="s">
        <v>2692</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45" t="s">
        <v>2564</v>
      </c>
      <c r="Q29" s="1808" t="str">
        <f t="shared" si="11"/>
        <v>建筑类型</v>
      </c>
      <c r="R29" s="773" t="s">
        <v>17</v>
      </c>
      <c r="S29" s="774">
        <f t="shared" si="12"/>
        <v>100</v>
      </c>
      <c r="T29" s="773" t="s">
        <v>17</v>
      </c>
      <c r="U29" s="774">
        <f t="shared" si="13"/>
        <v>100</v>
      </c>
      <c r="V29" s="773" t="s">
        <v>17</v>
      </c>
      <c r="W29" s="774">
        <f t="shared" si="14"/>
        <v>100</v>
      </c>
      <c r="X29" s="1811"/>
      <c r="Y29" s="3246" t="s">
        <v>2564</v>
      </c>
      <c r="Z29" s="1812" t="str">
        <f t="shared" si="15"/>
        <v>建筑类型</v>
      </c>
      <c r="AA29" s="1809">
        <f t="shared" si="3"/>
        <v>1</v>
      </c>
      <c r="AB29" s="1809">
        <f t="shared" si="4"/>
        <v>1</v>
      </c>
      <c r="AC29" s="1809">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46"/>
      <c r="Q30" s="775" t="str">
        <f t="shared" si="11"/>
        <v>项目建筑规模</v>
      </c>
      <c r="R30" s="776" t="s">
        <v>17</v>
      </c>
      <c r="S30" s="777" t="e">
        <f t="shared" si="12"/>
        <v>#N/A</v>
      </c>
      <c r="T30" s="776" t="s">
        <v>17</v>
      </c>
      <c r="U30" s="777" t="e">
        <f t="shared" si="13"/>
        <v>#N/A</v>
      </c>
      <c r="V30" s="776" t="s">
        <v>17</v>
      </c>
      <c r="W30" s="777" t="e">
        <f t="shared" si="14"/>
        <v>#N/A</v>
      </c>
      <c r="X30" s="778"/>
      <c r="Y30" s="3246"/>
      <c r="Z30" s="779" t="str">
        <f t="shared" si="15"/>
        <v>项目建筑规模</v>
      </c>
      <c r="AA30" s="1809" t="e">
        <f t="shared" si="3"/>
        <v>#N/A</v>
      </c>
      <c r="AB30" s="1809" t="e">
        <f t="shared" si="4"/>
        <v>#N/A</v>
      </c>
      <c r="AC30" s="1809"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6"/>
      <c r="Q31" s="1808" t="str">
        <f t="shared" si="11"/>
        <v>建筑结构</v>
      </c>
      <c r="R31" s="773" t="s">
        <v>17</v>
      </c>
      <c r="S31" s="774">
        <f t="shared" si="12"/>
        <v>100</v>
      </c>
      <c r="T31" s="773" t="s">
        <v>17</v>
      </c>
      <c r="U31" s="774">
        <f t="shared" si="13"/>
        <v>100</v>
      </c>
      <c r="V31" s="773" t="s">
        <v>17</v>
      </c>
      <c r="W31" s="774">
        <f t="shared" si="14"/>
        <v>100</v>
      </c>
      <c r="X31" s="1811"/>
      <c r="Y31" s="3246"/>
      <c r="Z31" s="1812" t="str">
        <f t="shared" si="15"/>
        <v>建筑结构</v>
      </c>
      <c r="AA31" s="1809">
        <f t="shared" si="3"/>
        <v>1</v>
      </c>
      <c r="AB31" s="1809">
        <f t="shared" si="4"/>
        <v>1</v>
      </c>
      <c r="AC31" s="1809">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6"/>
      <c r="Q32" s="1808" t="str">
        <f t="shared" si="11"/>
        <v>公共部分装修</v>
      </c>
      <c r="R32" s="773" t="s">
        <v>17</v>
      </c>
      <c r="S32" s="774">
        <f t="shared" si="12"/>
        <v>100</v>
      </c>
      <c r="T32" s="773" t="s">
        <v>17</v>
      </c>
      <c r="U32" s="774">
        <f t="shared" si="13"/>
        <v>100</v>
      </c>
      <c r="V32" s="773" t="s">
        <v>17</v>
      </c>
      <c r="W32" s="774">
        <f t="shared" si="14"/>
        <v>100</v>
      </c>
      <c r="X32" s="1811"/>
      <c r="Y32" s="3246"/>
      <c r="Z32" s="1812" t="str">
        <f t="shared" si="15"/>
        <v>公共部分装修</v>
      </c>
      <c r="AA32" s="1809">
        <f t="shared" si="3"/>
        <v>1</v>
      </c>
      <c r="AB32" s="1809">
        <f t="shared" si="4"/>
        <v>1</v>
      </c>
      <c r="AC32" s="1809">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6"/>
      <c r="Q33" s="1808" t="str">
        <f t="shared" si="11"/>
        <v>成新度</v>
      </c>
      <c r="R33" s="773" t="s">
        <v>17</v>
      </c>
      <c r="S33" s="774" t="e">
        <f t="shared" si="12"/>
        <v>#N/A</v>
      </c>
      <c r="T33" s="773" t="s">
        <v>17</v>
      </c>
      <c r="U33" s="774" t="e">
        <f t="shared" si="13"/>
        <v>#N/A</v>
      </c>
      <c r="V33" s="773" t="s">
        <v>17</v>
      </c>
      <c r="W33" s="774" t="e">
        <f t="shared" si="14"/>
        <v>#N/A</v>
      </c>
      <c r="X33" s="1811"/>
      <c r="Y33" s="3246"/>
      <c r="Z33" s="1812" t="str">
        <f t="shared" si="15"/>
        <v>成新度</v>
      </c>
      <c r="AA33" s="1809" t="e">
        <f t="shared" si="3"/>
        <v>#N/A</v>
      </c>
      <c r="AB33" s="1809" t="e">
        <f t="shared" si="4"/>
        <v>#N/A</v>
      </c>
      <c r="AC33" s="1809"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6"/>
      <c r="Q34" s="1793" t="str">
        <f t="shared" si="11"/>
        <v>物业管理</v>
      </c>
      <c r="R34" s="769" t="s">
        <v>17</v>
      </c>
      <c r="S34" s="770">
        <f t="shared" si="12"/>
        <v>100</v>
      </c>
      <c r="T34" s="769" t="s">
        <v>17</v>
      </c>
      <c r="U34" s="770">
        <f t="shared" si="13"/>
        <v>100</v>
      </c>
      <c r="V34" s="769" t="s">
        <v>17</v>
      </c>
      <c r="W34" s="770">
        <f t="shared" si="14"/>
        <v>100</v>
      </c>
      <c r="X34" s="771"/>
      <c r="Y34" s="3246"/>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6" t="s">
        <v>2564</v>
      </c>
      <c r="Q35" s="1808" t="str">
        <f t="shared" si="11"/>
        <v>市政基础设施</v>
      </c>
      <c r="R35" s="773" t="s">
        <v>17</v>
      </c>
      <c r="S35" s="774">
        <f t="shared" si="12"/>
        <v>100</v>
      </c>
      <c r="T35" s="773" t="s">
        <v>17</v>
      </c>
      <c r="U35" s="774">
        <f t="shared" si="13"/>
        <v>100</v>
      </c>
      <c r="V35" s="773" t="s">
        <v>17</v>
      </c>
      <c r="W35" s="774">
        <f t="shared" si="14"/>
        <v>100</v>
      </c>
      <c r="X35" s="1811"/>
      <c r="Y35" s="3246" t="s">
        <v>2564</v>
      </c>
      <c r="Z35" s="1812" t="str">
        <f t="shared" si="15"/>
        <v>市政基础设施</v>
      </c>
      <c r="AA35" s="1809">
        <f t="shared" si="3"/>
        <v>1</v>
      </c>
      <c r="AB35" s="1809">
        <f t="shared" si="4"/>
        <v>1</v>
      </c>
      <c r="AC35" s="1809">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6"/>
      <c r="Q36" s="1808" t="str">
        <f t="shared" si="11"/>
        <v>内部装修</v>
      </c>
      <c r="R36" s="773" t="s">
        <v>17</v>
      </c>
      <c r="S36" s="774">
        <f t="shared" si="12"/>
        <v>100</v>
      </c>
      <c r="T36" s="773" t="s">
        <v>17</v>
      </c>
      <c r="U36" s="774">
        <f t="shared" si="13"/>
        <v>100</v>
      </c>
      <c r="V36" s="773" t="s">
        <v>17</v>
      </c>
      <c r="W36" s="774">
        <f t="shared" si="14"/>
        <v>100</v>
      </c>
      <c r="X36" s="1811"/>
      <c r="Y36" s="3246"/>
      <c r="Z36" s="1812" t="str">
        <f t="shared" si="15"/>
        <v>内部装修</v>
      </c>
      <c r="AA36" s="1809">
        <f t="shared" si="3"/>
        <v>1</v>
      </c>
      <c r="AB36" s="1809">
        <f t="shared" si="4"/>
        <v>1</v>
      </c>
      <c r="AC36" s="1809">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6"/>
      <c r="Q37" s="1808" t="str">
        <f t="shared" si="11"/>
        <v>内部装修状况</v>
      </c>
      <c r="R37" s="773" t="s">
        <v>17</v>
      </c>
      <c r="S37" s="774">
        <f t="shared" si="12"/>
        <v>100</v>
      </c>
      <c r="T37" s="773" t="s">
        <v>17</v>
      </c>
      <c r="U37" s="774">
        <f t="shared" si="13"/>
        <v>100</v>
      </c>
      <c r="V37" s="773" t="s">
        <v>17</v>
      </c>
      <c r="W37" s="774">
        <f t="shared" si="14"/>
        <v>100</v>
      </c>
      <c r="X37" s="1811"/>
      <c r="Y37" s="3246"/>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6"/>
      <c r="Q38" s="775">
        <f t="shared" si="11"/>
        <v>111</v>
      </c>
      <c r="R38" s="776" t="s">
        <v>17</v>
      </c>
      <c r="S38" s="777">
        <f t="shared" si="12"/>
        <v>100</v>
      </c>
      <c r="T38" s="776" t="s">
        <v>17</v>
      </c>
      <c r="U38" s="777">
        <f t="shared" si="13"/>
        <v>100</v>
      </c>
      <c r="V38" s="776" t="s">
        <v>17</v>
      </c>
      <c r="W38" s="777">
        <f t="shared" si="14"/>
        <v>100</v>
      </c>
      <c r="X38" s="778"/>
      <c r="Y38" s="3246"/>
      <c r="Z38" s="779">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6"/>
      <c r="Q39" s="1808">
        <f t="shared" si="11"/>
        <v>111</v>
      </c>
      <c r="R39" s="773" t="s">
        <v>17</v>
      </c>
      <c r="S39" s="774">
        <f t="shared" si="12"/>
        <v>100</v>
      </c>
      <c r="T39" s="773" t="s">
        <v>17</v>
      </c>
      <c r="U39" s="774">
        <f t="shared" si="13"/>
        <v>100</v>
      </c>
      <c r="V39" s="773" t="s">
        <v>17</v>
      </c>
      <c r="W39" s="774">
        <f t="shared" si="14"/>
        <v>100</v>
      </c>
      <c r="X39" s="1811"/>
      <c r="Y39" s="3246"/>
      <c r="Z39" s="1812">
        <f t="shared" si="15"/>
        <v>111</v>
      </c>
      <c r="AA39" s="1809">
        <f t="shared" si="3"/>
        <v>1</v>
      </c>
      <c r="AB39" s="1809">
        <f t="shared" si="4"/>
        <v>1</v>
      </c>
      <c r="AC39" s="1809">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8"/>
      <c r="Q40" s="1808">
        <f t="shared" si="11"/>
        <v>111</v>
      </c>
      <c r="R40" s="773" t="s">
        <v>17</v>
      </c>
      <c r="S40" s="774">
        <f t="shared" si="12"/>
        <v>100</v>
      </c>
      <c r="T40" s="773" t="s">
        <v>17</v>
      </c>
      <c r="U40" s="774">
        <f t="shared" si="13"/>
        <v>100</v>
      </c>
      <c r="V40" s="773" t="s">
        <v>17</v>
      </c>
      <c r="W40" s="774">
        <f t="shared" si="14"/>
        <v>100</v>
      </c>
      <c r="X40" s="1811"/>
      <c r="Y40" s="3288"/>
      <c r="Z40" s="1812">
        <f t="shared" si="15"/>
        <v>111</v>
      </c>
      <c r="AA40" s="1809">
        <f t="shared" si="3"/>
        <v>1</v>
      </c>
      <c r="AB40" s="1809">
        <f t="shared" si="4"/>
        <v>1</v>
      </c>
      <c r="AC40" s="1809">
        <f t="shared" si="5"/>
        <v>1</v>
      </c>
    </row>
    <row r="41" spans="1:29" ht="15">
      <c r="A41" s="478" t="s">
        <v>2576</v>
      </c>
      <c r="B41" s="479"/>
      <c r="C41" s="1405" t="s">
        <v>1</v>
      </c>
      <c r="D41" s="1406"/>
      <c r="E41" s="1407"/>
      <c r="F41" s="1408"/>
      <c r="G41" s="1409"/>
      <c r="H41" s="1410"/>
      <c r="I41" s="1407"/>
      <c r="J41" s="1410"/>
      <c r="K41" s="782"/>
      <c r="L41" s="1142"/>
      <c r="M41" s="1143"/>
      <c r="N41" s="1130"/>
      <c r="O41" s="1143"/>
      <c r="P41" s="3228" t="str">
        <f>A41</f>
        <v>成交单价（元/平方米）</v>
      </c>
      <c r="Q41" s="3228"/>
      <c r="R41" s="3284">
        <f>E41</f>
        <v>0</v>
      </c>
      <c r="S41" s="3284"/>
      <c r="T41" s="3284">
        <f>G41</f>
        <v>0</v>
      </c>
      <c r="U41" s="3284"/>
      <c r="V41" s="3284">
        <f>I41</f>
        <v>0</v>
      </c>
      <c r="W41" s="3284"/>
      <c r="X41" s="758"/>
      <c r="Y41" s="780"/>
      <c r="Z41" s="758"/>
      <c r="AA41" s="758"/>
      <c r="AB41" s="758"/>
      <c r="AC41" s="758"/>
    </row>
    <row r="42" spans="1:29" ht="15.75" thickBot="1">
      <c r="A42" s="485" t="s">
        <v>2668</v>
      </c>
      <c r="B42" s="486"/>
      <c r="C42" s="1411" t="e">
        <f>R43</f>
        <v>#DIV/0!</v>
      </c>
      <c r="D42" s="1412"/>
      <c r="E42" s="1413" t="e">
        <f>R42</f>
        <v>#DIV/0!</v>
      </c>
      <c r="F42" s="1413"/>
      <c r="G42" s="1411" t="e">
        <f>T42</f>
        <v>#DIV/0!</v>
      </c>
      <c r="H42" s="1412"/>
      <c r="I42" s="1413" t="e">
        <f>V42</f>
        <v>#DIV/0!</v>
      </c>
      <c r="J42" s="1412"/>
      <c r="K42" s="783"/>
      <c r="L42" s="1142"/>
      <c r="M42" s="1143"/>
      <c r="N42" s="1130"/>
      <c r="O42" s="1143"/>
      <c r="P42" s="3228" t="str">
        <f>A42</f>
        <v>比较价值（元/平方米）</v>
      </c>
      <c r="Q42" s="3228"/>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758"/>
      <c r="Y42" s="758"/>
      <c r="Z42" s="758"/>
      <c r="AA42" s="758"/>
      <c r="AB42" s="758"/>
      <c r="AC42" s="758"/>
    </row>
    <row r="43" spans="1:29" ht="15.75" thickBot="1">
      <c r="A43" s="491" t="s">
        <v>2669</v>
      </c>
      <c r="B43" s="492"/>
      <c r="C43" s="1415" t="e">
        <f>R43</f>
        <v>#DIV/0!</v>
      </c>
      <c r="D43" s="1415"/>
      <c r="E43" s="1415"/>
      <c r="F43" s="1415"/>
      <c r="G43" s="1415"/>
      <c r="H43" s="1415"/>
      <c r="I43" s="1415"/>
      <c r="J43" s="1415"/>
      <c r="K43" s="784"/>
      <c r="L43" s="1142"/>
      <c r="M43" s="1143"/>
      <c r="N43" s="1143"/>
      <c r="O43" s="1143"/>
      <c r="P43" s="3248" t="str">
        <f>A43</f>
        <v>估价对象XX用房的比较价值（楼面单价，元/平方米）</v>
      </c>
      <c r="Q43" s="3249"/>
      <c r="R43" s="3283" t="e">
        <f>IF(F1="售价",ROUND(AVERAGE(R42:V42),0),ROUND(AVERAGE(R42:V42),1))</f>
        <v>#DIV/0!</v>
      </c>
      <c r="S43" s="3283"/>
      <c r="T43" s="3283"/>
      <c r="U43" s="3283"/>
      <c r="V43" s="3283"/>
      <c r="W43" s="328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0"/>
      <c r="F1" s="2584"/>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2329</v>
      </c>
      <c r="B2" s="1416" t="e">
        <f ca="1">IF(C2="——",IF(B37="元/平方米",ROUND(C39*D3/10000,0),ROUND(F3*C39/10000,0)),IF(B37="元/平方米",ROUND(C39*D3/10000,0),ROUND(F3*C39/10000,0))-D2)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2644</v>
      </c>
      <c r="B4" s="401"/>
      <c r="C4" s="3229" t="s">
        <v>2645</v>
      </c>
      <c r="D4" s="3230"/>
      <c r="E4" s="3231" t="s">
        <v>2646</v>
      </c>
      <c r="F4" s="3232"/>
      <c r="G4" s="3229" t="s">
        <v>2647</v>
      </c>
      <c r="H4" s="3230"/>
      <c r="I4" s="3229" t="s">
        <v>2648</v>
      </c>
      <c r="J4" s="3230"/>
      <c r="K4" s="609" t="s">
        <v>2649</v>
      </c>
      <c r="L4" s="1129"/>
      <c r="M4" s="1130"/>
      <c r="N4" s="1130"/>
      <c r="O4" s="1130"/>
      <c r="P4" s="3233" t="s">
        <v>2650</v>
      </c>
      <c r="Q4" s="3234"/>
      <c r="R4" s="3216" t="s">
        <v>2646</v>
      </c>
      <c r="S4" s="3217"/>
      <c r="T4" s="3216" t="s">
        <v>2647</v>
      </c>
      <c r="U4" s="3217"/>
      <c r="V4" s="3241" t="s">
        <v>2648</v>
      </c>
      <c r="W4" s="3241"/>
      <c r="X4" s="1811"/>
      <c r="Y4" s="3216" t="s">
        <v>2650</v>
      </c>
      <c r="Z4" s="3217"/>
      <c r="AA4" s="3211" t="s">
        <v>2646</v>
      </c>
      <c r="AB4" s="3212" t="s">
        <v>2647</v>
      </c>
      <c r="AC4" s="3211" t="s">
        <v>2648</v>
      </c>
    </row>
    <row r="5" spans="1:29" ht="15">
      <c r="A5" s="403"/>
      <c r="B5" s="404"/>
      <c r="C5" s="3222" t="s">
        <v>2541</v>
      </c>
      <c r="D5" s="3223"/>
      <c r="E5" s="3220" t="s">
        <v>2542</v>
      </c>
      <c r="F5" s="3221"/>
      <c r="G5" s="3222" t="s">
        <v>2543</v>
      </c>
      <c r="H5" s="3223"/>
      <c r="I5" s="3222" t="s">
        <v>2544</v>
      </c>
      <c r="J5" s="3223"/>
      <c r="K5" s="609"/>
      <c r="L5" s="1129"/>
      <c r="M5" s="1130"/>
      <c r="N5" s="1130"/>
      <c r="O5" s="1130"/>
      <c r="P5" s="3235"/>
      <c r="Q5" s="3236"/>
      <c r="R5" s="3218"/>
      <c r="S5" s="3219"/>
      <c r="T5" s="3218"/>
      <c r="U5" s="3219"/>
      <c r="V5" s="3241"/>
      <c r="W5" s="3241"/>
      <c r="X5" s="1811"/>
      <c r="Y5" s="3218"/>
      <c r="Z5" s="3219"/>
      <c r="AA5" s="3212"/>
      <c r="AB5" s="3212"/>
      <c r="AC5" s="3212"/>
    </row>
    <row r="6" spans="1:29" ht="15.75" thickBot="1">
      <c r="A6" s="405"/>
      <c r="B6" s="406"/>
      <c r="C6" s="3224" t="s">
        <v>2545</v>
      </c>
      <c r="D6" s="3225"/>
      <c r="E6" s="3226" t="s">
        <v>2545</v>
      </c>
      <c r="F6" s="3227"/>
      <c r="G6" s="3224" t="s">
        <v>2545</v>
      </c>
      <c r="H6" s="3225"/>
      <c r="I6" s="3224" t="s">
        <v>2545</v>
      </c>
      <c r="J6" s="3225"/>
      <c r="K6" s="609" t="s">
        <v>2546</v>
      </c>
      <c r="L6" s="1129"/>
      <c r="M6" s="1130"/>
      <c r="N6" s="1130"/>
      <c r="O6" s="1130"/>
      <c r="P6" s="3237"/>
      <c r="Q6" s="3238"/>
      <c r="R6" s="3218"/>
      <c r="S6" s="3219"/>
      <c r="T6" s="3239"/>
      <c r="U6" s="3240"/>
      <c r="V6" s="3241"/>
      <c r="W6" s="3241"/>
      <c r="X6" s="1811"/>
      <c r="Y6" s="3239"/>
      <c r="Z6" s="3240"/>
      <c r="AA6" s="3213"/>
      <c r="AB6" s="3213"/>
      <c r="AC6" s="3213"/>
    </row>
    <row r="7" spans="1:29" s="117" customFormat="1" ht="15.75" thickBot="1">
      <c r="A7" s="407" t="s">
        <v>2547</v>
      </c>
      <c r="B7" s="408"/>
      <c r="C7" s="409">
        <f>'数据-取费表'!B2</f>
        <v>43714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4" t="s">
        <v>2548</v>
      </c>
      <c r="Q7" s="3242"/>
      <c r="R7" s="769" t="s">
        <v>17</v>
      </c>
      <c r="S7" s="770">
        <f t="shared" ref="S7:S14" si="0">F7</f>
        <v>0</v>
      </c>
      <c r="T7" s="769" t="s">
        <v>17</v>
      </c>
      <c r="U7" s="770">
        <f t="shared" ref="U7:U14" si="1">H7</f>
        <v>0</v>
      </c>
      <c r="V7" s="769" t="s">
        <v>17</v>
      </c>
      <c r="W7" s="770">
        <f t="shared" ref="W7:W14" si="2">J7</f>
        <v>0</v>
      </c>
      <c r="X7" s="771"/>
      <c r="Y7" s="3214" t="s">
        <v>2548</v>
      </c>
      <c r="Z7" s="3215"/>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4" t="s">
        <v>2551</v>
      </c>
      <c r="Q8" s="3215"/>
      <c r="R8" s="769" t="s">
        <v>17</v>
      </c>
      <c r="S8" s="770">
        <f t="shared" si="0"/>
        <v>0</v>
      </c>
      <c r="T8" s="769" t="s">
        <v>17</v>
      </c>
      <c r="U8" s="770">
        <f t="shared" si="1"/>
        <v>0</v>
      </c>
      <c r="V8" s="769" t="s">
        <v>17</v>
      </c>
      <c r="W8" s="770">
        <f t="shared" si="2"/>
        <v>0</v>
      </c>
      <c r="X8" s="771"/>
      <c r="Y8" s="3214" t="s">
        <v>2551</v>
      </c>
      <c r="Z8" s="3215"/>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28" t="s">
        <v>2554</v>
      </c>
      <c r="Q9" s="1793" t="str">
        <f t="shared" ref="Q9:Q14" si="6">B9</f>
        <v>用途</v>
      </c>
      <c r="R9" s="769" t="s">
        <v>17</v>
      </c>
      <c r="S9" s="770">
        <f t="shared" si="0"/>
        <v>100</v>
      </c>
      <c r="T9" s="769" t="s">
        <v>17</v>
      </c>
      <c r="U9" s="770">
        <f t="shared" si="1"/>
        <v>100</v>
      </c>
      <c r="V9" s="769" t="s">
        <v>17</v>
      </c>
      <c r="W9" s="770">
        <f t="shared" si="2"/>
        <v>100</v>
      </c>
      <c r="X9" s="771"/>
      <c r="Y9" s="3079"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28"/>
      <c r="Q10" s="1793"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28"/>
      <c r="Q11" s="1793">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28"/>
      <c r="Q12" s="1793">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28"/>
      <c r="Q13" s="1793">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85.5">
      <c r="A14" s="400" t="s">
        <v>2558</v>
      </c>
      <c r="B14" s="628" t="s">
        <v>2708</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3" t="s">
        <v>2559</v>
      </c>
      <c r="Q14" s="1808" t="str">
        <f t="shared" si="6"/>
        <v>交通便捷度</v>
      </c>
      <c r="R14" s="773" t="s">
        <v>17</v>
      </c>
      <c r="S14" s="774">
        <f t="shared" si="0"/>
        <v>100</v>
      </c>
      <c r="T14" s="773" t="s">
        <v>17</v>
      </c>
      <c r="U14" s="774">
        <f t="shared" si="1"/>
        <v>100</v>
      </c>
      <c r="V14" s="773" t="s">
        <v>17</v>
      </c>
      <c r="W14" s="774">
        <f t="shared" si="2"/>
        <v>100</v>
      </c>
      <c r="X14" s="1811"/>
      <c r="Y14" s="3243" t="s">
        <v>2559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244"/>
      <c r="Q15" s="1808"/>
      <c r="R15" s="773"/>
      <c r="S15" s="774"/>
      <c r="T15" s="773"/>
      <c r="U15" s="774"/>
      <c r="V15" s="773"/>
      <c r="W15" s="774"/>
      <c r="X15" s="1811"/>
      <c r="Y15" s="3244"/>
      <c r="Z15" s="1812"/>
      <c r="AA15" s="1809">
        <v>1</v>
      </c>
      <c r="AB15" s="1809">
        <v>1</v>
      </c>
      <c r="AC15" s="1809">
        <v>1</v>
      </c>
    </row>
    <row r="16" spans="1:29" ht="42.75">
      <c r="A16" s="403"/>
      <c r="B16" s="630" t="s">
        <v>2687</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4"/>
      <c r="Q16" s="1808" t="str">
        <f>B16</f>
        <v>公共配套设施</v>
      </c>
      <c r="R16" s="773" t="s">
        <v>17</v>
      </c>
      <c r="S16" s="774">
        <f>F16</f>
        <v>100</v>
      </c>
      <c r="T16" s="773" t="s">
        <v>17</v>
      </c>
      <c r="U16" s="774">
        <f>H16</f>
        <v>100</v>
      </c>
      <c r="V16" s="773" t="s">
        <v>17</v>
      </c>
      <c r="W16" s="774">
        <f>J16</f>
        <v>100</v>
      </c>
      <c r="X16" s="1811"/>
      <c r="Y16" s="3244"/>
      <c r="Z16" s="1812" t="str">
        <f>Q16</f>
        <v>公共配套设施</v>
      </c>
      <c r="AA16" s="1809">
        <f t="shared" si="3"/>
        <v>1</v>
      </c>
      <c r="AB16" s="1809">
        <f t="shared" si="4"/>
        <v>1</v>
      </c>
      <c r="AC16" s="1809">
        <f t="shared" si="5"/>
        <v>1</v>
      </c>
    </row>
    <row r="17" spans="1:29" ht="15">
      <c r="A17" s="403"/>
      <c r="B17" s="631"/>
      <c r="C17" s="2608"/>
      <c r="D17" s="447"/>
      <c r="E17" s="446"/>
      <c r="F17" s="448"/>
      <c r="G17" s="446"/>
      <c r="H17" s="447"/>
      <c r="I17" s="446"/>
      <c r="J17" s="447"/>
      <c r="K17" s="614"/>
      <c r="L17" s="1139"/>
      <c r="M17" s="1130"/>
      <c r="N17" s="1130"/>
      <c r="O17" s="1130"/>
      <c r="P17" s="3244"/>
      <c r="Q17" s="1808"/>
      <c r="R17" s="773"/>
      <c r="S17" s="774"/>
      <c r="T17" s="773"/>
      <c r="U17" s="774"/>
      <c r="V17" s="773"/>
      <c r="W17" s="774"/>
      <c r="X17" s="1811"/>
      <c r="Y17" s="3244"/>
      <c r="Z17" s="1812"/>
      <c r="AA17" s="1809">
        <v>1</v>
      </c>
      <c r="AB17" s="1809">
        <v>1</v>
      </c>
      <c r="AC17" s="1809">
        <v>1</v>
      </c>
    </row>
    <row r="18" spans="1:29" ht="28.5">
      <c r="A18" s="403"/>
      <c r="B18" s="632" t="s">
        <v>2688</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4"/>
      <c r="Q18" s="1808" t="str">
        <f>B18</f>
        <v>基础设施水平</v>
      </c>
      <c r="R18" s="773" t="s">
        <v>17</v>
      </c>
      <c r="S18" s="774">
        <f>F18</f>
        <v>100</v>
      </c>
      <c r="T18" s="773" t="s">
        <v>17</v>
      </c>
      <c r="U18" s="774">
        <f>H18</f>
        <v>100</v>
      </c>
      <c r="V18" s="773" t="s">
        <v>17</v>
      </c>
      <c r="W18" s="774">
        <f>J18</f>
        <v>100</v>
      </c>
      <c r="X18" s="1811"/>
      <c r="Y18" s="3244"/>
      <c r="Z18" s="1812" t="str">
        <f>Q18</f>
        <v>基础设施水平</v>
      </c>
      <c r="AA18" s="1809">
        <f t="shared" ref="AA18" si="8">D18/F18</f>
        <v>1</v>
      </c>
      <c r="AB18" s="1809">
        <f t="shared" ref="AB18" si="9">D18/H18</f>
        <v>1</v>
      </c>
      <c r="AC18" s="1809">
        <f t="shared" ref="AC18" si="10">D18/J18</f>
        <v>1</v>
      </c>
    </row>
    <row r="19" spans="1:29" ht="15">
      <c r="A19" s="403"/>
      <c r="B19" s="632"/>
      <c r="C19" s="2608"/>
      <c r="D19" s="449"/>
      <c r="E19" s="2608"/>
      <c r="F19" s="452"/>
      <c r="G19" s="2608"/>
      <c r="H19" s="447"/>
      <c r="I19" s="446"/>
      <c r="J19" s="447"/>
      <c r="K19" s="1382"/>
      <c r="L19" s="1139"/>
      <c r="M19" s="1130"/>
      <c r="N19" s="1130"/>
      <c r="O19" s="1130"/>
      <c r="P19" s="3244"/>
      <c r="Q19" s="1808"/>
      <c r="R19" s="773"/>
      <c r="S19" s="774"/>
      <c r="T19" s="773"/>
      <c r="U19" s="774"/>
      <c r="V19" s="773"/>
      <c r="W19" s="774"/>
      <c r="X19" s="1811"/>
      <c r="Y19" s="3244"/>
      <c r="Z19" s="1812"/>
      <c r="AA19" s="1809">
        <v>1</v>
      </c>
      <c r="AB19" s="1809">
        <v>1</v>
      </c>
      <c r="AC19" s="1809">
        <v>1</v>
      </c>
    </row>
    <row r="20" spans="1:29" ht="57">
      <c r="A20" s="403"/>
      <c r="B20" s="630" t="s">
        <v>2709</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4"/>
      <c r="Q20" s="1808" t="str">
        <f>B20</f>
        <v>自然及人文环境</v>
      </c>
      <c r="R20" s="773" t="s">
        <v>17</v>
      </c>
      <c r="S20" s="774">
        <f>F20</f>
        <v>100</v>
      </c>
      <c r="T20" s="773" t="s">
        <v>17</v>
      </c>
      <c r="U20" s="774">
        <f>H20</f>
        <v>100</v>
      </c>
      <c r="V20" s="773" t="s">
        <v>17</v>
      </c>
      <c r="W20" s="774">
        <f>J20</f>
        <v>100</v>
      </c>
      <c r="X20" s="1811"/>
      <c r="Y20" s="3244"/>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244"/>
      <c r="Q21" s="1808"/>
      <c r="R21" s="773"/>
      <c r="S21" s="774"/>
      <c r="T21" s="773"/>
      <c r="U21" s="774"/>
      <c r="V21" s="773"/>
      <c r="W21" s="774"/>
      <c r="X21" s="1811"/>
      <c r="Y21" s="3244"/>
      <c r="Z21" s="1812"/>
      <c r="AA21" s="1809">
        <v>1</v>
      </c>
      <c r="AB21" s="1809">
        <v>1</v>
      </c>
      <c r="AC21" s="1809">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4"/>
      <c r="Q22" s="1808" t="str">
        <f>B22</f>
        <v>楼层</v>
      </c>
      <c r="R22" s="773" t="s">
        <v>17</v>
      </c>
      <c r="S22" s="774">
        <f>F22</f>
        <v>100</v>
      </c>
      <c r="T22" s="773" t="s">
        <v>17</v>
      </c>
      <c r="U22" s="774">
        <f>H22</f>
        <v>100</v>
      </c>
      <c r="V22" s="773" t="s">
        <v>17</v>
      </c>
      <c r="W22" s="774">
        <f>J22</f>
        <v>100</v>
      </c>
      <c r="X22" s="1811"/>
      <c r="Y22" s="3244"/>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4"/>
      <c r="Q23" s="1808">
        <f>B23</f>
        <v>111</v>
      </c>
      <c r="R23" s="773" t="s">
        <v>17</v>
      </c>
      <c r="S23" s="774">
        <f>F23</f>
        <v>100</v>
      </c>
      <c r="T23" s="773" t="s">
        <v>17</v>
      </c>
      <c r="U23" s="774">
        <f>H23</f>
        <v>100</v>
      </c>
      <c r="V23" s="773" t="s">
        <v>17</v>
      </c>
      <c r="W23" s="774">
        <f>J23</f>
        <v>100</v>
      </c>
      <c r="X23" s="1811"/>
      <c r="Y23" s="3244"/>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4"/>
      <c r="Q24" s="1808">
        <f t="shared" ref="Q24:Q36" si="11">B24</f>
        <v>111</v>
      </c>
      <c r="R24" s="773" t="s">
        <v>17</v>
      </c>
      <c r="S24" s="774">
        <f>F24</f>
        <v>100</v>
      </c>
      <c r="T24" s="773" t="s">
        <v>17</v>
      </c>
      <c r="U24" s="774">
        <f>H24</f>
        <v>100</v>
      </c>
      <c r="V24" s="773" t="s">
        <v>17</v>
      </c>
      <c r="W24" s="774">
        <f>J24</f>
        <v>100</v>
      </c>
      <c r="X24" s="1811"/>
      <c r="Y24" s="3244"/>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44"/>
      <c r="Q25" s="1793">
        <f t="shared" si="11"/>
        <v>111</v>
      </c>
      <c r="R25" s="769" t="s">
        <v>17</v>
      </c>
      <c r="S25" s="770">
        <f>F25</f>
        <v>100</v>
      </c>
      <c r="T25" s="769" t="s">
        <v>17</v>
      </c>
      <c r="U25" s="770">
        <f>H25</f>
        <v>100</v>
      </c>
      <c r="V25" s="769" t="s">
        <v>17</v>
      </c>
      <c r="W25" s="770">
        <f>J25</f>
        <v>100</v>
      </c>
      <c r="X25" s="771"/>
      <c r="Y25" s="3244"/>
      <c r="Z25" s="55">
        <f>Q25</f>
        <v>111</v>
      </c>
      <c r="AA25" s="1809">
        <f>D25/F25</f>
        <v>1</v>
      </c>
      <c r="AB25" s="1809">
        <f>D25/H25</f>
        <v>1</v>
      </c>
      <c r="AC25" s="1809">
        <f>D25/J25</f>
        <v>1</v>
      </c>
    </row>
    <row r="26" spans="1:29" ht="28.5">
      <c r="A26" s="651" t="s">
        <v>2562</v>
      </c>
      <c r="B26" s="70" t="s">
        <v>2711</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5" t="s">
        <v>2564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6" t="s">
        <v>2564</v>
      </c>
      <c r="Z26" s="1812" t="str">
        <f t="shared" ref="Z26:Z36" si="15">Q26</f>
        <v>配套类型</v>
      </c>
      <c r="AA26" s="1809">
        <f t="shared" si="3"/>
        <v>1</v>
      </c>
      <c r="AB26" s="1809">
        <f t="shared" si="4"/>
        <v>1</v>
      </c>
      <c r="AC26" s="1809">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46"/>
      <c r="Q27" s="775" t="str">
        <f t="shared" si="11"/>
        <v>项目停车位配比</v>
      </c>
      <c r="R27" s="776" t="s">
        <v>17</v>
      </c>
      <c r="S27" s="777">
        <f t="shared" si="12"/>
        <v>100</v>
      </c>
      <c r="T27" s="776" t="s">
        <v>17</v>
      </c>
      <c r="U27" s="777">
        <f t="shared" si="13"/>
        <v>100</v>
      </c>
      <c r="V27" s="776" t="s">
        <v>17</v>
      </c>
      <c r="W27" s="777">
        <f t="shared" si="14"/>
        <v>100</v>
      </c>
      <c r="X27" s="778"/>
      <c r="Y27" s="3246"/>
      <c r="Z27" s="779" t="str">
        <f t="shared" si="15"/>
        <v>项目停车位配比</v>
      </c>
      <c r="AA27" s="1809">
        <f t="shared" si="3"/>
        <v>1</v>
      </c>
      <c r="AB27" s="1809">
        <f t="shared" si="4"/>
        <v>1</v>
      </c>
      <c r="AC27" s="1809">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6"/>
      <c r="Q28" s="1808" t="str">
        <f t="shared" si="11"/>
        <v>公共部分装修</v>
      </c>
      <c r="R28" s="773" t="s">
        <v>17</v>
      </c>
      <c r="S28" s="774">
        <f t="shared" si="12"/>
        <v>100</v>
      </c>
      <c r="T28" s="773" t="s">
        <v>17</v>
      </c>
      <c r="U28" s="774">
        <f t="shared" si="13"/>
        <v>100</v>
      </c>
      <c r="V28" s="773" t="s">
        <v>17</v>
      </c>
      <c r="W28" s="774">
        <f t="shared" si="14"/>
        <v>100</v>
      </c>
      <c r="X28" s="1811"/>
      <c r="Y28" s="3246"/>
      <c r="Z28" s="1812" t="str">
        <f t="shared" si="15"/>
        <v>公共部分装修</v>
      </c>
      <c r="AA28" s="1809">
        <f t="shared" si="3"/>
        <v>1</v>
      </c>
      <c r="AB28" s="1809">
        <f t="shared" si="4"/>
        <v>1</v>
      </c>
      <c r="AC28" s="1809">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6"/>
      <c r="Q29" s="1808" t="str">
        <f t="shared" si="11"/>
        <v>成新率</v>
      </c>
      <c r="R29" s="773" t="s">
        <v>17</v>
      </c>
      <c r="S29" s="774" t="e">
        <f t="shared" si="12"/>
        <v>#N/A</v>
      </c>
      <c r="T29" s="773" t="s">
        <v>17</v>
      </c>
      <c r="U29" s="774" t="e">
        <f t="shared" si="13"/>
        <v>#N/A</v>
      </c>
      <c r="V29" s="773" t="s">
        <v>17</v>
      </c>
      <c r="W29" s="774" t="e">
        <f t="shared" si="14"/>
        <v>#N/A</v>
      </c>
      <c r="X29" s="1811"/>
      <c r="Y29" s="3246"/>
      <c r="Z29" s="1812" t="str">
        <f t="shared" si="15"/>
        <v>成新率</v>
      </c>
      <c r="AA29" s="1809" t="e">
        <f t="shared" si="3"/>
        <v>#N/A</v>
      </c>
      <c r="AB29" s="1809" t="e">
        <f t="shared" si="4"/>
        <v>#N/A</v>
      </c>
      <c r="AC29" s="1809"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46"/>
      <c r="Q30" s="1808" t="str">
        <f t="shared" si="11"/>
        <v>物业等级</v>
      </c>
      <c r="R30" s="773" t="s">
        <v>17</v>
      </c>
      <c r="S30" s="774">
        <f t="shared" si="12"/>
        <v>100</v>
      </c>
      <c r="T30" s="773" t="s">
        <v>17</v>
      </c>
      <c r="U30" s="774">
        <f t="shared" si="13"/>
        <v>100</v>
      </c>
      <c r="V30" s="773" t="s">
        <v>17</v>
      </c>
      <c r="W30" s="774">
        <f t="shared" si="14"/>
        <v>100</v>
      </c>
      <c r="X30" s="1811"/>
      <c r="Y30" s="3246"/>
      <c r="Z30" s="1812" t="str">
        <f t="shared" si="15"/>
        <v>物业等级</v>
      </c>
      <c r="AA30" s="1809">
        <f t="shared" si="3"/>
        <v>1</v>
      </c>
      <c r="AB30" s="1809">
        <f t="shared" si="4"/>
        <v>1</v>
      </c>
      <c r="AC30" s="1809">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6"/>
      <c r="Q31" s="1793" t="str">
        <f t="shared" si="11"/>
        <v>停车位面积</v>
      </c>
      <c r="R31" s="769" t="s">
        <v>17</v>
      </c>
      <c r="S31" s="770" t="e">
        <f t="shared" si="12"/>
        <v>#N/A</v>
      </c>
      <c r="T31" s="769" t="s">
        <v>17</v>
      </c>
      <c r="U31" s="770" t="e">
        <f t="shared" si="13"/>
        <v>#N/A</v>
      </c>
      <c r="V31" s="769" t="s">
        <v>17</v>
      </c>
      <c r="W31" s="770" t="e">
        <f t="shared" si="14"/>
        <v>#N/A</v>
      </c>
      <c r="X31" s="771"/>
      <c r="Y31" s="3246"/>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6" t="s">
        <v>2564</v>
      </c>
      <c r="Q32" s="1808" t="str">
        <f t="shared" si="11"/>
        <v>车位类型</v>
      </c>
      <c r="R32" s="773" t="s">
        <v>17</v>
      </c>
      <c r="S32" s="774">
        <f t="shared" si="12"/>
        <v>100</v>
      </c>
      <c r="T32" s="773" t="s">
        <v>17</v>
      </c>
      <c r="U32" s="774">
        <f t="shared" si="13"/>
        <v>100</v>
      </c>
      <c r="V32" s="773" t="s">
        <v>17</v>
      </c>
      <c r="W32" s="774">
        <f t="shared" si="14"/>
        <v>100</v>
      </c>
      <c r="X32" s="1811"/>
      <c r="Y32" s="3246" t="s">
        <v>2564</v>
      </c>
      <c r="Z32" s="1812" t="str">
        <f t="shared" si="15"/>
        <v>车位类型</v>
      </c>
      <c r="AA32" s="1809">
        <f t="shared" si="3"/>
        <v>1</v>
      </c>
      <c r="AB32" s="1809">
        <f t="shared" si="4"/>
        <v>1</v>
      </c>
      <c r="AC32" s="1809">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6"/>
      <c r="Q33" s="1808" t="str">
        <f t="shared" si="11"/>
        <v>是否直接入户</v>
      </c>
      <c r="R33" s="773" t="s">
        <v>17</v>
      </c>
      <c r="S33" s="774">
        <f t="shared" si="12"/>
        <v>100</v>
      </c>
      <c r="T33" s="773" t="s">
        <v>17</v>
      </c>
      <c r="U33" s="774">
        <f t="shared" si="13"/>
        <v>100</v>
      </c>
      <c r="V33" s="773" t="s">
        <v>17</v>
      </c>
      <c r="W33" s="774">
        <f t="shared" si="14"/>
        <v>100</v>
      </c>
      <c r="X33" s="1811"/>
      <c r="Y33" s="3246"/>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6"/>
      <c r="Q34" s="1808">
        <f t="shared" si="11"/>
        <v>111</v>
      </c>
      <c r="R34" s="773" t="s">
        <v>17</v>
      </c>
      <c r="S34" s="774">
        <f t="shared" si="12"/>
        <v>100</v>
      </c>
      <c r="T34" s="773" t="s">
        <v>17</v>
      </c>
      <c r="U34" s="774">
        <f t="shared" si="13"/>
        <v>100</v>
      </c>
      <c r="V34" s="773" t="s">
        <v>17</v>
      </c>
      <c r="W34" s="774">
        <f t="shared" si="14"/>
        <v>100</v>
      </c>
      <c r="X34" s="1811"/>
      <c r="Y34" s="3246"/>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6"/>
      <c r="Q35" s="775">
        <f t="shared" si="11"/>
        <v>111</v>
      </c>
      <c r="R35" s="776" t="s">
        <v>17</v>
      </c>
      <c r="S35" s="777">
        <f t="shared" si="12"/>
        <v>100</v>
      </c>
      <c r="T35" s="776" t="s">
        <v>17</v>
      </c>
      <c r="U35" s="777">
        <f t="shared" si="13"/>
        <v>100</v>
      </c>
      <c r="V35" s="776" t="s">
        <v>17</v>
      </c>
      <c r="W35" s="777">
        <f t="shared" si="14"/>
        <v>100</v>
      </c>
      <c r="X35" s="778"/>
      <c r="Y35" s="3246"/>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6"/>
      <c r="Q36" s="1808">
        <f t="shared" si="11"/>
        <v>111</v>
      </c>
      <c r="R36" s="773" t="s">
        <v>17</v>
      </c>
      <c r="S36" s="774">
        <f t="shared" si="12"/>
        <v>100</v>
      </c>
      <c r="T36" s="773" t="s">
        <v>17</v>
      </c>
      <c r="U36" s="774">
        <f t="shared" si="13"/>
        <v>100</v>
      </c>
      <c r="V36" s="773" t="s">
        <v>17</v>
      </c>
      <c r="W36" s="774">
        <f t="shared" si="14"/>
        <v>100</v>
      </c>
      <c r="X36" s="1811"/>
      <c r="Y36" s="3246"/>
      <c r="Z36" s="1812">
        <f t="shared" si="15"/>
        <v>111</v>
      </c>
      <c r="AA36" s="1809">
        <f t="shared" si="3"/>
        <v>1</v>
      </c>
      <c r="AB36" s="1809">
        <f t="shared" si="4"/>
        <v>1</v>
      </c>
      <c r="AC36" s="1809">
        <f t="shared" si="5"/>
        <v>1</v>
      </c>
    </row>
    <row r="37" spans="1:29" ht="15">
      <c r="A37" s="478" t="s">
        <v>2719</v>
      </c>
      <c r="B37" s="2695" t="s">
        <v>2720</v>
      </c>
      <c r="C37" s="1405" t="s">
        <v>1</v>
      </c>
      <c r="D37" s="1406"/>
      <c r="E37" s="1407"/>
      <c r="F37" s="1408"/>
      <c r="G37" s="1409"/>
      <c r="H37" s="1410"/>
      <c r="I37" s="1407"/>
      <c r="J37" s="1410"/>
      <c r="K37" s="618"/>
      <c r="L37" s="1142"/>
      <c r="M37" s="1143"/>
      <c r="N37" s="1130"/>
      <c r="O37" s="1143"/>
      <c r="P37" s="3228" t="str">
        <f>A37</f>
        <v>成交单价</v>
      </c>
      <c r="Q37" s="3228"/>
      <c r="R37" s="3284">
        <f>E37</f>
        <v>0</v>
      </c>
      <c r="S37" s="3284"/>
      <c r="T37" s="3284">
        <f>G37</f>
        <v>0</v>
      </c>
      <c r="U37" s="3284"/>
      <c r="V37" s="3284">
        <f>I37</f>
        <v>0</v>
      </c>
      <c r="W37" s="3284"/>
      <c r="X37" s="758"/>
      <c r="Y37" s="780"/>
      <c r="Z37" s="758"/>
      <c r="AA37" s="758"/>
      <c r="AB37" s="758"/>
      <c r="AC37" s="758"/>
    </row>
    <row r="38" spans="1:29" ht="15.75" thickBot="1">
      <c r="A38" s="485" t="s">
        <v>2721</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28" t="str">
        <f>A38</f>
        <v>比较价值（元/平方米）</v>
      </c>
      <c r="Q38" s="3228"/>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758"/>
      <c r="Y38" s="758"/>
      <c r="Z38" s="758"/>
      <c r="AA38" s="758"/>
      <c r="AB38" s="758"/>
      <c r="AC38" s="758"/>
    </row>
    <row r="39" spans="1:29" ht="15.75" thickBot="1">
      <c r="A39" s="491" t="s">
        <v>2722</v>
      </c>
      <c r="B39" s="492"/>
      <c r="C39" s="1415" t="e">
        <f>R39</f>
        <v>#DIV/0!</v>
      </c>
      <c r="D39" s="1415"/>
      <c r="E39" s="1415"/>
      <c r="F39" s="1415"/>
      <c r="G39" s="1415"/>
      <c r="H39" s="1415"/>
      <c r="I39" s="1415"/>
      <c r="J39" s="1415"/>
      <c r="K39" s="620"/>
      <c r="L39" s="1142"/>
      <c r="M39" s="1143"/>
      <c r="N39" s="1143"/>
      <c r="O39" s="1143"/>
      <c r="P39" s="3248" t="str">
        <f>A39</f>
        <v>估价对象XX用房的比较价值（楼面单价，元/平方米）</v>
      </c>
      <c r="Q39" s="3249"/>
      <c r="R39" s="3283" t="e">
        <f>IF(F1="售价",ROUND(AVERAGE(R38:V38),0),ROUND(AVERAGE(R38:V38),1))</f>
        <v>#DIV/0!</v>
      </c>
      <c r="S39" s="3283"/>
      <c r="T39" s="3283"/>
      <c r="U39" s="3283"/>
      <c r="V39" s="3283"/>
      <c r="W39" s="328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2726</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2727</v>
      </c>
      <c r="B48" s="505"/>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2549</v>
      </c>
      <c r="B51" s="509"/>
      <c r="C51" s="521" t="s">
        <v>2651</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2587</v>
      </c>
      <c r="B53" s="527" t="s">
        <v>2553</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2562</v>
      </c>
      <c r="B79" s="527" t="s">
        <v>2729</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2615</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2734</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2329</v>
      </c>
      <c r="B2" s="1416" t="e">
        <f ca="1">IF(C2="——",ROUND(C37*D3/10000,0),ROUND(C37*D3/10000,0)-D2)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9" t="s">
        <v>2645</v>
      </c>
      <c r="D4" s="3230"/>
      <c r="E4" s="3231" t="s">
        <v>2646</v>
      </c>
      <c r="F4" s="3232"/>
      <c r="G4" s="3229" t="s">
        <v>2647</v>
      </c>
      <c r="H4" s="3230"/>
      <c r="I4" s="3229" t="s">
        <v>2648</v>
      </c>
      <c r="J4" s="3230"/>
      <c r="K4" s="609" t="s">
        <v>2649</v>
      </c>
      <c r="L4" s="1129"/>
      <c r="M4" s="1130"/>
      <c r="N4" s="1130"/>
      <c r="O4" s="1130"/>
      <c r="P4" s="3233" t="s">
        <v>2650</v>
      </c>
      <c r="Q4" s="3234"/>
      <c r="R4" s="3216" t="s">
        <v>2646</v>
      </c>
      <c r="S4" s="3217"/>
      <c r="T4" s="3216" t="s">
        <v>2647</v>
      </c>
      <c r="U4" s="3217"/>
      <c r="V4" s="3241" t="s">
        <v>2648</v>
      </c>
      <c r="W4" s="3241"/>
      <c r="X4" s="1811"/>
      <c r="Y4" s="3216" t="s">
        <v>2650</v>
      </c>
      <c r="Z4" s="3217"/>
      <c r="AA4" s="3211" t="s">
        <v>2646</v>
      </c>
      <c r="AB4" s="3212" t="s">
        <v>2647</v>
      </c>
      <c r="AC4" s="3211" t="s">
        <v>2648</v>
      </c>
    </row>
    <row r="5" spans="1:29" ht="15">
      <c r="A5" s="403"/>
      <c r="B5" s="404"/>
      <c r="C5" s="3222" t="s">
        <v>2541</v>
      </c>
      <c r="D5" s="3223"/>
      <c r="E5" s="3220" t="s">
        <v>2542</v>
      </c>
      <c r="F5" s="3221"/>
      <c r="G5" s="3222" t="s">
        <v>2543</v>
      </c>
      <c r="H5" s="3223"/>
      <c r="I5" s="3222" t="s">
        <v>2544</v>
      </c>
      <c r="J5" s="3223"/>
      <c r="K5" s="609"/>
      <c r="L5" s="1129"/>
      <c r="M5" s="1130"/>
      <c r="N5" s="1130"/>
      <c r="O5" s="1130"/>
      <c r="P5" s="3235"/>
      <c r="Q5" s="3236"/>
      <c r="R5" s="3218"/>
      <c r="S5" s="3219"/>
      <c r="T5" s="3218"/>
      <c r="U5" s="3219"/>
      <c r="V5" s="3241"/>
      <c r="W5" s="3241"/>
      <c r="X5" s="1811"/>
      <c r="Y5" s="3218"/>
      <c r="Z5" s="3219"/>
      <c r="AA5" s="3212"/>
      <c r="AB5" s="3212"/>
      <c r="AC5" s="3212"/>
    </row>
    <row r="6" spans="1:29" ht="15.75" thickBot="1">
      <c r="A6" s="405"/>
      <c r="B6" s="406"/>
      <c r="C6" s="3224" t="s">
        <v>2545</v>
      </c>
      <c r="D6" s="3225"/>
      <c r="E6" s="3226" t="s">
        <v>2545</v>
      </c>
      <c r="F6" s="3227"/>
      <c r="G6" s="3224" t="s">
        <v>2545</v>
      </c>
      <c r="H6" s="3225"/>
      <c r="I6" s="3224" t="s">
        <v>2545</v>
      </c>
      <c r="J6" s="3225"/>
      <c r="K6" s="609" t="s">
        <v>2546</v>
      </c>
      <c r="L6" s="1129"/>
      <c r="M6" s="1130"/>
      <c r="N6" s="1130"/>
      <c r="O6" s="1130"/>
      <c r="P6" s="3237"/>
      <c r="Q6" s="3238"/>
      <c r="R6" s="3218"/>
      <c r="S6" s="3219"/>
      <c r="T6" s="3239"/>
      <c r="U6" s="3240"/>
      <c r="V6" s="3241"/>
      <c r="W6" s="3241"/>
      <c r="X6" s="1811"/>
      <c r="Y6" s="3239"/>
      <c r="Z6" s="3240"/>
      <c r="AA6" s="3213"/>
      <c r="AB6" s="3213"/>
      <c r="AC6" s="3213"/>
    </row>
    <row r="7" spans="1:29" s="117" customFormat="1" ht="15.75" thickBot="1">
      <c r="A7" s="407" t="s">
        <v>2547</v>
      </c>
      <c r="B7" s="408"/>
      <c r="C7" s="409">
        <f>'数据-取费表'!B2</f>
        <v>43714</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14" t="s">
        <v>2548</v>
      </c>
      <c r="Q7" s="3242"/>
      <c r="R7" s="769" t="s">
        <v>17</v>
      </c>
      <c r="S7" s="770">
        <f t="shared" ref="S7:S14" si="0">F7</f>
        <v>0</v>
      </c>
      <c r="T7" s="769" t="s">
        <v>17</v>
      </c>
      <c r="U7" s="770">
        <f t="shared" ref="U7:U14" si="1">H7</f>
        <v>0</v>
      </c>
      <c r="V7" s="769" t="s">
        <v>17</v>
      </c>
      <c r="W7" s="770">
        <f t="shared" ref="W7:W14" si="2">J7</f>
        <v>0</v>
      </c>
      <c r="X7" s="771"/>
      <c r="Y7" s="3214" t="s">
        <v>2548</v>
      </c>
      <c r="Z7" s="3215"/>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4" t="s">
        <v>2551</v>
      </c>
      <c r="Q8" s="3215"/>
      <c r="R8" s="769" t="s">
        <v>17</v>
      </c>
      <c r="S8" s="770">
        <f t="shared" si="0"/>
        <v>0</v>
      </c>
      <c r="T8" s="769" t="s">
        <v>17</v>
      </c>
      <c r="U8" s="770">
        <f t="shared" si="1"/>
        <v>0</v>
      </c>
      <c r="V8" s="769" t="s">
        <v>17</v>
      </c>
      <c r="W8" s="770">
        <f t="shared" si="2"/>
        <v>0</v>
      </c>
      <c r="X8" s="771"/>
      <c r="Y8" s="3214" t="s">
        <v>2551</v>
      </c>
      <c r="Z8" s="3215"/>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28" t="s">
        <v>2554</v>
      </c>
      <c r="Q9" s="1793" t="str">
        <f t="shared" ref="Q9:Q14" si="6">B9</f>
        <v>用途</v>
      </c>
      <c r="R9" s="769" t="s">
        <v>17</v>
      </c>
      <c r="S9" s="770">
        <f t="shared" si="0"/>
        <v>100</v>
      </c>
      <c r="T9" s="769" t="s">
        <v>17</v>
      </c>
      <c r="U9" s="770">
        <f t="shared" si="1"/>
        <v>100</v>
      </c>
      <c r="V9" s="769" t="s">
        <v>17</v>
      </c>
      <c r="W9" s="770">
        <f t="shared" si="2"/>
        <v>100</v>
      </c>
      <c r="X9" s="771"/>
      <c r="Y9" s="3079"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28"/>
      <c r="Q10" s="1793"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28"/>
      <c r="Q11" s="1793">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28"/>
      <c r="Q12" s="1793">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28"/>
      <c r="Q13" s="1793">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85.5">
      <c r="A14" s="439" t="s">
        <v>2558</v>
      </c>
      <c r="B14" s="69" t="s">
        <v>2708</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3" t="s">
        <v>2559</v>
      </c>
      <c r="Q14" s="1808" t="str">
        <f t="shared" si="6"/>
        <v>交通便捷度</v>
      </c>
      <c r="R14" s="773" t="s">
        <v>17</v>
      </c>
      <c r="S14" s="774">
        <f t="shared" si="0"/>
        <v>100</v>
      </c>
      <c r="T14" s="773" t="s">
        <v>17</v>
      </c>
      <c r="U14" s="774">
        <f t="shared" si="1"/>
        <v>100</v>
      </c>
      <c r="V14" s="773" t="s">
        <v>17</v>
      </c>
      <c r="W14" s="774">
        <f t="shared" si="2"/>
        <v>100</v>
      </c>
      <c r="X14" s="1811"/>
      <c r="Y14" s="3243" t="s">
        <v>2559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44"/>
      <c r="Q15" s="1808"/>
      <c r="R15" s="773"/>
      <c r="S15" s="774"/>
      <c r="T15" s="773"/>
      <c r="U15" s="774"/>
      <c r="V15" s="773"/>
      <c r="W15" s="774"/>
      <c r="X15" s="1811"/>
      <c r="Y15" s="3244"/>
      <c r="Z15" s="1812"/>
      <c r="AA15" s="1809">
        <v>1</v>
      </c>
      <c r="AB15" s="1809">
        <v>1</v>
      </c>
      <c r="AC15" s="1809">
        <v>1</v>
      </c>
    </row>
    <row r="16" spans="1:29" ht="42.75">
      <c r="A16" s="427"/>
      <c r="B16" s="450" t="s">
        <v>2687</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4"/>
      <c r="Q16" s="1808" t="str">
        <f>B16</f>
        <v>公共配套设施</v>
      </c>
      <c r="R16" s="773" t="s">
        <v>17</v>
      </c>
      <c r="S16" s="774">
        <f>F16</f>
        <v>100</v>
      </c>
      <c r="T16" s="773" t="s">
        <v>17</v>
      </c>
      <c r="U16" s="774">
        <f>H16</f>
        <v>100</v>
      </c>
      <c r="V16" s="773" t="s">
        <v>17</v>
      </c>
      <c r="W16" s="774">
        <f>J16</f>
        <v>100</v>
      </c>
      <c r="X16" s="1811"/>
      <c r="Y16" s="3244"/>
      <c r="Z16" s="1812" t="str">
        <f>Q16</f>
        <v>公共配套设施</v>
      </c>
      <c r="AA16" s="1809">
        <f t="shared" si="3"/>
        <v>1</v>
      </c>
      <c r="AB16" s="1809">
        <f t="shared" si="4"/>
        <v>1</v>
      </c>
      <c r="AC16" s="1809">
        <f t="shared" si="5"/>
        <v>1</v>
      </c>
    </row>
    <row r="17" spans="1:29" ht="15">
      <c r="A17" s="427"/>
      <c r="B17" s="455"/>
      <c r="C17" s="2608"/>
      <c r="D17" s="447"/>
      <c r="E17" s="446"/>
      <c r="F17" s="448"/>
      <c r="G17" s="446"/>
      <c r="H17" s="447"/>
      <c r="I17" s="446"/>
      <c r="J17" s="447"/>
      <c r="K17" s="614"/>
      <c r="L17" s="1139"/>
      <c r="M17" s="1130"/>
      <c r="N17" s="1130"/>
      <c r="O17" s="1138"/>
      <c r="P17" s="3244"/>
      <c r="Q17" s="1808"/>
      <c r="R17" s="773"/>
      <c r="S17" s="774"/>
      <c r="T17" s="773"/>
      <c r="U17" s="774"/>
      <c r="V17" s="773"/>
      <c r="W17" s="774"/>
      <c r="X17" s="1811"/>
      <c r="Y17" s="3244"/>
      <c r="Z17" s="1812"/>
      <c r="AA17" s="1809">
        <v>1</v>
      </c>
      <c r="AB17" s="1809">
        <v>1</v>
      </c>
      <c r="AC17" s="1809">
        <v>1</v>
      </c>
    </row>
    <row r="18" spans="1:29" ht="28.5">
      <c r="A18" s="427"/>
      <c r="B18" s="1383" t="s">
        <v>2688</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4"/>
      <c r="Q18" s="1808" t="str">
        <f>B18</f>
        <v>基础设施水平</v>
      </c>
      <c r="R18" s="773" t="s">
        <v>17</v>
      </c>
      <c r="S18" s="774">
        <f>F18</f>
        <v>100</v>
      </c>
      <c r="T18" s="773" t="s">
        <v>17</v>
      </c>
      <c r="U18" s="774">
        <f>H18</f>
        <v>100</v>
      </c>
      <c r="V18" s="773" t="s">
        <v>17</v>
      </c>
      <c r="W18" s="774">
        <f>J18</f>
        <v>100</v>
      </c>
      <c r="X18" s="1811"/>
      <c r="Y18" s="3244"/>
      <c r="Z18" s="1812" t="str">
        <f>Q18</f>
        <v>基础设施水平</v>
      </c>
      <c r="AA18" s="1809">
        <f t="shared" ref="AA18" si="8">D18/F18</f>
        <v>1</v>
      </c>
      <c r="AB18" s="1809">
        <f t="shared" ref="AB18" si="9">D18/H18</f>
        <v>1</v>
      </c>
      <c r="AC18" s="1809">
        <f t="shared" ref="AC18" si="10">D18/J18</f>
        <v>1</v>
      </c>
    </row>
    <row r="19" spans="1:29" ht="15">
      <c r="A19" s="427"/>
      <c r="B19" s="1383"/>
      <c r="C19" s="2608"/>
      <c r="D19" s="449"/>
      <c r="E19" s="2608"/>
      <c r="F19" s="452"/>
      <c r="G19" s="2608"/>
      <c r="H19" s="447"/>
      <c r="I19" s="446"/>
      <c r="J19" s="447"/>
      <c r="K19" s="1382"/>
      <c r="L19" s="1139"/>
      <c r="M19" s="1130"/>
      <c r="N19" s="1130"/>
      <c r="O19" s="1138"/>
      <c r="P19" s="3244"/>
      <c r="Q19" s="1808"/>
      <c r="R19" s="773"/>
      <c r="S19" s="774"/>
      <c r="T19" s="773"/>
      <c r="U19" s="774"/>
      <c r="V19" s="773"/>
      <c r="W19" s="774"/>
      <c r="X19" s="1811"/>
      <c r="Y19" s="3244"/>
      <c r="Z19" s="1812"/>
      <c r="AA19" s="1809">
        <v>1</v>
      </c>
      <c r="AB19" s="1809">
        <v>1</v>
      </c>
      <c r="AC19" s="1809">
        <v>1</v>
      </c>
    </row>
    <row r="20" spans="1:29" ht="57">
      <c r="A20" s="427"/>
      <c r="B20" s="450" t="s">
        <v>2709</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4"/>
      <c r="Q20" s="1808" t="str">
        <f>B20</f>
        <v>自然及人文环境</v>
      </c>
      <c r="R20" s="773" t="s">
        <v>17</v>
      </c>
      <c r="S20" s="774">
        <f>F20</f>
        <v>100</v>
      </c>
      <c r="T20" s="773" t="s">
        <v>17</v>
      </c>
      <c r="U20" s="774">
        <f>H20</f>
        <v>100</v>
      </c>
      <c r="V20" s="773" t="s">
        <v>17</v>
      </c>
      <c r="W20" s="774">
        <f>J20</f>
        <v>100</v>
      </c>
      <c r="X20" s="1811"/>
      <c r="Y20" s="3244"/>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44"/>
      <c r="Q21" s="1808"/>
      <c r="R21" s="773"/>
      <c r="S21" s="774"/>
      <c r="T21" s="773"/>
      <c r="U21" s="774"/>
      <c r="V21" s="773"/>
      <c r="W21" s="774"/>
      <c r="X21" s="1811"/>
      <c r="Y21" s="3244"/>
      <c r="Z21" s="1812"/>
      <c r="AA21" s="1809">
        <v>1</v>
      </c>
      <c r="AB21" s="1809">
        <v>1</v>
      </c>
      <c r="AC21" s="1809">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4"/>
      <c r="Q22" s="1808" t="str">
        <f>B22</f>
        <v>楼层</v>
      </c>
      <c r="R22" s="773" t="s">
        <v>17</v>
      </c>
      <c r="S22" s="774">
        <f>F22</f>
        <v>100</v>
      </c>
      <c r="T22" s="773" t="s">
        <v>17</v>
      </c>
      <c r="U22" s="774">
        <f>H22</f>
        <v>100</v>
      </c>
      <c r="V22" s="773" t="s">
        <v>17</v>
      </c>
      <c r="W22" s="774">
        <f>J22</f>
        <v>100</v>
      </c>
      <c r="X22" s="1811"/>
      <c r="Y22" s="3244"/>
      <c r="Z22" s="1812" t="str">
        <f>Q22</f>
        <v>楼层</v>
      </c>
      <c r="AA22" s="1809">
        <f t="shared" si="3"/>
        <v>1</v>
      </c>
      <c r="AB22" s="1809">
        <f t="shared" si="4"/>
        <v>1</v>
      </c>
      <c r="AC22" s="1809">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4"/>
      <c r="Q23" s="1808">
        <f>B23</f>
        <v>111</v>
      </c>
      <c r="R23" s="773" t="s">
        <v>17</v>
      </c>
      <c r="S23" s="774">
        <f>F23</f>
        <v>100</v>
      </c>
      <c r="T23" s="773" t="s">
        <v>17</v>
      </c>
      <c r="U23" s="774">
        <f>H23</f>
        <v>100</v>
      </c>
      <c r="V23" s="773" t="s">
        <v>17</v>
      </c>
      <c r="W23" s="774">
        <f>J23</f>
        <v>100</v>
      </c>
      <c r="X23" s="1811"/>
      <c r="Y23" s="3244"/>
      <c r="Z23" s="1812">
        <f>Q23</f>
        <v>111</v>
      </c>
      <c r="AA23" s="1809">
        <f t="shared" si="3"/>
        <v>1</v>
      </c>
      <c r="AB23" s="1809">
        <f t="shared" si="4"/>
        <v>1</v>
      </c>
      <c r="AC23" s="1809">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4"/>
      <c r="Q24" s="1808">
        <f t="shared" ref="Q24:Q34" si="11">B24</f>
        <v>111</v>
      </c>
      <c r="R24" s="773" t="s">
        <v>17</v>
      </c>
      <c r="S24" s="774">
        <f>F24</f>
        <v>100</v>
      </c>
      <c r="T24" s="773" t="s">
        <v>17</v>
      </c>
      <c r="U24" s="774">
        <f>H24</f>
        <v>100</v>
      </c>
      <c r="V24" s="773" t="s">
        <v>17</v>
      </c>
      <c r="W24" s="774">
        <f>J24</f>
        <v>100</v>
      </c>
      <c r="X24" s="1811"/>
      <c r="Y24" s="3244"/>
      <c r="Z24" s="1812">
        <f>Q24</f>
        <v>111</v>
      </c>
      <c r="AA24" s="1809">
        <f t="shared" si="3"/>
        <v>1</v>
      </c>
      <c r="AB24" s="1809">
        <f t="shared" si="4"/>
        <v>1</v>
      </c>
      <c r="AC24" s="1809">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44"/>
      <c r="Q25" s="1793">
        <f t="shared" si="11"/>
        <v>111</v>
      </c>
      <c r="R25" s="769" t="s">
        <v>17</v>
      </c>
      <c r="S25" s="770">
        <f>F25</f>
        <v>100</v>
      </c>
      <c r="T25" s="769" t="s">
        <v>17</v>
      </c>
      <c r="U25" s="770">
        <f>H25</f>
        <v>100</v>
      </c>
      <c r="V25" s="769" t="s">
        <v>17</v>
      </c>
      <c r="W25" s="770">
        <f>J25</f>
        <v>100</v>
      </c>
      <c r="X25" s="771"/>
      <c r="Y25" s="3244"/>
      <c r="Z25" s="55">
        <f>Q25</f>
        <v>111</v>
      </c>
      <c r="AA25" s="1809">
        <f>D25/F25</f>
        <v>1</v>
      </c>
      <c r="AB25" s="1809">
        <f>D25/H25</f>
        <v>1</v>
      </c>
      <c r="AC25" s="1809">
        <f>D25/J25</f>
        <v>1</v>
      </c>
    </row>
    <row r="26" spans="1:29" ht="28.5">
      <c r="A26" s="465" t="s">
        <v>2562</v>
      </c>
      <c r="B26" s="71" t="s">
        <v>2713</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45" t="s">
        <v>2564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6" t="s">
        <v>2564</v>
      </c>
      <c r="Z26" s="1812" t="str">
        <f t="shared" ref="Z26:Z34" si="15">Q26</f>
        <v>公共部分装修</v>
      </c>
      <c r="AA26" s="1809">
        <f t="shared" si="3"/>
        <v>1</v>
      </c>
      <c r="AB26" s="1809">
        <f t="shared" si="4"/>
        <v>1</v>
      </c>
      <c r="AC26" s="1809">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6"/>
      <c r="Q27" s="775" t="str">
        <f t="shared" si="11"/>
        <v>成新率</v>
      </c>
      <c r="R27" s="776" t="s">
        <v>17</v>
      </c>
      <c r="S27" s="777" t="e">
        <f t="shared" si="12"/>
        <v>#N/A</v>
      </c>
      <c r="T27" s="776" t="s">
        <v>17</v>
      </c>
      <c r="U27" s="777" t="e">
        <f t="shared" si="13"/>
        <v>#N/A</v>
      </c>
      <c r="V27" s="776" t="s">
        <v>17</v>
      </c>
      <c r="W27" s="777" t="e">
        <f t="shared" si="14"/>
        <v>#N/A</v>
      </c>
      <c r="X27" s="778"/>
      <c r="Y27" s="3246"/>
      <c r="Z27" s="779" t="str">
        <f t="shared" si="15"/>
        <v>成新率</v>
      </c>
      <c r="AA27" s="1809" t="e">
        <f t="shared" si="3"/>
        <v>#N/A</v>
      </c>
      <c r="AB27" s="1809" t="e">
        <f t="shared" si="4"/>
        <v>#N/A</v>
      </c>
      <c r="AC27" s="1809"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6"/>
      <c r="Q28" s="1808" t="str">
        <f t="shared" si="11"/>
        <v>物业等级</v>
      </c>
      <c r="R28" s="773" t="s">
        <v>17</v>
      </c>
      <c r="S28" s="774">
        <f t="shared" si="12"/>
        <v>100</v>
      </c>
      <c r="T28" s="773" t="s">
        <v>17</v>
      </c>
      <c r="U28" s="774">
        <f t="shared" si="13"/>
        <v>100</v>
      </c>
      <c r="V28" s="773" t="s">
        <v>17</v>
      </c>
      <c r="W28" s="774">
        <f t="shared" si="14"/>
        <v>100</v>
      </c>
      <c r="X28" s="1811"/>
      <c r="Y28" s="3246"/>
      <c r="Z28" s="1812" t="str">
        <f t="shared" si="15"/>
        <v>物业等级</v>
      </c>
      <c r="AA28" s="1809">
        <f t="shared" si="3"/>
        <v>1</v>
      </c>
      <c r="AB28" s="1809">
        <f t="shared" si="4"/>
        <v>1</v>
      </c>
      <c r="AC28" s="1809">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46"/>
      <c r="Q29" s="1808" t="str">
        <f t="shared" si="11"/>
        <v>有无电梯</v>
      </c>
      <c r="R29" s="773" t="s">
        <v>17</v>
      </c>
      <c r="S29" s="774">
        <f t="shared" si="12"/>
        <v>100</v>
      </c>
      <c r="T29" s="773" t="s">
        <v>17</v>
      </c>
      <c r="U29" s="774">
        <f t="shared" si="13"/>
        <v>100</v>
      </c>
      <c r="V29" s="773" t="s">
        <v>17</v>
      </c>
      <c r="W29" s="774">
        <f t="shared" si="14"/>
        <v>100</v>
      </c>
      <c r="X29" s="1811"/>
      <c r="Y29" s="3246"/>
      <c r="Z29" s="1812" t="str">
        <f t="shared" si="15"/>
        <v>有无电梯</v>
      </c>
      <c r="AA29" s="1809">
        <f t="shared" si="3"/>
        <v>1</v>
      </c>
      <c r="AB29" s="1809">
        <f t="shared" si="4"/>
        <v>1</v>
      </c>
      <c r="AC29" s="1809">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6"/>
      <c r="Q30" s="1808" t="str">
        <f t="shared" si="11"/>
        <v>建筑面积</v>
      </c>
      <c r="R30" s="773" t="s">
        <v>17</v>
      </c>
      <c r="S30" s="774" t="e">
        <f t="shared" si="12"/>
        <v>#N/A</v>
      </c>
      <c r="T30" s="773" t="s">
        <v>17</v>
      </c>
      <c r="U30" s="774" t="e">
        <f t="shared" si="13"/>
        <v>#N/A</v>
      </c>
      <c r="V30" s="773" t="s">
        <v>17</v>
      </c>
      <c r="W30" s="774" t="e">
        <f t="shared" si="14"/>
        <v>#N/A</v>
      </c>
      <c r="X30" s="1811"/>
      <c r="Y30" s="3246"/>
      <c r="Z30" s="1812" t="str">
        <f t="shared" si="15"/>
        <v>建筑面积</v>
      </c>
      <c r="AA30" s="1809" t="e">
        <f t="shared" si="3"/>
        <v>#N/A</v>
      </c>
      <c r="AB30" s="1809" t="e">
        <f t="shared" si="4"/>
        <v>#N/A</v>
      </c>
      <c r="AC30" s="1809"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46"/>
      <c r="Q31" s="1793" t="str">
        <f t="shared" si="11"/>
        <v>是否封闭</v>
      </c>
      <c r="R31" s="769" t="s">
        <v>17</v>
      </c>
      <c r="S31" s="770">
        <f t="shared" si="12"/>
        <v>100</v>
      </c>
      <c r="T31" s="769" t="s">
        <v>17</v>
      </c>
      <c r="U31" s="770">
        <f t="shared" si="13"/>
        <v>100</v>
      </c>
      <c r="V31" s="769" t="s">
        <v>17</v>
      </c>
      <c r="W31" s="770">
        <f t="shared" si="14"/>
        <v>100</v>
      </c>
      <c r="X31" s="771"/>
      <c r="Y31" s="3246"/>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6" t="s">
        <v>2564</v>
      </c>
      <c r="Q32" s="1808">
        <f t="shared" si="11"/>
        <v>111</v>
      </c>
      <c r="R32" s="773" t="s">
        <v>17</v>
      </c>
      <c r="S32" s="774">
        <f t="shared" si="12"/>
        <v>100</v>
      </c>
      <c r="T32" s="773" t="s">
        <v>17</v>
      </c>
      <c r="U32" s="774">
        <f t="shared" si="13"/>
        <v>100</v>
      </c>
      <c r="V32" s="773" t="s">
        <v>17</v>
      </c>
      <c r="W32" s="774">
        <f t="shared" si="14"/>
        <v>100</v>
      </c>
      <c r="X32" s="1811"/>
      <c r="Y32" s="3246" t="s">
        <v>2564</v>
      </c>
      <c r="Z32" s="1812">
        <f t="shared" si="15"/>
        <v>111</v>
      </c>
      <c r="AA32" s="1809">
        <f t="shared" si="3"/>
        <v>1</v>
      </c>
      <c r="AB32" s="1809">
        <f t="shared" si="4"/>
        <v>1</v>
      </c>
      <c r="AC32" s="1809">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6"/>
      <c r="Q33" s="1808">
        <f t="shared" si="11"/>
        <v>111</v>
      </c>
      <c r="R33" s="773" t="s">
        <v>17</v>
      </c>
      <c r="S33" s="774">
        <f t="shared" si="12"/>
        <v>100</v>
      </c>
      <c r="T33" s="773" t="s">
        <v>17</v>
      </c>
      <c r="U33" s="774">
        <f t="shared" si="13"/>
        <v>100</v>
      </c>
      <c r="V33" s="773" t="s">
        <v>17</v>
      </c>
      <c r="W33" s="774">
        <f t="shared" si="14"/>
        <v>100</v>
      </c>
      <c r="X33" s="1811"/>
      <c r="Y33" s="3246"/>
      <c r="Z33" s="1812">
        <f t="shared" si="15"/>
        <v>111</v>
      </c>
      <c r="AA33" s="1809">
        <f t="shared" si="3"/>
        <v>1</v>
      </c>
      <c r="AB33" s="1809">
        <f t="shared" si="4"/>
        <v>1</v>
      </c>
      <c r="AC33" s="1809">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46"/>
      <c r="Q34" s="1808">
        <f t="shared" si="11"/>
        <v>111</v>
      </c>
      <c r="R34" s="773" t="s">
        <v>17</v>
      </c>
      <c r="S34" s="774">
        <f t="shared" si="12"/>
        <v>100</v>
      </c>
      <c r="T34" s="773" t="s">
        <v>17</v>
      </c>
      <c r="U34" s="774">
        <f t="shared" si="13"/>
        <v>100</v>
      </c>
      <c r="V34" s="773" t="s">
        <v>17</v>
      </c>
      <c r="W34" s="774">
        <f t="shared" si="14"/>
        <v>100</v>
      </c>
      <c r="X34" s="1811"/>
      <c r="Y34" s="3246"/>
      <c r="Z34" s="1812">
        <f t="shared" si="15"/>
        <v>111</v>
      </c>
      <c r="AA34" s="1809">
        <f t="shared" si="3"/>
        <v>1</v>
      </c>
      <c r="AB34" s="1809">
        <f t="shared" si="4"/>
        <v>1</v>
      </c>
      <c r="AC34" s="1809">
        <f t="shared" si="5"/>
        <v>1</v>
      </c>
    </row>
    <row r="35" spans="1:29" ht="15">
      <c r="A35" s="478" t="s">
        <v>2576</v>
      </c>
      <c r="B35" s="479"/>
      <c r="C35" s="1405" t="s">
        <v>1</v>
      </c>
      <c r="D35" s="1406"/>
      <c r="E35" s="1407"/>
      <c r="F35" s="1408"/>
      <c r="G35" s="1409"/>
      <c r="H35" s="1410"/>
      <c r="I35" s="1407"/>
      <c r="J35" s="1410"/>
      <c r="K35" s="782"/>
      <c r="L35" s="1142"/>
      <c r="M35" s="1143"/>
      <c r="N35" s="1130"/>
      <c r="O35" s="1143"/>
      <c r="P35" s="3228" t="str">
        <f>A35</f>
        <v>成交单价（元/平方米）</v>
      </c>
      <c r="Q35" s="3228"/>
      <c r="R35" s="3284">
        <f>E35</f>
        <v>0</v>
      </c>
      <c r="S35" s="3284"/>
      <c r="T35" s="3284">
        <f>G35</f>
        <v>0</v>
      </c>
      <c r="U35" s="3284"/>
      <c r="V35" s="3284">
        <f>I35</f>
        <v>0</v>
      </c>
      <c r="W35" s="3284"/>
      <c r="X35" s="758"/>
      <c r="Y35" s="780"/>
      <c r="Z35" s="758"/>
      <c r="AA35" s="758"/>
      <c r="AB35" s="758"/>
      <c r="AC35" s="758"/>
    </row>
    <row r="36" spans="1:29" ht="15.75" thickBot="1">
      <c r="A36" s="485" t="s">
        <v>2668</v>
      </c>
      <c r="B36" s="486"/>
      <c r="C36" s="1411" t="e">
        <f>R37</f>
        <v>#DIV/0!</v>
      </c>
      <c r="D36" s="1412"/>
      <c r="E36" s="1413" t="e">
        <f>R36</f>
        <v>#DIV/0!</v>
      </c>
      <c r="F36" s="1413"/>
      <c r="G36" s="1411" t="e">
        <f>T36</f>
        <v>#DIV/0!</v>
      </c>
      <c r="H36" s="1412"/>
      <c r="I36" s="1413" t="e">
        <f>V36</f>
        <v>#DIV/0!</v>
      </c>
      <c r="J36" s="1412"/>
      <c r="K36" s="783"/>
      <c r="L36" s="1142"/>
      <c r="M36" s="1143"/>
      <c r="N36" s="1130"/>
      <c r="O36" s="1143"/>
      <c r="P36" s="3228" t="str">
        <f>A36</f>
        <v>比较价值（元/平方米）</v>
      </c>
      <c r="Q36" s="3228"/>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758"/>
      <c r="Y36" s="758"/>
      <c r="Z36" s="758"/>
      <c r="AA36" s="758"/>
      <c r="AB36" s="758"/>
      <c r="AC36" s="758"/>
    </row>
    <row r="37" spans="1:29" ht="15.75" thickBot="1">
      <c r="A37" s="491" t="s">
        <v>2669</v>
      </c>
      <c r="B37" s="492"/>
      <c r="C37" s="1415" t="e">
        <f>R37</f>
        <v>#DIV/0!</v>
      </c>
      <c r="D37" s="1415"/>
      <c r="E37" s="1415"/>
      <c r="F37" s="1415"/>
      <c r="G37" s="1415"/>
      <c r="H37" s="1415"/>
      <c r="I37" s="1415"/>
      <c r="J37" s="1415"/>
      <c r="K37" s="784"/>
      <c r="L37" s="1142"/>
      <c r="M37" s="1143"/>
      <c r="N37" s="1143"/>
      <c r="O37" s="1143"/>
      <c r="P37" s="3248" t="str">
        <f>A37</f>
        <v>估价对象XX用房的比较价值（楼面单价，元/平方米）</v>
      </c>
      <c r="Q37" s="3249"/>
      <c r="R37" s="3283" t="e">
        <f>IF(F1="售价",ROUND(AVERAGE(R36:V36),0),ROUND(AVERAGE(R36:V36),1))</f>
        <v>#DIV/0!</v>
      </c>
      <c r="S37" s="3283"/>
      <c r="T37" s="3283"/>
      <c r="U37" s="3283"/>
      <c r="V37" s="3283"/>
      <c r="W37" s="328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6:O11"/>
  <sheetViews>
    <sheetView workbookViewId="0">
      <selection activeCell="N11" sqref="N11"/>
    </sheetView>
  </sheetViews>
  <sheetFormatPr defaultRowHeight="13.5"/>
  <cols>
    <col min="14" max="14" width="8.5" bestFit="1" customWidth="1"/>
  </cols>
  <sheetData>
    <row r="6" spans="13:15">
      <c r="M6" s="2953" t="s">
        <v>3157</v>
      </c>
      <c r="N6" s="2953" t="s">
        <v>3158</v>
      </c>
      <c r="O6" s="2953" t="s">
        <v>3159</v>
      </c>
    </row>
    <row r="7" spans="13:15">
      <c r="M7">
        <v>1</v>
      </c>
      <c r="N7">
        <f>'比较法-商业'!C49</f>
        <v>32421</v>
      </c>
      <c r="O7">
        <v>1</v>
      </c>
    </row>
    <row r="8" spans="13:15">
      <c r="M8">
        <v>2</v>
      </c>
      <c r="N8">
        <f>ROUND(N7*O8,0)</f>
        <v>19453</v>
      </c>
      <c r="O8">
        <v>0.6</v>
      </c>
    </row>
    <row r="9" spans="13:15">
      <c r="M9">
        <v>3</v>
      </c>
      <c r="N9">
        <f>ROUND(N7*O9,0)</f>
        <v>16211</v>
      </c>
      <c r="O9">
        <v>0.5</v>
      </c>
    </row>
    <row r="10" spans="13:15">
      <c r="M10">
        <v>4</v>
      </c>
      <c r="N10">
        <f>ROUND(N7*O10,0)</f>
        <v>12968</v>
      </c>
      <c r="O10">
        <v>0.4</v>
      </c>
    </row>
    <row r="11" spans="13:15">
      <c r="N11" s="2989">
        <f>AVERAGE(N7:N10)</f>
        <v>20263.25</v>
      </c>
    </row>
  </sheetData>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D63" sqref="D6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2" t="s">
        <v>2641</v>
      </c>
      <c r="C1" s="1632" t="s">
        <v>2529</v>
      </c>
      <c r="D1" s="1619" t="s">
        <v>1373</v>
      </c>
      <c r="E1" s="2657"/>
      <c r="F1" s="2584" t="s">
        <v>3121</v>
      </c>
      <c r="G1" s="1629" t="s">
        <v>2531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7" customFormat="1" ht="28.5" customHeight="1" thickTop="1">
      <c r="A2" s="1615" t="s">
        <v>1389</v>
      </c>
      <c r="B2" s="1416" t="e">
        <f ca="1">IF(C2="——",ROUND(C49*D3/10000,0),ROUND(C49*D3/10000,0)-D2)</f>
        <v>#REF!</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1390</v>
      </c>
      <c r="B3" s="608" t="e">
        <f ca="1">IF(C2="——",C49,ROUND(B2*10000/D3,0))</f>
        <v>#REF!</v>
      </c>
      <c r="C3" s="399" t="s">
        <v>2533</v>
      </c>
      <c r="D3" s="398">
        <f>IF(D1="",'数据-汇总表'!E3,SUMIF('数据-汇总表'!$C19:$C33,D1,'数据-汇总表'!$E19:$E33))</f>
        <v>17260.72</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2534</v>
      </c>
      <c r="B4" s="401"/>
      <c r="C4" s="3229" t="s">
        <v>2535</v>
      </c>
      <c r="D4" s="3230"/>
      <c r="E4" s="3231" t="s">
        <v>2536</v>
      </c>
      <c r="F4" s="3232"/>
      <c r="G4" s="3229" t="s">
        <v>2537</v>
      </c>
      <c r="H4" s="3230"/>
      <c r="I4" s="3229" t="s">
        <v>2538</v>
      </c>
      <c r="J4" s="3230"/>
      <c r="K4" s="609" t="s">
        <v>2539</v>
      </c>
      <c r="L4" s="1129"/>
      <c r="M4" s="1130"/>
      <c r="N4" s="1130"/>
      <c r="O4" s="1130"/>
      <c r="P4" s="3233" t="s">
        <v>2540</v>
      </c>
      <c r="Q4" s="3234"/>
      <c r="R4" s="3216" t="s">
        <v>2536</v>
      </c>
      <c r="S4" s="3217"/>
      <c r="T4" s="3216" t="s">
        <v>2537</v>
      </c>
      <c r="U4" s="3217"/>
      <c r="V4" s="3241" t="s">
        <v>2538</v>
      </c>
      <c r="W4" s="3241"/>
      <c r="X4" s="2978"/>
      <c r="Y4" s="3216" t="s">
        <v>2540</v>
      </c>
      <c r="Z4" s="3217"/>
      <c r="AA4" s="3211" t="s">
        <v>2536</v>
      </c>
      <c r="AB4" s="3241" t="s">
        <v>2537</v>
      </c>
      <c r="AC4" s="3211" t="s">
        <v>2538</v>
      </c>
    </row>
    <row r="5" spans="1:29" ht="15">
      <c r="A5" s="403"/>
      <c r="B5" s="404"/>
      <c r="C5" s="3222" t="s">
        <v>2541</v>
      </c>
      <c r="D5" s="3223"/>
      <c r="E5" s="3281" t="s">
        <v>3149</v>
      </c>
      <c r="F5" s="3221"/>
      <c r="G5" s="3282" t="s">
        <v>3150</v>
      </c>
      <c r="H5" s="3223"/>
      <c r="I5" s="3282" t="s">
        <v>3151</v>
      </c>
      <c r="J5" s="3223"/>
      <c r="K5" s="609"/>
      <c r="L5" s="1129"/>
      <c r="M5" s="1130"/>
      <c r="N5" s="1130"/>
      <c r="O5" s="1130"/>
      <c r="P5" s="3235"/>
      <c r="Q5" s="3236"/>
      <c r="R5" s="3218"/>
      <c r="S5" s="3219"/>
      <c r="T5" s="3218"/>
      <c r="U5" s="3219"/>
      <c r="V5" s="3241"/>
      <c r="W5" s="3241"/>
      <c r="X5" s="2978"/>
      <c r="Y5" s="3218"/>
      <c r="Z5" s="3219"/>
      <c r="AA5" s="3212"/>
      <c r="AB5" s="3241"/>
      <c r="AC5" s="3212"/>
    </row>
    <row r="6" spans="1:29" ht="15.75" thickBot="1">
      <c r="A6" s="405"/>
      <c r="B6" s="406"/>
      <c r="C6" s="3224" t="s">
        <v>2545</v>
      </c>
      <c r="D6" s="3225"/>
      <c r="E6" s="3226" t="s">
        <v>2545</v>
      </c>
      <c r="F6" s="3227"/>
      <c r="G6" s="3224" t="s">
        <v>2545</v>
      </c>
      <c r="H6" s="3225"/>
      <c r="I6" s="3224" t="s">
        <v>2545</v>
      </c>
      <c r="J6" s="3225"/>
      <c r="K6" s="609" t="s">
        <v>2546</v>
      </c>
      <c r="L6" s="1129"/>
      <c r="M6" s="1130"/>
      <c r="N6" s="1130"/>
      <c r="O6" s="1130"/>
      <c r="P6" s="3237"/>
      <c r="Q6" s="3238"/>
      <c r="R6" s="3218"/>
      <c r="S6" s="3219"/>
      <c r="T6" s="3239"/>
      <c r="U6" s="3240"/>
      <c r="V6" s="3241"/>
      <c r="W6" s="3241"/>
      <c r="X6" s="2978"/>
      <c r="Y6" s="3239"/>
      <c r="Z6" s="3240"/>
      <c r="AA6" s="3213"/>
      <c r="AB6" s="3241"/>
      <c r="AC6" s="3213"/>
    </row>
    <row r="7" spans="1:29" s="117" customFormat="1" ht="15.75" thickBot="1">
      <c r="A7" s="407" t="s">
        <v>2547</v>
      </c>
      <c r="B7" s="408"/>
      <c r="C7" s="409">
        <f>'数据-取费表'!B2</f>
        <v>43714</v>
      </c>
      <c r="D7" s="410">
        <v>100</v>
      </c>
      <c r="E7" s="411">
        <f>C7</f>
        <v>43714</v>
      </c>
      <c r="F7" s="412">
        <f>SUMIF(58:58,YEAR(E7)&amp;"-"&amp;MONTH(E7),59:59)</f>
        <v>100</v>
      </c>
      <c r="G7" s="411">
        <f>C7</f>
        <v>43714</v>
      </c>
      <c r="H7" s="410">
        <f>SUMIF(58:58,YEAR(G7)&amp;"-"&amp;MONTH(G7),59:59)</f>
        <v>100</v>
      </c>
      <c r="I7" s="411">
        <f>C7</f>
        <v>43714</v>
      </c>
      <c r="J7" s="410">
        <f>SUMIF(58:58,YEAR(I7)&amp;"-"&amp;MONTH(I7),59:59)</f>
        <v>100</v>
      </c>
      <c r="K7" s="610"/>
      <c r="L7" s="1131"/>
      <c r="M7" s="1132"/>
      <c r="N7" s="1132"/>
      <c r="O7" s="1132"/>
      <c r="P7" s="3214" t="s">
        <v>2548</v>
      </c>
      <c r="Q7" s="3242"/>
      <c r="R7" s="769" t="s">
        <v>17</v>
      </c>
      <c r="S7" s="770">
        <f t="shared" ref="S7:S15" si="0">F7</f>
        <v>100</v>
      </c>
      <c r="T7" s="769" t="s">
        <v>17</v>
      </c>
      <c r="U7" s="770">
        <f t="shared" ref="U7:U15" si="1">H7</f>
        <v>100</v>
      </c>
      <c r="V7" s="769" t="s">
        <v>17</v>
      </c>
      <c r="W7" s="770">
        <f t="shared" ref="W7:W15" si="2">J7</f>
        <v>100</v>
      </c>
      <c r="X7" s="771"/>
      <c r="Y7" s="3214" t="s">
        <v>2548</v>
      </c>
      <c r="Z7" s="3215"/>
      <c r="AA7" s="772">
        <f>D7/F7</f>
        <v>1</v>
      </c>
      <c r="AB7" s="772">
        <f>D7/H7</f>
        <v>1</v>
      </c>
      <c r="AC7" s="772">
        <f>D7/J7</f>
        <v>1</v>
      </c>
    </row>
    <row r="8" spans="1:29" s="117" customFormat="1" ht="15.75" thickBot="1">
      <c r="A8" s="407" t="s">
        <v>2549</v>
      </c>
      <c r="B8" s="408"/>
      <c r="C8" s="413" t="s">
        <v>2586</v>
      </c>
      <c r="D8" s="410">
        <v>100</v>
      </c>
      <c r="E8" s="413" t="s">
        <v>3107</v>
      </c>
      <c r="F8" s="412">
        <f>SUMIF(61:61,E8,62:62)-SUMIF(61:61,C8,62:62)+100</f>
        <v>100</v>
      </c>
      <c r="G8" s="413" t="s">
        <v>3107</v>
      </c>
      <c r="H8" s="410">
        <f>SUMIF(61:61,G8,62:62)-SUMIF(61:61,C8,62:62)+100</f>
        <v>100</v>
      </c>
      <c r="I8" s="413" t="s">
        <v>3107</v>
      </c>
      <c r="J8" s="410">
        <f>SUMIF(61:61,I8,62:62)-SUMIF(61:61,C8,62:62)+100</f>
        <v>100</v>
      </c>
      <c r="K8" s="610"/>
      <c r="L8" s="1131"/>
      <c r="M8" s="1132"/>
      <c r="N8" s="1132"/>
      <c r="O8" s="1132"/>
      <c r="P8" s="3214" t="s">
        <v>2551</v>
      </c>
      <c r="Q8" s="3215"/>
      <c r="R8" s="769" t="s">
        <v>17</v>
      </c>
      <c r="S8" s="770">
        <f t="shared" si="0"/>
        <v>100</v>
      </c>
      <c r="T8" s="769" t="s">
        <v>17</v>
      </c>
      <c r="U8" s="770">
        <f t="shared" si="1"/>
        <v>100</v>
      </c>
      <c r="V8" s="769" t="s">
        <v>17</v>
      </c>
      <c r="W8" s="770">
        <f t="shared" si="2"/>
        <v>100</v>
      </c>
      <c r="X8" s="771"/>
      <c r="Y8" s="3214" t="s">
        <v>2551</v>
      </c>
      <c r="Z8" s="3215"/>
      <c r="AA8" s="772">
        <f t="shared" ref="AA8:AA46" si="3">D8/F8</f>
        <v>1</v>
      </c>
      <c r="AB8" s="772">
        <f t="shared" ref="AB8:AB46" si="4">D8/H8</f>
        <v>1</v>
      </c>
      <c r="AC8" s="772">
        <f t="shared" ref="AC8:AC46" si="5">D8/J8</f>
        <v>1</v>
      </c>
    </row>
    <row r="9" spans="1:29" s="117" customFormat="1">
      <c r="A9" s="414" t="s">
        <v>2552</v>
      </c>
      <c r="B9" s="71" t="s">
        <v>2553</v>
      </c>
      <c r="C9" s="2983" t="s">
        <v>3122</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252" t="s">
        <v>2554</v>
      </c>
      <c r="Q9" s="2963" t="str">
        <f t="shared" ref="Q9:Q15" si="6">B9</f>
        <v>用途</v>
      </c>
      <c r="R9" s="769" t="s">
        <v>17</v>
      </c>
      <c r="S9" s="770">
        <f t="shared" si="0"/>
        <v>100</v>
      </c>
      <c r="T9" s="769" t="s">
        <v>17</v>
      </c>
      <c r="U9" s="770">
        <f t="shared" si="1"/>
        <v>100</v>
      </c>
      <c r="V9" s="769" t="s">
        <v>17</v>
      </c>
      <c r="W9" s="770">
        <f t="shared" si="2"/>
        <v>100</v>
      </c>
      <c r="X9" s="771"/>
      <c r="Y9" s="3079" t="s">
        <v>2555</v>
      </c>
      <c r="Z9" s="2964" t="str">
        <f t="shared" ref="Z9:Z15" si="7">Q9</f>
        <v>用途</v>
      </c>
      <c r="AA9" s="772">
        <f t="shared" si="3"/>
        <v>1</v>
      </c>
      <c r="AB9" s="772">
        <f t="shared" si="4"/>
        <v>1</v>
      </c>
      <c r="AC9" s="772">
        <f t="shared" si="5"/>
        <v>1</v>
      </c>
    </row>
    <row r="10" spans="1:29" s="426" customFormat="1" ht="27">
      <c r="A10" s="420"/>
      <c r="B10" s="2969" t="s">
        <v>2556</v>
      </c>
      <c r="C10" s="422" t="s">
        <v>3123</v>
      </c>
      <c r="D10" s="135">
        <v>100</v>
      </c>
      <c r="E10" s="423" t="s">
        <v>3123</v>
      </c>
      <c r="F10" s="424">
        <f>SUMIF(65:65,E10,66:66)-SUMIF(65:65,C10,66:66)+100</f>
        <v>100</v>
      </c>
      <c r="G10" s="422" t="s">
        <v>3123</v>
      </c>
      <c r="H10" s="135">
        <f>SUMIF(65:65,G10,66:66)-SUMIF(65:65,C10,66:66)+100</f>
        <v>100</v>
      </c>
      <c r="I10" s="422" t="s">
        <v>3123</v>
      </c>
      <c r="J10" s="135">
        <f>SUMIF(65:65,I10,66:66)-SUMIF(65:65,C10,66:66)+100</f>
        <v>100</v>
      </c>
      <c r="K10" s="611">
        <v>1</v>
      </c>
      <c r="L10" s="1134"/>
      <c r="M10" s="1135"/>
      <c r="N10" s="1135"/>
      <c r="O10" s="1135"/>
      <c r="P10" s="3252"/>
      <c r="Q10" s="2963" t="str">
        <f t="shared" si="6"/>
        <v>土地使用年限（年）</v>
      </c>
      <c r="R10" s="769" t="s">
        <v>17</v>
      </c>
      <c r="S10" s="770">
        <f t="shared" si="0"/>
        <v>100</v>
      </c>
      <c r="T10" s="769" t="s">
        <v>17</v>
      </c>
      <c r="U10" s="770">
        <f t="shared" si="1"/>
        <v>100</v>
      </c>
      <c r="V10" s="769" t="s">
        <v>17</v>
      </c>
      <c r="W10" s="770">
        <f t="shared" si="2"/>
        <v>100</v>
      </c>
      <c r="X10" s="771"/>
      <c r="Y10" s="3079"/>
      <c r="Z10" s="2964" t="str">
        <f t="shared" si="7"/>
        <v>土地使用年限（年）</v>
      </c>
      <c r="AA10" s="772">
        <f t="shared" si="3"/>
        <v>1</v>
      </c>
      <c r="AB10" s="772">
        <f t="shared" si="4"/>
        <v>1</v>
      </c>
      <c r="AC10" s="772">
        <f t="shared" si="5"/>
        <v>1</v>
      </c>
    </row>
    <row r="11" spans="1:29" ht="15">
      <c r="A11" s="427"/>
      <c r="B11" s="2969" t="s">
        <v>2557</v>
      </c>
      <c r="C11" s="428">
        <f>'数据-汇总表'!I4</f>
        <v>4.12</v>
      </c>
      <c r="D11" s="135">
        <v>100</v>
      </c>
      <c r="E11" s="429">
        <v>5</v>
      </c>
      <c r="F11" s="424">
        <f>LOOKUP(E11,68:68,69:69)-LOOKUP(C11,68:68,69:69)+100</f>
        <v>98</v>
      </c>
      <c r="G11" s="428">
        <v>3.5</v>
      </c>
      <c r="H11" s="135">
        <f>LOOKUP(G11,68:68,69:69)-LOOKUP(C11,68:68,69:69)+100</f>
        <v>102</v>
      </c>
      <c r="I11" s="428">
        <v>5.5</v>
      </c>
      <c r="J11" s="135">
        <f>LOOKUP(I11,68:68,69:69)-LOOKUP(C11,68:68,69:69)+100</f>
        <v>98</v>
      </c>
      <c r="K11" s="611">
        <v>2</v>
      </c>
      <c r="L11" s="1137"/>
      <c r="M11" s="1130"/>
      <c r="N11" s="1130"/>
      <c r="O11" s="1130"/>
      <c r="P11" s="3252"/>
      <c r="Q11" s="2963" t="str">
        <f t="shared" si="6"/>
        <v>容积率</v>
      </c>
      <c r="R11" s="769" t="s">
        <v>17</v>
      </c>
      <c r="S11" s="770">
        <f t="shared" si="0"/>
        <v>98</v>
      </c>
      <c r="T11" s="769" t="s">
        <v>17</v>
      </c>
      <c r="U11" s="770">
        <f t="shared" si="1"/>
        <v>102</v>
      </c>
      <c r="V11" s="769" t="s">
        <v>17</v>
      </c>
      <c r="W11" s="770">
        <f t="shared" si="2"/>
        <v>98</v>
      </c>
      <c r="X11" s="771"/>
      <c r="Y11" s="3079"/>
      <c r="Z11" s="2964" t="str">
        <f t="shared" si="7"/>
        <v>容积率</v>
      </c>
      <c r="AA11" s="772">
        <f t="shared" si="3"/>
        <v>1.0204081632653061</v>
      </c>
      <c r="AB11" s="772">
        <f t="shared" si="4"/>
        <v>0.98039215686274506</v>
      </c>
      <c r="AC11" s="772">
        <f t="shared" si="5"/>
        <v>1.0204081632653061</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2"/>
      <c r="Q12" s="2963">
        <f t="shared" si="6"/>
        <v>111</v>
      </c>
      <c r="R12" s="769" t="s">
        <v>17</v>
      </c>
      <c r="S12" s="770">
        <f t="shared" si="0"/>
        <v>100</v>
      </c>
      <c r="T12" s="769" t="s">
        <v>17</v>
      </c>
      <c r="U12" s="770">
        <f t="shared" si="1"/>
        <v>100</v>
      </c>
      <c r="V12" s="769" t="s">
        <v>17</v>
      </c>
      <c r="W12" s="770">
        <f t="shared" si="2"/>
        <v>100</v>
      </c>
      <c r="X12" s="771"/>
      <c r="Y12" s="3079"/>
      <c r="Z12" s="2964">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2"/>
      <c r="Q13" s="2963">
        <f t="shared" si="6"/>
        <v>111</v>
      </c>
      <c r="R13" s="769" t="s">
        <v>17</v>
      </c>
      <c r="S13" s="770">
        <f t="shared" si="0"/>
        <v>100</v>
      </c>
      <c r="T13" s="769" t="s">
        <v>17</v>
      </c>
      <c r="U13" s="770">
        <f t="shared" si="1"/>
        <v>100</v>
      </c>
      <c r="V13" s="769" t="s">
        <v>17</v>
      </c>
      <c r="W13" s="770">
        <f t="shared" si="2"/>
        <v>100</v>
      </c>
      <c r="X13" s="771"/>
      <c r="Y13" s="3079"/>
      <c r="Z13" s="2964">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2"/>
      <c r="Q14" s="2963">
        <f t="shared" si="6"/>
        <v>111</v>
      </c>
      <c r="R14" s="769" t="s">
        <v>17</v>
      </c>
      <c r="S14" s="770">
        <f t="shared" si="0"/>
        <v>100</v>
      </c>
      <c r="T14" s="769" t="s">
        <v>17</v>
      </c>
      <c r="U14" s="770">
        <f t="shared" si="1"/>
        <v>100</v>
      </c>
      <c r="V14" s="769" t="s">
        <v>17</v>
      </c>
      <c r="W14" s="770">
        <f t="shared" si="2"/>
        <v>100</v>
      </c>
      <c r="X14" s="771"/>
      <c r="Y14" s="3079"/>
      <c r="Z14" s="2964">
        <f t="shared" si="7"/>
        <v>111</v>
      </c>
      <c r="AA14" s="772">
        <f t="shared" si="3"/>
        <v>1</v>
      </c>
      <c r="AB14" s="772">
        <f t="shared" si="4"/>
        <v>1</v>
      </c>
      <c r="AC14" s="772">
        <f t="shared" si="5"/>
        <v>1</v>
      </c>
    </row>
    <row r="15" spans="1:29" ht="71.25">
      <c r="A15" s="439" t="s">
        <v>2558</v>
      </c>
      <c r="B15" s="69" t="s">
        <v>2652</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89" t="s">
        <v>2559</v>
      </c>
      <c r="Q15" s="2976" t="str">
        <f t="shared" si="6"/>
        <v>商业繁华度</v>
      </c>
      <c r="R15" s="773" t="s">
        <v>17</v>
      </c>
      <c r="S15" s="774">
        <f t="shared" si="0"/>
        <v>100</v>
      </c>
      <c r="T15" s="773" t="s">
        <v>17</v>
      </c>
      <c r="U15" s="774">
        <f t="shared" si="1"/>
        <v>100</v>
      </c>
      <c r="V15" s="773" t="s">
        <v>17</v>
      </c>
      <c r="W15" s="774">
        <f t="shared" si="2"/>
        <v>100</v>
      </c>
      <c r="X15" s="2978"/>
      <c r="Y15" s="3243" t="s">
        <v>2559</v>
      </c>
      <c r="Z15" s="2979" t="str">
        <f t="shared" si="7"/>
        <v>商业繁华度</v>
      </c>
      <c r="AA15" s="2977">
        <f t="shared" si="3"/>
        <v>1</v>
      </c>
      <c r="AB15" s="2977">
        <f t="shared" si="4"/>
        <v>1</v>
      </c>
      <c r="AC15" s="2977">
        <f t="shared" si="5"/>
        <v>1</v>
      </c>
    </row>
    <row r="16" spans="1:29" ht="15">
      <c r="A16" s="427"/>
      <c r="B16" s="445"/>
      <c r="C16" s="446" t="s">
        <v>3110</v>
      </c>
      <c r="D16" s="447"/>
      <c r="E16" s="446" t="s">
        <v>3110</v>
      </c>
      <c r="F16" s="448"/>
      <c r="G16" s="446" t="s">
        <v>3110</v>
      </c>
      <c r="H16" s="449"/>
      <c r="I16" s="446" t="s">
        <v>3110</v>
      </c>
      <c r="J16" s="447"/>
      <c r="K16" s="614"/>
      <c r="L16" s="1139"/>
      <c r="M16" s="1130"/>
      <c r="N16" s="1130"/>
      <c r="O16" s="1130"/>
      <c r="P16" s="3290"/>
      <c r="Q16" s="2976"/>
      <c r="R16" s="773"/>
      <c r="S16" s="774"/>
      <c r="T16" s="773"/>
      <c r="U16" s="774"/>
      <c r="V16" s="773"/>
      <c r="W16" s="774"/>
      <c r="X16" s="2978"/>
      <c r="Y16" s="3244"/>
      <c r="Z16" s="2979"/>
      <c r="AA16" s="2977">
        <v>1</v>
      </c>
      <c r="AB16" s="2977">
        <v>1</v>
      </c>
      <c r="AC16" s="2977">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90"/>
      <c r="Q17" s="2976" t="str">
        <f>B17</f>
        <v>交通便捷度</v>
      </c>
      <c r="R17" s="773" t="s">
        <v>17</v>
      </c>
      <c r="S17" s="774">
        <f>F17</f>
        <v>100</v>
      </c>
      <c r="T17" s="773" t="s">
        <v>17</v>
      </c>
      <c r="U17" s="774">
        <f>H17</f>
        <v>100</v>
      </c>
      <c r="V17" s="773" t="s">
        <v>17</v>
      </c>
      <c r="W17" s="774">
        <f>J17</f>
        <v>100</v>
      </c>
      <c r="X17" s="2978"/>
      <c r="Y17" s="3244"/>
      <c r="Z17" s="2979" t="str">
        <f>Q17</f>
        <v>交通便捷度</v>
      </c>
      <c r="AA17" s="2977">
        <f t="shared" si="3"/>
        <v>1</v>
      </c>
      <c r="AB17" s="2977">
        <f t="shared" si="4"/>
        <v>1</v>
      </c>
      <c r="AC17" s="2977">
        <f t="shared" si="5"/>
        <v>1</v>
      </c>
    </row>
    <row r="18" spans="1:29" ht="15">
      <c r="A18" s="427"/>
      <c r="B18" s="455"/>
      <c r="C18" s="2608" t="s">
        <v>3110</v>
      </c>
      <c r="D18" s="449"/>
      <c r="E18" s="2610" t="s">
        <v>3110</v>
      </c>
      <c r="F18" s="452"/>
      <c r="G18" s="2609" t="s">
        <v>3110</v>
      </c>
      <c r="H18" s="447"/>
      <c r="I18" s="2610" t="s">
        <v>3110</v>
      </c>
      <c r="J18" s="447"/>
      <c r="K18" s="614"/>
      <c r="L18" s="1139"/>
      <c r="M18" s="1130"/>
      <c r="N18" s="1130"/>
      <c r="O18" s="1130"/>
      <c r="P18" s="3290"/>
      <c r="Q18" s="2976"/>
      <c r="R18" s="773"/>
      <c r="S18" s="774"/>
      <c r="T18" s="773"/>
      <c r="U18" s="774"/>
      <c r="V18" s="773"/>
      <c r="W18" s="774"/>
      <c r="X18" s="2978"/>
      <c r="Y18" s="3244"/>
      <c r="Z18" s="2979"/>
      <c r="AA18" s="2977">
        <v>1</v>
      </c>
      <c r="AB18" s="2977">
        <v>1</v>
      </c>
      <c r="AC18" s="2977">
        <v>1</v>
      </c>
    </row>
    <row r="19" spans="1:29" ht="42.75">
      <c r="A19" s="427"/>
      <c r="B19" s="450" t="s">
        <v>2653</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90"/>
      <c r="Q19" s="2976" t="str">
        <f>B19</f>
        <v>公共配套设施</v>
      </c>
      <c r="R19" s="773" t="s">
        <v>17</v>
      </c>
      <c r="S19" s="774">
        <f>F19</f>
        <v>100</v>
      </c>
      <c r="T19" s="773" t="s">
        <v>17</v>
      </c>
      <c r="U19" s="774">
        <f>H19</f>
        <v>100</v>
      </c>
      <c r="V19" s="773" t="s">
        <v>17</v>
      </c>
      <c r="W19" s="774">
        <f>J19</f>
        <v>100</v>
      </c>
      <c r="X19" s="2978"/>
      <c r="Y19" s="3244"/>
      <c r="Z19" s="2979" t="str">
        <f>Q19</f>
        <v>公共配套设施</v>
      </c>
      <c r="AA19" s="2977">
        <f t="shared" si="3"/>
        <v>1</v>
      </c>
      <c r="AB19" s="2977">
        <f t="shared" si="4"/>
        <v>1</v>
      </c>
      <c r="AC19" s="2977">
        <f t="shared" si="5"/>
        <v>1</v>
      </c>
    </row>
    <row r="20" spans="1:29" ht="15">
      <c r="A20" s="427"/>
      <c r="B20" s="455"/>
      <c r="C20" s="446" t="s">
        <v>3110</v>
      </c>
      <c r="D20" s="447"/>
      <c r="E20" s="2605" t="s">
        <v>3110</v>
      </c>
      <c r="F20" s="448"/>
      <c r="G20" s="2604" t="s">
        <v>3110</v>
      </c>
      <c r="H20" s="447"/>
      <c r="I20" s="2605" t="s">
        <v>3110</v>
      </c>
      <c r="J20" s="447"/>
      <c r="K20" s="614"/>
      <c r="L20" s="1139"/>
      <c r="M20" s="1130"/>
      <c r="N20" s="1130"/>
      <c r="O20" s="1130"/>
      <c r="P20" s="3290"/>
      <c r="Q20" s="2976"/>
      <c r="R20" s="773"/>
      <c r="S20" s="774"/>
      <c r="T20" s="773"/>
      <c r="U20" s="774"/>
      <c r="V20" s="773"/>
      <c r="W20" s="774"/>
      <c r="X20" s="2978"/>
      <c r="Y20" s="3244"/>
      <c r="Z20" s="2979"/>
      <c r="AA20" s="2977">
        <v>1</v>
      </c>
      <c r="AB20" s="2977">
        <v>1</v>
      </c>
      <c r="AC20" s="2977">
        <v>1</v>
      </c>
    </row>
    <row r="21" spans="1:29" ht="28.5">
      <c r="A21" s="427"/>
      <c r="B21" s="1383" t="s">
        <v>2654</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90"/>
      <c r="Q21" s="2976" t="str">
        <f>B21</f>
        <v>基础设施水平</v>
      </c>
      <c r="R21" s="773" t="s">
        <v>17</v>
      </c>
      <c r="S21" s="774">
        <f>F21</f>
        <v>100</v>
      </c>
      <c r="T21" s="773" t="s">
        <v>17</v>
      </c>
      <c r="U21" s="774">
        <f>H21</f>
        <v>100</v>
      </c>
      <c r="V21" s="773" t="s">
        <v>17</v>
      </c>
      <c r="W21" s="774">
        <f>J21</f>
        <v>100</v>
      </c>
      <c r="X21" s="2978"/>
      <c r="Y21" s="3244"/>
      <c r="Z21" s="2979" t="str">
        <f>Q21</f>
        <v>基础设施水平</v>
      </c>
      <c r="AA21" s="2977">
        <f t="shared" ref="AA21" si="8">D21/F21</f>
        <v>1</v>
      </c>
      <c r="AB21" s="2977">
        <f t="shared" ref="AB21" si="9">D21/H21</f>
        <v>1</v>
      </c>
      <c r="AC21" s="2977">
        <f t="shared" ref="AC21" si="10">D21/J21</f>
        <v>1</v>
      </c>
    </row>
    <row r="22" spans="1:29" ht="15">
      <c r="A22" s="427"/>
      <c r="B22" s="1383"/>
      <c r="C22" s="2608" t="s">
        <v>3112</v>
      </c>
      <c r="D22" s="447"/>
      <c r="E22" s="446" t="s">
        <v>3112</v>
      </c>
      <c r="F22" s="448"/>
      <c r="G22" s="446" t="s">
        <v>3112</v>
      </c>
      <c r="H22" s="447"/>
      <c r="I22" s="446" t="s">
        <v>3112</v>
      </c>
      <c r="J22" s="447"/>
      <c r="K22" s="1382"/>
      <c r="L22" s="1139"/>
      <c r="M22" s="1130"/>
      <c r="N22" s="1130"/>
      <c r="O22" s="1130"/>
      <c r="P22" s="3290"/>
      <c r="Q22" s="2976"/>
      <c r="R22" s="773"/>
      <c r="S22" s="774"/>
      <c r="T22" s="773"/>
      <c r="U22" s="774"/>
      <c r="V22" s="773"/>
      <c r="W22" s="774"/>
      <c r="X22" s="2978"/>
      <c r="Y22" s="3244"/>
      <c r="Z22" s="2979"/>
      <c r="AA22" s="2977">
        <v>1</v>
      </c>
      <c r="AB22" s="2977">
        <v>1</v>
      </c>
      <c r="AC22" s="2977">
        <v>1</v>
      </c>
    </row>
    <row r="23" spans="1:29" ht="57">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90"/>
      <c r="Q23" s="2976" t="str">
        <f>B23</f>
        <v>自然及人文环境</v>
      </c>
      <c r="R23" s="773" t="s">
        <v>17</v>
      </c>
      <c r="S23" s="774">
        <f>F23</f>
        <v>100</v>
      </c>
      <c r="T23" s="773" t="s">
        <v>17</v>
      </c>
      <c r="U23" s="774">
        <f>H23</f>
        <v>100</v>
      </c>
      <c r="V23" s="773" t="s">
        <v>17</v>
      </c>
      <c r="W23" s="774">
        <f>J23</f>
        <v>100</v>
      </c>
      <c r="X23" s="2978"/>
      <c r="Y23" s="3244"/>
      <c r="Z23" s="2979" t="str">
        <f>Q23</f>
        <v>自然及人文环境</v>
      </c>
      <c r="AA23" s="2977">
        <f t="shared" si="3"/>
        <v>1</v>
      </c>
      <c r="AB23" s="2977">
        <f t="shared" si="4"/>
        <v>1</v>
      </c>
      <c r="AC23" s="2977">
        <f t="shared" si="5"/>
        <v>1</v>
      </c>
    </row>
    <row r="24" spans="1:29" ht="15">
      <c r="A24" s="427"/>
      <c r="B24" s="455"/>
      <c r="C24" s="446" t="s">
        <v>3110</v>
      </c>
      <c r="D24" s="447"/>
      <c r="E24" s="2605" t="s">
        <v>3110</v>
      </c>
      <c r="F24" s="448"/>
      <c r="G24" s="2604" t="s">
        <v>3110</v>
      </c>
      <c r="H24" s="447"/>
      <c r="I24" s="2605" t="s">
        <v>3110</v>
      </c>
      <c r="J24" s="447"/>
      <c r="K24" s="614"/>
      <c r="L24" s="1139"/>
      <c r="M24" s="1130"/>
      <c r="N24" s="1130"/>
      <c r="O24" s="1130"/>
      <c r="P24" s="3290"/>
      <c r="Q24" s="2976"/>
      <c r="R24" s="773"/>
      <c r="S24" s="774"/>
      <c r="T24" s="773"/>
      <c r="U24" s="774"/>
      <c r="V24" s="773"/>
      <c r="W24" s="774"/>
      <c r="X24" s="2978"/>
      <c r="Y24" s="3244"/>
      <c r="Z24" s="2979"/>
      <c r="AA24" s="2977">
        <v>1</v>
      </c>
      <c r="AB24" s="2977">
        <v>1</v>
      </c>
      <c r="AC24" s="2977">
        <v>1</v>
      </c>
    </row>
    <row r="25" spans="1:29" ht="15">
      <c r="A25" s="427"/>
      <c r="B25" s="2969"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90"/>
      <c r="Q25" s="2976" t="str">
        <f t="shared" ref="Q25:Q46" si="11">B25</f>
        <v>临街状况</v>
      </c>
      <c r="R25" s="773" t="s">
        <v>17</v>
      </c>
      <c r="S25" s="774">
        <f>F25</f>
        <v>100</v>
      </c>
      <c r="T25" s="773" t="s">
        <v>17</v>
      </c>
      <c r="U25" s="774">
        <f>H25</f>
        <v>100</v>
      </c>
      <c r="V25" s="773" t="s">
        <v>17</v>
      </c>
      <c r="W25" s="774">
        <f>J25</f>
        <v>100</v>
      </c>
      <c r="X25" s="2978"/>
      <c r="Y25" s="3244"/>
      <c r="Z25" s="2979" t="str">
        <f>Q25</f>
        <v>临街状况</v>
      </c>
      <c r="AA25" s="2977">
        <f t="shared" si="3"/>
        <v>1</v>
      </c>
      <c r="AB25" s="2977">
        <f t="shared" si="4"/>
        <v>1</v>
      </c>
      <c r="AC25" s="2977">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90"/>
      <c r="Q26" s="2976" t="str">
        <f t="shared" si="11"/>
        <v>平面位置/可视性</v>
      </c>
      <c r="R26" s="773" t="s">
        <v>17</v>
      </c>
      <c r="S26" s="774">
        <f>F26</f>
        <v>100</v>
      </c>
      <c r="T26" s="773" t="s">
        <v>17</v>
      </c>
      <c r="U26" s="774">
        <f>H26</f>
        <v>100</v>
      </c>
      <c r="V26" s="773" t="s">
        <v>17</v>
      </c>
      <c r="W26" s="774">
        <f>J26</f>
        <v>100</v>
      </c>
      <c r="X26" s="2978"/>
      <c r="Y26" s="3244"/>
      <c r="Z26" s="2979" t="str">
        <f>Q26</f>
        <v>平面位置/可视性</v>
      </c>
      <c r="AA26" s="2977">
        <f t="shared" si="3"/>
        <v>1</v>
      </c>
      <c r="AB26" s="2977">
        <f t="shared" si="4"/>
        <v>1</v>
      </c>
      <c r="AC26" s="2977">
        <f t="shared" si="5"/>
        <v>1</v>
      </c>
    </row>
    <row r="27" spans="1:29" s="117" customFormat="1" ht="15">
      <c r="A27" s="430"/>
      <c r="B27" s="450" t="s">
        <v>2657</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290"/>
      <c r="Q27" s="2963" t="str">
        <f t="shared" si="11"/>
        <v>人流量</v>
      </c>
      <c r="R27" s="769" t="s">
        <v>17</v>
      </c>
      <c r="S27" s="770">
        <f>F27</f>
        <v>100</v>
      </c>
      <c r="T27" s="769" t="s">
        <v>17</v>
      </c>
      <c r="U27" s="770">
        <f>H27</f>
        <v>100</v>
      </c>
      <c r="V27" s="769" t="s">
        <v>17</v>
      </c>
      <c r="W27" s="770">
        <f>J27</f>
        <v>100</v>
      </c>
      <c r="X27" s="771"/>
      <c r="Y27" s="3244"/>
      <c r="Z27" s="2964" t="str">
        <f>Q27</f>
        <v>人流量</v>
      </c>
      <c r="AA27" s="2977">
        <f>D27/F27</f>
        <v>1</v>
      </c>
      <c r="AB27" s="2977">
        <f>D27/H27</f>
        <v>1</v>
      </c>
      <c r="AC27" s="2977">
        <f>D27/J27</f>
        <v>1</v>
      </c>
    </row>
    <row r="28" spans="1:29" ht="15">
      <c r="A28" s="427"/>
      <c r="B28" s="2969"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90"/>
      <c r="Q28" s="2976" t="str">
        <f t="shared" si="11"/>
        <v>楼层</v>
      </c>
      <c r="R28" s="773" t="s">
        <v>17</v>
      </c>
      <c r="S28" s="774">
        <f t="shared" ref="S28:S46" si="12">F28</f>
        <v>100</v>
      </c>
      <c r="T28" s="773" t="s">
        <v>17</v>
      </c>
      <c r="U28" s="774">
        <f t="shared" ref="U28:U46" si="13">H28</f>
        <v>100</v>
      </c>
      <c r="V28" s="773" t="s">
        <v>17</v>
      </c>
      <c r="W28" s="774">
        <f t="shared" ref="W28:W46" si="14">J28</f>
        <v>100</v>
      </c>
      <c r="X28" s="2978"/>
      <c r="Y28" s="3244"/>
      <c r="Z28" s="2979" t="str">
        <f t="shared" ref="Z28:Z46" si="15">Q28</f>
        <v>楼层</v>
      </c>
      <c r="AA28" s="2977">
        <f t="shared" si="3"/>
        <v>1</v>
      </c>
      <c r="AB28" s="2977">
        <f t="shared" si="4"/>
        <v>1</v>
      </c>
      <c r="AC28" s="2977">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90"/>
      <c r="Q29" s="2976">
        <f t="shared" si="11"/>
        <v>111</v>
      </c>
      <c r="R29" s="773" t="s">
        <v>17</v>
      </c>
      <c r="S29" s="774">
        <f t="shared" si="12"/>
        <v>100</v>
      </c>
      <c r="T29" s="773" t="s">
        <v>17</v>
      </c>
      <c r="U29" s="774">
        <f t="shared" si="13"/>
        <v>100</v>
      </c>
      <c r="V29" s="773" t="s">
        <v>17</v>
      </c>
      <c r="W29" s="774">
        <f t="shared" si="14"/>
        <v>100</v>
      </c>
      <c r="X29" s="2978"/>
      <c r="Y29" s="3244"/>
      <c r="Z29" s="2979">
        <f t="shared" si="15"/>
        <v>111</v>
      </c>
      <c r="AA29" s="2977">
        <f t="shared" si="3"/>
        <v>1</v>
      </c>
      <c r="AB29" s="2977">
        <f t="shared" si="4"/>
        <v>1</v>
      </c>
      <c r="AC29" s="2977">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90"/>
      <c r="Q30" s="2976">
        <f t="shared" si="11"/>
        <v>111</v>
      </c>
      <c r="R30" s="773" t="s">
        <v>17</v>
      </c>
      <c r="S30" s="774">
        <f t="shared" si="12"/>
        <v>100</v>
      </c>
      <c r="T30" s="773" t="s">
        <v>17</v>
      </c>
      <c r="U30" s="774">
        <f t="shared" si="13"/>
        <v>100</v>
      </c>
      <c r="V30" s="773" t="s">
        <v>17</v>
      </c>
      <c r="W30" s="774">
        <f t="shared" si="14"/>
        <v>100</v>
      </c>
      <c r="X30" s="2978"/>
      <c r="Y30" s="3244"/>
      <c r="Z30" s="2979">
        <f t="shared" si="15"/>
        <v>111</v>
      </c>
      <c r="AA30" s="2977">
        <f t="shared" si="3"/>
        <v>1</v>
      </c>
      <c r="AB30" s="2977">
        <f t="shared" si="4"/>
        <v>1</v>
      </c>
      <c r="AC30" s="2977">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90"/>
      <c r="Q31" s="2976">
        <f t="shared" si="11"/>
        <v>111</v>
      </c>
      <c r="R31" s="773" t="s">
        <v>17</v>
      </c>
      <c r="S31" s="774">
        <f t="shared" si="12"/>
        <v>100</v>
      </c>
      <c r="T31" s="773" t="s">
        <v>17</v>
      </c>
      <c r="U31" s="774">
        <f t="shared" si="13"/>
        <v>100</v>
      </c>
      <c r="V31" s="773" t="s">
        <v>17</v>
      </c>
      <c r="W31" s="774">
        <f t="shared" si="14"/>
        <v>100</v>
      </c>
      <c r="X31" s="2978"/>
      <c r="Y31" s="3244"/>
      <c r="Z31" s="2979">
        <f t="shared" si="15"/>
        <v>111</v>
      </c>
      <c r="AA31" s="2977">
        <f t="shared" si="3"/>
        <v>1</v>
      </c>
      <c r="AB31" s="2977">
        <f t="shared" si="4"/>
        <v>1</v>
      </c>
      <c r="AC31" s="2977">
        <f t="shared" si="5"/>
        <v>1</v>
      </c>
    </row>
    <row r="32" spans="1:29" ht="15">
      <c r="A32" s="439" t="s">
        <v>2562</v>
      </c>
      <c r="B32" s="71" t="s">
        <v>2659</v>
      </c>
      <c r="C32" s="2617" t="s">
        <v>3105</v>
      </c>
      <c r="D32" s="466">
        <v>100</v>
      </c>
      <c r="E32" s="2617" t="s">
        <v>3105</v>
      </c>
      <c r="F32" s="460">
        <f>SUMIF(100:100,E32,101:101)-SUMIF(100:100,C32,101:101)+100</f>
        <v>100</v>
      </c>
      <c r="G32" s="2617" t="s">
        <v>3105</v>
      </c>
      <c r="H32" s="434">
        <f>SUMIF(100:100,G32,101:101)-SUMIF(100:100,C32,101:101)+100</f>
        <v>100</v>
      </c>
      <c r="I32" s="2617" t="s">
        <v>3105</v>
      </c>
      <c r="J32" s="466">
        <f>SUMIF(100:100,I32,101:101)-SUMIF(100:100,C32,101:101)+100</f>
        <v>100</v>
      </c>
      <c r="K32" s="611"/>
      <c r="L32" s="1139"/>
      <c r="M32" s="1130"/>
      <c r="N32" s="1130"/>
      <c r="O32" s="1130"/>
      <c r="P32" s="3285" t="s">
        <v>2564</v>
      </c>
      <c r="Q32" s="2976" t="str">
        <f t="shared" si="11"/>
        <v>商业类型</v>
      </c>
      <c r="R32" s="773" t="s">
        <v>17</v>
      </c>
      <c r="S32" s="774">
        <f t="shared" si="12"/>
        <v>100</v>
      </c>
      <c r="T32" s="773" t="s">
        <v>17</v>
      </c>
      <c r="U32" s="774">
        <f t="shared" si="13"/>
        <v>100</v>
      </c>
      <c r="V32" s="773" t="s">
        <v>17</v>
      </c>
      <c r="W32" s="774">
        <f t="shared" si="14"/>
        <v>100</v>
      </c>
      <c r="X32" s="2978"/>
      <c r="Y32" s="3246" t="s">
        <v>2564</v>
      </c>
      <c r="Z32" s="2979" t="str">
        <f t="shared" si="15"/>
        <v>商业类型</v>
      </c>
      <c r="AA32" s="2977">
        <f t="shared" si="3"/>
        <v>1</v>
      </c>
      <c r="AB32" s="2977">
        <f t="shared" si="4"/>
        <v>1</v>
      </c>
      <c r="AC32" s="2977">
        <f t="shared" si="5"/>
        <v>1</v>
      </c>
    </row>
    <row r="33" spans="1:29" s="470" customFormat="1" ht="15">
      <c r="A33" s="467"/>
      <c r="B33" s="2969" t="s">
        <v>2565</v>
      </c>
      <c r="C33" s="468">
        <f>'数据-基础表'!B3</f>
        <v>255265.94</v>
      </c>
      <c r="D33" s="135">
        <v>100</v>
      </c>
      <c r="E33" s="2988">
        <v>39000</v>
      </c>
      <c r="F33" s="424">
        <f>LOOKUP(E33,103:103,104:104)-LOOKUP(C33,103:103,104:104)+100</f>
        <v>95</v>
      </c>
      <c r="G33" s="2987">
        <v>14788</v>
      </c>
      <c r="H33" s="135">
        <f>LOOKUP(G33,103:103,104:104)-LOOKUP(C33,103:103,104:104)+100</f>
        <v>95</v>
      </c>
      <c r="I33" s="2987">
        <v>226000</v>
      </c>
      <c r="J33" s="135">
        <f>LOOKUP(I33,103:103,104:104)-LOOKUP(C33,103:103,104:104)+100</f>
        <v>99</v>
      </c>
      <c r="K33" s="612"/>
      <c r="L33" s="1137"/>
      <c r="M33" s="1140"/>
      <c r="N33" s="1140"/>
      <c r="O33" s="1140"/>
      <c r="P33" s="3286"/>
      <c r="Q33" s="775" t="str">
        <f t="shared" si="11"/>
        <v>项目建筑规模</v>
      </c>
      <c r="R33" s="776" t="s">
        <v>17</v>
      </c>
      <c r="S33" s="777">
        <f t="shared" si="12"/>
        <v>95</v>
      </c>
      <c r="T33" s="776" t="s">
        <v>17</v>
      </c>
      <c r="U33" s="777">
        <f t="shared" si="13"/>
        <v>95</v>
      </c>
      <c r="V33" s="776" t="s">
        <v>17</v>
      </c>
      <c r="W33" s="777">
        <f t="shared" si="14"/>
        <v>99</v>
      </c>
      <c r="X33" s="778"/>
      <c r="Y33" s="3246"/>
      <c r="Z33" s="779" t="str">
        <f t="shared" si="15"/>
        <v>项目建筑规模</v>
      </c>
      <c r="AA33" s="2977">
        <f t="shared" si="3"/>
        <v>1.0526315789473684</v>
      </c>
      <c r="AB33" s="2977">
        <f t="shared" si="4"/>
        <v>1.0526315789473684</v>
      </c>
      <c r="AC33" s="2977">
        <f t="shared" si="5"/>
        <v>1.0101010101010102</v>
      </c>
    </row>
    <row r="34" spans="1:29" ht="15">
      <c r="A34" s="471"/>
      <c r="B34" s="2969" t="s">
        <v>2566</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286"/>
      <c r="Q34" s="2976" t="str">
        <f t="shared" si="11"/>
        <v>建筑结构</v>
      </c>
      <c r="R34" s="773" t="s">
        <v>17</v>
      </c>
      <c r="S34" s="774">
        <f t="shared" si="12"/>
        <v>100</v>
      </c>
      <c r="T34" s="773" t="s">
        <v>17</v>
      </c>
      <c r="U34" s="774">
        <f t="shared" si="13"/>
        <v>100</v>
      </c>
      <c r="V34" s="773" t="s">
        <v>17</v>
      </c>
      <c r="W34" s="774">
        <f t="shared" si="14"/>
        <v>100</v>
      </c>
      <c r="X34" s="2978"/>
      <c r="Y34" s="3246"/>
      <c r="Z34" s="2979" t="str">
        <f t="shared" si="15"/>
        <v>建筑结构</v>
      </c>
      <c r="AA34" s="2977">
        <f t="shared" si="3"/>
        <v>1</v>
      </c>
      <c r="AB34" s="2977">
        <f t="shared" si="4"/>
        <v>1</v>
      </c>
      <c r="AC34" s="2977">
        <f t="shared" si="5"/>
        <v>1</v>
      </c>
    </row>
    <row r="35" spans="1:29" ht="15">
      <c r="A35" s="471"/>
      <c r="B35" s="2969" t="s">
        <v>2660</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286"/>
      <c r="Q35" s="2976" t="str">
        <f t="shared" si="11"/>
        <v>公共部分装修</v>
      </c>
      <c r="R35" s="773" t="s">
        <v>17</v>
      </c>
      <c r="S35" s="774">
        <f t="shared" si="12"/>
        <v>100</v>
      </c>
      <c r="T35" s="773" t="s">
        <v>17</v>
      </c>
      <c r="U35" s="774">
        <f t="shared" si="13"/>
        <v>100</v>
      </c>
      <c r="V35" s="773" t="s">
        <v>17</v>
      </c>
      <c r="W35" s="774">
        <f t="shared" si="14"/>
        <v>100</v>
      </c>
      <c r="X35" s="2978"/>
      <c r="Y35" s="3246"/>
      <c r="Z35" s="2979" t="str">
        <f t="shared" si="15"/>
        <v>公共部分装修</v>
      </c>
      <c r="AA35" s="2977">
        <f t="shared" si="3"/>
        <v>1</v>
      </c>
      <c r="AB35" s="2977">
        <f t="shared" si="4"/>
        <v>1</v>
      </c>
      <c r="AC35" s="2977">
        <f t="shared" si="5"/>
        <v>1</v>
      </c>
    </row>
    <row r="36" spans="1:29" ht="15">
      <c r="A36" s="471"/>
      <c r="B36" s="2969" t="s">
        <v>2661</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9"/>
      <c r="M36" s="1130"/>
      <c r="N36" s="1130"/>
      <c r="O36" s="1130"/>
      <c r="P36" s="3286"/>
      <c r="Q36" s="2976" t="str">
        <f t="shared" si="11"/>
        <v>成新度</v>
      </c>
      <c r="R36" s="773" t="s">
        <v>17</v>
      </c>
      <c r="S36" s="774">
        <f t="shared" si="12"/>
        <v>100</v>
      </c>
      <c r="T36" s="773" t="s">
        <v>17</v>
      </c>
      <c r="U36" s="774">
        <f t="shared" si="13"/>
        <v>100</v>
      </c>
      <c r="V36" s="773" t="s">
        <v>17</v>
      </c>
      <c r="W36" s="774">
        <f t="shared" si="14"/>
        <v>100</v>
      </c>
      <c r="X36" s="2978"/>
      <c r="Y36" s="3246"/>
      <c r="Z36" s="2979" t="str">
        <f t="shared" si="15"/>
        <v>成新度</v>
      </c>
      <c r="AA36" s="2977">
        <f t="shared" si="3"/>
        <v>1</v>
      </c>
      <c r="AB36" s="2977">
        <f t="shared" si="4"/>
        <v>1</v>
      </c>
      <c r="AC36" s="2977">
        <f t="shared" si="5"/>
        <v>1</v>
      </c>
    </row>
    <row r="37" spans="1:29" s="117" customFormat="1" ht="15">
      <c r="A37" s="472"/>
      <c r="B37" s="2969" t="s">
        <v>2662</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286"/>
      <c r="Q37" s="2963" t="str">
        <f t="shared" si="11"/>
        <v>市政基础设施</v>
      </c>
      <c r="R37" s="769" t="s">
        <v>17</v>
      </c>
      <c r="S37" s="770">
        <f t="shared" si="12"/>
        <v>100</v>
      </c>
      <c r="T37" s="769" t="s">
        <v>17</v>
      </c>
      <c r="U37" s="770">
        <f t="shared" si="13"/>
        <v>100</v>
      </c>
      <c r="V37" s="769" t="s">
        <v>17</v>
      </c>
      <c r="W37" s="770">
        <f t="shared" si="14"/>
        <v>100</v>
      </c>
      <c r="X37" s="771"/>
      <c r="Y37" s="3246"/>
      <c r="Z37" s="2964" t="str">
        <f t="shared" si="15"/>
        <v>市政基础设施</v>
      </c>
      <c r="AA37" s="772">
        <f t="shared" si="3"/>
        <v>1</v>
      </c>
      <c r="AB37" s="772">
        <f t="shared" si="4"/>
        <v>1</v>
      </c>
      <c r="AC37" s="772">
        <f t="shared" si="5"/>
        <v>1</v>
      </c>
    </row>
    <row r="38" spans="1:29" ht="15">
      <c r="A38" s="471"/>
      <c r="B38" s="2969" t="s">
        <v>2663</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v>5</v>
      </c>
      <c r="L38" s="1139"/>
      <c r="M38" s="1130"/>
      <c r="N38" s="1130"/>
      <c r="O38" s="1130"/>
      <c r="P38" s="3286" t="s">
        <v>2564</v>
      </c>
      <c r="Q38" s="2976" t="str">
        <f t="shared" si="11"/>
        <v>业态</v>
      </c>
      <c r="R38" s="773" t="s">
        <v>17</v>
      </c>
      <c r="S38" s="774">
        <f t="shared" si="12"/>
        <v>100</v>
      </c>
      <c r="T38" s="773" t="s">
        <v>17</v>
      </c>
      <c r="U38" s="774">
        <f t="shared" si="13"/>
        <v>100</v>
      </c>
      <c r="V38" s="773" t="s">
        <v>17</v>
      </c>
      <c r="W38" s="774">
        <f t="shared" si="14"/>
        <v>100</v>
      </c>
      <c r="X38" s="2978"/>
      <c r="Y38" s="3246" t="s">
        <v>2564</v>
      </c>
      <c r="Z38" s="2979" t="str">
        <f t="shared" si="15"/>
        <v>业态</v>
      </c>
      <c r="AA38" s="2977">
        <f t="shared" si="3"/>
        <v>1</v>
      </c>
      <c r="AB38" s="2977">
        <f t="shared" si="4"/>
        <v>1</v>
      </c>
      <c r="AC38" s="2977">
        <f t="shared" si="5"/>
        <v>1</v>
      </c>
    </row>
    <row r="39" spans="1:29" ht="15">
      <c r="A39" s="471"/>
      <c r="B39" s="2969" t="s">
        <v>2664</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v>5</v>
      </c>
      <c r="L39" s="1139"/>
      <c r="M39" s="1130"/>
      <c r="N39" s="1130"/>
      <c r="O39" s="1130"/>
      <c r="P39" s="3286"/>
      <c r="Q39" s="2976" t="str">
        <f t="shared" si="11"/>
        <v>层高</v>
      </c>
      <c r="R39" s="773" t="s">
        <v>17</v>
      </c>
      <c r="S39" s="774">
        <f t="shared" si="12"/>
        <v>100</v>
      </c>
      <c r="T39" s="773" t="s">
        <v>17</v>
      </c>
      <c r="U39" s="774">
        <f t="shared" si="13"/>
        <v>100</v>
      </c>
      <c r="V39" s="773" t="s">
        <v>17</v>
      </c>
      <c r="W39" s="774">
        <f t="shared" si="14"/>
        <v>100</v>
      </c>
      <c r="X39" s="2978"/>
      <c r="Y39" s="3246"/>
      <c r="Z39" s="2979" t="str">
        <f t="shared" si="15"/>
        <v>层高</v>
      </c>
      <c r="AA39" s="2977">
        <f t="shared" si="3"/>
        <v>1</v>
      </c>
      <c r="AB39" s="2977">
        <f t="shared" si="4"/>
        <v>1</v>
      </c>
      <c r="AC39" s="2977">
        <f t="shared" si="5"/>
        <v>1</v>
      </c>
    </row>
    <row r="40" spans="1:29" ht="15">
      <c r="A40" s="471"/>
      <c r="B40" s="2969"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6"/>
      <c r="Q40" s="2976" t="str">
        <f t="shared" si="11"/>
        <v>单套建筑面积</v>
      </c>
      <c r="R40" s="773" t="s">
        <v>17</v>
      </c>
      <c r="S40" s="774">
        <f t="shared" si="12"/>
        <v>100</v>
      </c>
      <c r="T40" s="773" t="s">
        <v>17</v>
      </c>
      <c r="U40" s="774">
        <f t="shared" si="13"/>
        <v>100</v>
      </c>
      <c r="V40" s="773" t="s">
        <v>17</v>
      </c>
      <c r="W40" s="774">
        <f t="shared" si="14"/>
        <v>100</v>
      </c>
      <c r="X40" s="2978"/>
      <c r="Y40" s="3246"/>
      <c r="Z40" s="2979" t="str">
        <f t="shared" si="15"/>
        <v>单套建筑面积</v>
      </c>
      <c r="AA40" s="2977">
        <f t="shared" si="3"/>
        <v>1</v>
      </c>
      <c r="AB40" s="2977">
        <f t="shared" si="4"/>
        <v>1</v>
      </c>
      <c r="AC40" s="2977">
        <f t="shared" si="5"/>
        <v>1</v>
      </c>
    </row>
    <row r="41" spans="1:29" s="470" customFormat="1" ht="15">
      <c r="A41" s="467"/>
      <c r="B41" s="2975"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6"/>
      <c r="Q41" s="775" t="str">
        <f t="shared" si="11"/>
        <v>进深比</v>
      </c>
      <c r="R41" s="776" t="s">
        <v>17</v>
      </c>
      <c r="S41" s="777">
        <f t="shared" si="12"/>
        <v>100</v>
      </c>
      <c r="T41" s="776" t="s">
        <v>17</v>
      </c>
      <c r="U41" s="777">
        <f t="shared" si="13"/>
        <v>100</v>
      </c>
      <c r="V41" s="776" t="s">
        <v>17</v>
      </c>
      <c r="W41" s="777">
        <f t="shared" si="14"/>
        <v>100</v>
      </c>
      <c r="X41" s="778"/>
      <c r="Y41" s="3246"/>
      <c r="Z41" s="779" t="str">
        <f t="shared" si="15"/>
        <v>进深比</v>
      </c>
      <c r="AA41" s="2977">
        <f t="shared" si="3"/>
        <v>1</v>
      </c>
      <c r="AB41" s="2977">
        <f t="shared" si="4"/>
        <v>1</v>
      </c>
      <c r="AC41" s="2977">
        <f t="shared" si="5"/>
        <v>1</v>
      </c>
    </row>
    <row r="42" spans="1:29" ht="15">
      <c r="A42" s="471"/>
      <c r="B42" s="2969" t="s">
        <v>2667</v>
      </c>
      <c r="C42" s="2613" t="s">
        <v>3119</v>
      </c>
      <c r="D42" s="434">
        <v>100</v>
      </c>
      <c r="E42" s="2613" t="s">
        <v>3119</v>
      </c>
      <c r="F42" s="460">
        <f>SUMIF(122:122,E42,123:123)-SUMIF(122:122,C42,123:123)+100</f>
        <v>100</v>
      </c>
      <c r="G42" s="2613" t="s">
        <v>3119</v>
      </c>
      <c r="H42" s="434">
        <f>SUMIF(122:122,G42,123:123)-SUMIF(122:122,C42,123:123)+100</f>
        <v>100</v>
      </c>
      <c r="I42" s="2613" t="s">
        <v>3117</v>
      </c>
      <c r="J42" s="434">
        <f>SUMIF(122:122,I42,123:123)-SUMIF(122:122,C42,123:123)+100</f>
        <v>106</v>
      </c>
      <c r="K42" s="611">
        <v>2</v>
      </c>
      <c r="L42" s="1139"/>
      <c r="M42" s="1130"/>
      <c r="N42" s="1130"/>
      <c r="O42" s="1130"/>
      <c r="P42" s="3286"/>
      <c r="Q42" s="2976" t="str">
        <f t="shared" si="11"/>
        <v>内部装修</v>
      </c>
      <c r="R42" s="773" t="s">
        <v>17</v>
      </c>
      <c r="S42" s="774">
        <f t="shared" si="12"/>
        <v>100</v>
      </c>
      <c r="T42" s="773" t="s">
        <v>17</v>
      </c>
      <c r="U42" s="774">
        <f t="shared" si="13"/>
        <v>100</v>
      </c>
      <c r="V42" s="773" t="s">
        <v>17</v>
      </c>
      <c r="W42" s="774">
        <f t="shared" si="14"/>
        <v>106</v>
      </c>
      <c r="X42" s="2978"/>
      <c r="Y42" s="3246"/>
      <c r="Z42" s="2979" t="str">
        <f t="shared" si="15"/>
        <v>内部装修</v>
      </c>
      <c r="AA42" s="2977">
        <f t="shared" si="3"/>
        <v>1</v>
      </c>
      <c r="AB42" s="2977">
        <f t="shared" si="4"/>
        <v>1</v>
      </c>
      <c r="AC42" s="2977">
        <f t="shared" si="5"/>
        <v>0.94339622641509435</v>
      </c>
    </row>
    <row r="43" spans="1:29" ht="15">
      <c r="A43" s="471"/>
      <c r="B43" s="2969" t="s">
        <v>2575</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286"/>
      <c r="Q43" s="2976" t="str">
        <f t="shared" si="11"/>
        <v>内部装修维护情况</v>
      </c>
      <c r="R43" s="773" t="s">
        <v>17</v>
      </c>
      <c r="S43" s="774">
        <f t="shared" si="12"/>
        <v>100</v>
      </c>
      <c r="T43" s="773" t="s">
        <v>17</v>
      </c>
      <c r="U43" s="774">
        <f t="shared" si="13"/>
        <v>100</v>
      </c>
      <c r="V43" s="773" t="s">
        <v>17</v>
      </c>
      <c r="W43" s="774">
        <f t="shared" si="14"/>
        <v>100</v>
      </c>
      <c r="X43" s="2978"/>
      <c r="Y43" s="3246"/>
      <c r="Z43" s="2979" t="str">
        <f t="shared" si="15"/>
        <v>内部装修维护情况</v>
      </c>
      <c r="AA43" s="2977">
        <f t="shared" si="3"/>
        <v>1</v>
      </c>
      <c r="AB43" s="2977">
        <f t="shared" si="4"/>
        <v>1</v>
      </c>
      <c r="AC43" s="2977">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6"/>
      <c r="Q44" s="2963">
        <f t="shared" si="11"/>
        <v>111</v>
      </c>
      <c r="R44" s="769" t="s">
        <v>17</v>
      </c>
      <c r="S44" s="770">
        <f t="shared" si="12"/>
        <v>100</v>
      </c>
      <c r="T44" s="769" t="s">
        <v>17</v>
      </c>
      <c r="U44" s="770">
        <f t="shared" si="13"/>
        <v>100</v>
      </c>
      <c r="V44" s="769" t="s">
        <v>17</v>
      </c>
      <c r="W44" s="770">
        <f t="shared" si="14"/>
        <v>100</v>
      </c>
      <c r="X44" s="771"/>
      <c r="Y44" s="3246"/>
      <c r="Z44" s="296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6"/>
      <c r="Q45" s="2976">
        <f t="shared" si="11"/>
        <v>111</v>
      </c>
      <c r="R45" s="773" t="s">
        <v>17</v>
      </c>
      <c r="S45" s="774">
        <f t="shared" si="12"/>
        <v>100</v>
      </c>
      <c r="T45" s="773" t="s">
        <v>17</v>
      </c>
      <c r="U45" s="774">
        <f t="shared" si="13"/>
        <v>100</v>
      </c>
      <c r="V45" s="773" t="s">
        <v>17</v>
      </c>
      <c r="W45" s="774">
        <f t="shared" si="14"/>
        <v>100</v>
      </c>
      <c r="X45" s="2978"/>
      <c r="Y45" s="3246"/>
      <c r="Z45" s="2979">
        <f t="shared" si="15"/>
        <v>111</v>
      </c>
      <c r="AA45" s="2977">
        <f t="shared" si="3"/>
        <v>1</v>
      </c>
      <c r="AB45" s="2977">
        <f t="shared" si="4"/>
        <v>1</v>
      </c>
      <c r="AC45" s="2977">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7"/>
      <c r="Q46" s="2976">
        <f t="shared" si="11"/>
        <v>111</v>
      </c>
      <c r="R46" s="773" t="s">
        <v>17</v>
      </c>
      <c r="S46" s="774">
        <f t="shared" si="12"/>
        <v>100</v>
      </c>
      <c r="T46" s="773" t="s">
        <v>17</v>
      </c>
      <c r="U46" s="774">
        <f t="shared" si="13"/>
        <v>100</v>
      </c>
      <c r="V46" s="773" t="s">
        <v>17</v>
      </c>
      <c r="W46" s="774">
        <f t="shared" si="14"/>
        <v>100</v>
      </c>
      <c r="X46" s="2978"/>
      <c r="Y46" s="3288"/>
      <c r="Z46" s="2979">
        <f t="shared" si="15"/>
        <v>111</v>
      </c>
      <c r="AA46" s="2977">
        <f t="shared" si="3"/>
        <v>1</v>
      </c>
      <c r="AB46" s="2977">
        <f t="shared" si="4"/>
        <v>1</v>
      </c>
      <c r="AC46" s="2977">
        <f t="shared" si="5"/>
        <v>1</v>
      </c>
    </row>
    <row r="47" spans="1:29" ht="15">
      <c r="A47" s="478" t="s">
        <v>2576</v>
      </c>
      <c r="B47" s="479"/>
      <c r="C47" s="1405" t="s">
        <v>1</v>
      </c>
      <c r="D47" s="1406"/>
      <c r="E47" s="1407">
        <v>12000</v>
      </c>
      <c r="F47" s="1408"/>
      <c r="G47" s="1409">
        <v>12000</v>
      </c>
      <c r="H47" s="1410"/>
      <c r="I47" s="1407">
        <v>14500</v>
      </c>
      <c r="J47" s="1410"/>
      <c r="K47" s="782"/>
      <c r="L47" s="1142"/>
      <c r="M47" s="1143"/>
      <c r="N47" s="1130"/>
      <c r="O47" s="1143"/>
      <c r="P47" s="3228" t="str">
        <f>A47</f>
        <v>成交单价（元/平方米）</v>
      </c>
      <c r="Q47" s="3228"/>
      <c r="R47" s="3241">
        <f>E47</f>
        <v>12000</v>
      </c>
      <c r="S47" s="3241"/>
      <c r="T47" s="3241">
        <f>G47</f>
        <v>12000</v>
      </c>
      <c r="U47" s="3241"/>
      <c r="V47" s="3241">
        <f>I47</f>
        <v>14500</v>
      </c>
      <c r="W47" s="3241"/>
      <c r="X47" s="758"/>
      <c r="Y47" s="780"/>
      <c r="Z47" s="758"/>
      <c r="AA47" s="758"/>
      <c r="AB47" s="758"/>
      <c r="AC47" s="758"/>
    </row>
    <row r="48" spans="1:29" ht="15.75" thickBot="1">
      <c r="A48" s="485" t="s">
        <v>2577</v>
      </c>
      <c r="B48" s="486"/>
      <c r="C48" s="1411">
        <f>R49</f>
        <v>13124</v>
      </c>
      <c r="D48" s="1412"/>
      <c r="E48" s="1413">
        <f>R48</f>
        <v>12889</v>
      </c>
      <c r="F48" s="1413"/>
      <c r="G48" s="1411">
        <f>T48</f>
        <v>12384</v>
      </c>
      <c r="H48" s="1412"/>
      <c r="I48" s="1413">
        <f>V48</f>
        <v>14099</v>
      </c>
      <c r="J48" s="1412"/>
      <c r="K48" s="783"/>
      <c r="L48" s="1142"/>
      <c r="M48" s="1143"/>
      <c r="N48" s="1130"/>
      <c r="O48" s="1143"/>
      <c r="P48" s="3228" t="str">
        <f>A48</f>
        <v>比较价值（元/平方米）</v>
      </c>
      <c r="Q48" s="3228"/>
      <c r="R48" s="3284">
        <f>IF(F1="售价",ROUND(PRODUCT(R47,AA7:AA46),0),ROUND(PRODUCT(R47,AA7:AA46),1))</f>
        <v>12889</v>
      </c>
      <c r="S48" s="3284"/>
      <c r="T48" s="3284">
        <f>IF(F1="售价",ROUND(PRODUCT(T47,AB7:AB46),0),ROUND(PRODUCT(T47,AB7:AB46),1))</f>
        <v>12384</v>
      </c>
      <c r="U48" s="3284"/>
      <c r="V48" s="3284">
        <f>IF(F1="售价",ROUND(PRODUCT(V47,AC7:AC46),0),ROUND(PRODUCT(V47,AC7:AC46),1))</f>
        <v>14099</v>
      </c>
      <c r="W48" s="3284"/>
      <c r="X48" s="758"/>
      <c r="Y48" s="758"/>
      <c r="Z48" s="758"/>
      <c r="AA48" s="758"/>
      <c r="AB48" s="758"/>
      <c r="AC48" s="758"/>
    </row>
    <row r="49" spans="1:29" ht="15.75" thickBot="1">
      <c r="A49" s="491" t="s">
        <v>2578</v>
      </c>
      <c r="B49" s="492"/>
      <c r="C49" s="1415">
        <f>R49</f>
        <v>13124</v>
      </c>
      <c r="D49" s="1415"/>
      <c r="E49" s="1415"/>
      <c r="F49" s="1415"/>
      <c r="G49" s="1415"/>
      <c r="H49" s="1415"/>
      <c r="I49" s="1415"/>
      <c r="J49" s="1415"/>
      <c r="K49" s="784"/>
      <c r="L49" s="1142"/>
      <c r="M49" s="1143"/>
      <c r="N49" s="1130"/>
      <c r="O49" s="1143"/>
      <c r="P49" s="3248" t="str">
        <f>A49</f>
        <v>估价对象XX用房的比较价值（楼面单价，元/平方米）</v>
      </c>
      <c r="Q49" s="3249"/>
      <c r="R49" s="3283">
        <f>IF(F1="售价",ROUND(AVERAGE(R48:V48),0),ROUND(AVERAGE(R48:V48),1))</f>
        <v>13124</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2579</v>
      </c>
      <c r="D52" s="497"/>
      <c r="E52" s="498">
        <f>IF(E47&lt;E48,E48/E47-1,E47/E48-1)</f>
        <v>7.4083333333333279E-2</v>
      </c>
      <c r="F52" s="499" t="str">
        <f>IF(OR(E52&gt;=0.3,E52&lt;=-0.3),"超过30%","")</f>
        <v/>
      </c>
      <c r="G52" s="498">
        <f>IF(G47&lt;G48,G48/G47-1,G47/G48-1)</f>
        <v>3.2000000000000028E-2</v>
      </c>
      <c r="H52" s="499" t="str">
        <f>IF(OR(G52&gt;=0.3,G52&lt;=-0.3),"超过30%","")</f>
        <v/>
      </c>
      <c r="I52" s="498">
        <f>IF(I47&lt;I48,I48/I47-1,I47/I48-1)</f>
        <v>2.8441733456273433E-2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2580</v>
      </c>
      <c r="D53" s="500"/>
      <c r="E53" s="498">
        <f>IF(E48&lt;G48,G48/E48-1,E48/G48-1)</f>
        <v>4.0778423772609873E-2</v>
      </c>
      <c r="F53" s="499" t="str">
        <f>IF(OR(E53&gt;=0.2,E53&lt;=-0.2),"超过20%","")</f>
        <v/>
      </c>
      <c r="G53" s="498">
        <f>IF(G48&lt;I48,I48/G48-1,G48/I48-1)</f>
        <v>0.13848514211886309</v>
      </c>
      <c r="H53" s="499" t="str">
        <f>IF(OR(G53&gt;=0.2,G53&lt;=-0.2),"超过20%","")</f>
        <v/>
      </c>
      <c r="I53" s="498">
        <f>IF(I48&lt;E48,E48/I48-1,I48/E48-1)</f>
        <v>9.3878501047404805E-2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2581</v>
      </c>
      <c r="D54" s="500"/>
      <c r="E54" s="498">
        <f>IF(E47&lt;G47,G47/E47-1,E47/G47-1)</f>
        <v>0</v>
      </c>
      <c r="F54" s="499" t="str">
        <f>IF(OR(E54&gt;=0.3,E54&lt;=-0.3),"超过30%","")</f>
        <v/>
      </c>
      <c r="G54" s="498">
        <f>IF(G47&lt;I47,I47/G47-1,G47/I47-1)</f>
        <v>0.20833333333333326</v>
      </c>
      <c r="H54" s="499" t="str">
        <f>IF(OR(G54&gt;=0.3,G54&lt;=-0.3),"超过30%","")</f>
        <v/>
      </c>
      <c r="I54" s="498">
        <f>IF(I47&lt;E47,E47/I47-1,I47/E47-1)</f>
        <v>0.20833333333333326</v>
      </c>
      <c r="J54" s="499" t="str">
        <f>IF(OR(I54&gt;=0.3,I54&lt;=-0.3),"超过30%","")</f>
        <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2582</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2547</v>
      </c>
      <c r="B58" s="505"/>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8"/>
      <c r="B59" s="509"/>
      <c r="C59" s="1571">
        <v>100</v>
      </c>
      <c r="D59" s="511"/>
      <c r="E59" s="511"/>
      <c r="F59" s="511"/>
      <c r="G59" s="511"/>
      <c r="H59" s="511"/>
      <c r="I59" s="511"/>
      <c r="J59" s="511"/>
      <c r="K59" s="511"/>
      <c r="L59" s="511"/>
      <c r="M59" s="512"/>
      <c r="N59" s="511"/>
      <c r="O59" s="512"/>
      <c r="P59" s="2628"/>
    </row>
    <row r="60" spans="1:29" s="117" customFormat="1" ht="15.75" thickBot="1">
      <c r="A60" s="514" t="s">
        <v>2584</v>
      </c>
      <c r="B60" s="515"/>
      <c r="C60" s="516"/>
      <c r="D60" s="517"/>
      <c r="E60" s="517"/>
      <c r="F60" s="517"/>
      <c r="G60" s="517"/>
      <c r="H60" s="517"/>
      <c r="I60" s="517"/>
      <c r="J60" s="517"/>
      <c r="K60" s="517"/>
      <c r="L60" s="517"/>
      <c r="M60" s="518"/>
      <c r="N60" s="517"/>
      <c r="O60" s="518"/>
      <c r="P60" s="2628"/>
      <c r="Q60" s="503"/>
    </row>
    <row r="61" spans="1:29" s="117" customFormat="1" ht="15">
      <c r="A61" s="520" t="s">
        <v>2549</v>
      </c>
      <c r="B61" s="509"/>
      <c r="C61" s="521" t="s">
        <v>2586</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2587</v>
      </c>
      <c r="B63" s="527" t="s">
        <v>2553</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2"/>
      <c r="O66" s="1152"/>
      <c r="P66" s="2630"/>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v>0</v>
      </c>
      <c r="D68" s="548">
        <v>1</v>
      </c>
      <c r="E68" s="548">
        <v>2</v>
      </c>
      <c r="F68" s="548">
        <v>3</v>
      </c>
      <c r="G68" s="548">
        <v>4</v>
      </c>
      <c r="H68" s="548">
        <v>5</v>
      </c>
      <c r="I68" s="548"/>
      <c r="J68" s="548"/>
      <c r="K68" s="549"/>
      <c r="L68" s="550"/>
      <c r="M68" s="551"/>
      <c r="N68" s="1151"/>
      <c r="O68" s="1151"/>
      <c r="P68" s="2630"/>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75" thickTop="1">
      <c r="A86" s="578"/>
      <c r="B86" s="537" t="s">
        <v>2679</v>
      </c>
      <c r="C86" s="2985" t="s">
        <v>3127</v>
      </c>
      <c r="D86" s="2985" t="s">
        <v>3128</v>
      </c>
      <c r="E86" s="2985" t="s">
        <v>3130</v>
      </c>
      <c r="F86" s="2985" t="s">
        <v>3131</v>
      </c>
      <c r="G86" s="553"/>
      <c r="H86" s="553"/>
      <c r="I86" s="553"/>
      <c r="J86" s="553"/>
      <c r="K86" s="553"/>
      <c r="L86" s="579"/>
      <c r="M86" s="580"/>
      <c r="N86" s="1150"/>
      <c r="O86" s="1150"/>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5.75" thickTop="1">
      <c r="A88" s="578"/>
      <c r="B88" s="537" t="str">
        <f>B26</f>
        <v>平面位置/可视性</v>
      </c>
      <c r="C88" s="2985" t="s">
        <v>3132</v>
      </c>
      <c r="D88" s="2985" t="s">
        <v>3133</v>
      </c>
      <c r="E88" s="553"/>
      <c r="F88" s="2635"/>
      <c r="G88" s="553"/>
      <c r="H88" s="553"/>
      <c r="I88" s="553"/>
      <c r="J88" s="553"/>
      <c r="K88" s="553"/>
      <c r="L88" s="553"/>
      <c r="M88" s="580"/>
      <c r="N88" s="1150"/>
      <c r="O88" s="1150"/>
      <c r="P88" s="2630"/>
      <c r="Q88" s="503"/>
    </row>
    <row r="89" spans="1:17" s="117" customFormat="1" ht="15.75" thickBot="1">
      <c r="A89" s="578"/>
      <c r="B89" s="542"/>
      <c r="C89" s="559">
        <v>100</v>
      </c>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5.75" thickTop="1">
      <c r="A92" s="533"/>
      <c r="B92" s="537" t="str">
        <f>B28</f>
        <v>楼层</v>
      </c>
      <c r="C92" s="553">
        <v>1</v>
      </c>
      <c r="D92" s="553"/>
      <c r="E92" s="553"/>
      <c r="F92" s="553"/>
      <c r="G92" s="553"/>
      <c r="H92" s="553"/>
      <c r="I92" s="553"/>
      <c r="J92" s="553"/>
      <c r="K92" s="553"/>
      <c r="L92" s="579"/>
      <c r="M92" s="580"/>
      <c r="N92" s="1151"/>
      <c r="O92" s="1151"/>
      <c r="P92" s="2630"/>
      <c r="Q92" s="503"/>
    </row>
    <row r="93" spans="1:17" ht="15.75" thickBot="1">
      <c r="A93" s="533"/>
      <c r="B93" s="542"/>
      <c r="C93" s="535">
        <v>100</v>
      </c>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2562</v>
      </c>
      <c r="B100" s="527" t="s">
        <v>2680</v>
      </c>
      <c r="C100" s="2984" t="s">
        <v>3152</v>
      </c>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29.25" thickTop="1">
      <c r="A102" s="533"/>
      <c r="B102" s="537" t="s">
        <v>2612</v>
      </c>
      <c r="C102" s="577" t="str">
        <f>C103&amp;"(含)"&amp;"-"&amp;D103</f>
        <v>0(含)-50000</v>
      </c>
      <c r="D102" s="577" t="str">
        <f t="shared" ref="D102:L102" si="23">D103&amp;"(含)"&amp;"-"&amp;E103</f>
        <v>50000(含)-100000</v>
      </c>
      <c r="E102" s="577" t="str">
        <f t="shared" si="23"/>
        <v>100000(含)-150000</v>
      </c>
      <c r="F102" s="577" t="str">
        <f t="shared" si="23"/>
        <v>150000(含)-200000</v>
      </c>
      <c r="G102" s="577" t="str">
        <f t="shared" si="23"/>
        <v>200000(含)-250000</v>
      </c>
      <c r="H102" s="577" t="str">
        <f t="shared" si="23"/>
        <v>250000(含)-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3"/>
      <c r="O103" s="1153"/>
      <c r="P103" s="2631"/>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6"/>
      <c r="N104" s="1152"/>
      <c r="O104" s="1152"/>
      <c r="P104" s="2631"/>
      <c r="Q104" s="558"/>
    </row>
    <row r="105" spans="1:17" ht="15" thickTop="1">
      <c r="A105" s="598"/>
      <c r="B105" s="537" t="s">
        <v>2613</v>
      </c>
      <c r="C105" s="2985" t="s">
        <v>3136</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2615</v>
      </c>
      <c r="C107" s="2985" t="s">
        <v>3137</v>
      </c>
      <c r="D107" s="553"/>
      <c r="E107" s="553"/>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2681</v>
      </c>
      <c r="C114" s="2985" t="s">
        <v>3139</v>
      </c>
      <c r="D114" s="2985" t="s">
        <v>3141</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2"/>
      <c r="O115" s="1152"/>
      <c r="P115" s="2630"/>
      <c r="Q115" s="503"/>
    </row>
    <row r="116" spans="1:17" ht="15" thickTop="1">
      <c r="A116" s="598"/>
      <c r="B116" s="537" t="s">
        <v>2682</v>
      </c>
      <c r="C116" s="2985" t="s">
        <v>3143</v>
      </c>
      <c r="D116" s="2985" t="s">
        <v>3145</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30"/>
      <c r="Q117" s="503"/>
    </row>
    <row r="118" spans="1:17" ht="15" thickTop="1">
      <c r="A118" s="598"/>
      <c r="B118" s="537" t="s">
        <v>2683</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2619</v>
      </c>
      <c r="C122" s="2985" t="s">
        <v>3146</v>
      </c>
      <c r="D122" s="553"/>
      <c r="E122" s="553"/>
      <c r="F122" s="2986" t="s">
        <v>3147</v>
      </c>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30"/>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39" priority="16" stopIfTrue="1" operator="containsText" text="超过">
      <formula>NOT(ISERROR(SEARCH("超过",F52)))</formula>
    </cfRule>
  </conditionalFormatting>
  <conditionalFormatting sqref="H54">
    <cfRule type="containsText" dxfId="38" priority="15" stopIfTrue="1" operator="containsText" text="超过">
      <formula>NOT(ISERROR(SEARCH("超过",H54)))</formula>
    </cfRule>
  </conditionalFormatting>
  <conditionalFormatting sqref="F54">
    <cfRule type="containsText" dxfId="37" priority="14" stopIfTrue="1" operator="containsText" text="超过">
      <formula>NOT(ISERROR(SEARCH("超过",F54)))</formula>
    </cfRule>
  </conditionalFormatting>
  <conditionalFormatting sqref="F53 H53">
    <cfRule type="containsText" dxfId="36" priority="13" stopIfTrue="1" operator="containsText" text="超过">
      <formula>NOT(ISERROR(SEARCH("超过",F53)))</formula>
    </cfRule>
  </conditionalFormatting>
  <conditionalFormatting sqref="E52">
    <cfRule type="expression" dxfId="35" priority="12" stopIfTrue="1">
      <formula>$F$52="超过30%"</formula>
    </cfRule>
  </conditionalFormatting>
  <conditionalFormatting sqref="E53">
    <cfRule type="expression" dxfId="34" priority="11" stopIfTrue="1">
      <formula>$F$53="超过20%"</formula>
    </cfRule>
  </conditionalFormatting>
  <conditionalFormatting sqref="E54">
    <cfRule type="expression" dxfId="33" priority="10" stopIfTrue="1">
      <formula>$F$54="超过30%"</formula>
    </cfRule>
  </conditionalFormatting>
  <conditionalFormatting sqref="G54">
    <cfRule type="expression" dxfId="32" priority="9" stopIfTrue="1">
      <formula>$H$54="超过30%"</formula>
    </cfRule>
  </conditionalFormatting>
  <conditionalFormatting sqref="G52">
    <cfRule type="expression" dxfId="31" priority="8" stopIfTrue="1">
      <formula>$H$52="超过30%"</formula>
    </cfRule>
  </conditionalFormatting>
  <conditionalFormatting sqref="G53">
    <cfRule type="expression" dxfId="30" priority="7" stopIfTrue="1">
      <formula>$H$53="超过20%"</formula>
    </cfRule>
  </conditionalFormatting>
  <conditionalFormatting sqref="J52">
    <cfRule type="containsText" dxfId="29" priority="6" stopIfTrue="1" operator="containsText" text="超过">
      <formula>NOT(ISERROR(SEARCH("超过",J52)))</formula>
    </cfRule>
  </conditionalFormatting>
  <conditionalFormatting sqref="J54">
    <cfRule type="containsText" dxfId="28" priority="5" stopIfTrue="1" operator="containsText" text="超过">
      <formula>NOT(ISERROR(SEARCH("超过",J54)))</formula>
    </cfRule>
  </conditionalFormatting>
  <conditionalFormatting sqref="J53">
    <cfRule type="containsText" dxfId="27" priority="4" stopIfTrue="1" operator="containsText" text="超过">
      <formula>NOT(ISERROR(SEARCH("超过",J53)))</formula>
    </cfRule>
  </conditionalFormatting>
  <conditionalFormatting sqref="I52">
    <cfRule type="expression" dxfId="26" priority="3" stopIfTrue="1">
      <formula>$J$52="超过30%"</formula>
    </cfRule>
  </conditionalFormatting>
  <conditionalFormatting sqref="I53">
    <cfRule type="expression" dxfId="25" priority="2" stopIfTrue="1">
      <formula>$J$53="超过20%"</formula>
    </cfRule>
  </conditionalFormatting>
  <conditionalFormatting sqref="I54">
    <cfRule type="expression" dxfId="2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63" sqref="D63"/>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Normal="100" zoomScaleSheetLayoutView="90" workbookViewId="0">
      <selection activeCell="D63" sqref="D6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t="s">
        <v>48</v>
      </c>
      <c r="D1" s="1818" t="s">
        <v>3154</v>
      </c>
      <c r="E1" s="1819" t="s">
        <v>1382</v>
      </c>
      <c r="F1" s="1282" t="e">
        <f ca="1">J53</f>
        <v>#N/A</v>
      </c>
      <c r="G1" s="1834"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1" t="e">
        <f ca="1">C6+C10+C12</f>
        <v>#N/A</v>
      </c>
      <c r="D5" s="1820" t="s">
        <v>1397</v>
      </c>
      <c r="E5" s="1292"/>
      <c r="F5" s="1293"/>
      <c r="G5" s="1849"/>
      <c r="H5" s="343">
        <v>1</v>
      </c>
      <c r="I5" s="344" t="s">
        <v>1396</v>
      </c>
      <c r="J5" s="1291" t="e">
        <f ca="1">J6+J10+J12</f>
        <v>#N/A</v>
      </c>
      <c r="K5" s="1820" t="s">
        <v>1397</v>
      </c>
      <c r="L5" s="1292"/>
      <c r="M5" s="1293"/>
    </row>
    <row r="6" spans="1:37" ht="18" customHeight="1">
      <c r="A6" s="1290" t="s">
        <v>1032</v>
      </c>
      <c r="B6" s="3256" t="s">
        <v>1398</v>
      </c>
      <c r="C6" s="1295" t="e">
        <f ca="1">ROUND(F6*F8*F7*(1-F9)/10000,0)</f>
        <v>#N/A</v>
      </c>
      <c r="D6" s="163" t="s">
        <v>3031</v>
      </c>
      <c r="E6" s="346" t="s">
        <v>1400</v>
      </c>
      <c r="F6" s="347" t="e">
        <f ca="1">INDIRECT("'数据-取费表'!u"&amp;$G$1)</f>
        <v>#N/A</v>
      </c>
      <c r="G6" s="1849"/>
      <c r="H6" s="1290" t="s">
        <v>1032</v>
      </c>
      <c r="I6" s="3256" t="s">
        <v>1398</v>
      </c>
      <c r="J6" s="345" t="e">
        <f ca="1">ROUND(M6*M8*M7*(1-M9)/10000,0)</f>
        <v>#N/A</v>
      </c>
      <c r="K6" s="163" t="s">
        <v>3030</v>
      </c>
      <c r="L6" s="346" t="s">
        <v>1400</v>
      </c>
      <c r="M6" s="347" t="e">
        <f ca="1">INDIRECT("'数据-取费表'!z"&amp;$G$1)</f>
        <v>#N/A</v>
      </c>
    </row>
    <row r="7" spans="1:37" ht="18" customHeight="1">
      <c r="A7" s="1294"/>
      <c r="B7" s="3257"/>
      <c r="C7" s="1296"/>
      <c r="D7" s="351"/>
      <c r="E7" s="2974" t="s">
        <v>1401</v>
      </c>
      <c r="F7" s="347" t="e">
        <f ca="1">IF(INDIRECT("'数据-取费表'!ah"&amp;$G$1)="",INDIRECT("'数据-取费表'!k"&amp;$G$1),INDIRECT("'数据-取费表'!ah"&amp;$G$1))</f>
        <v>#N/A</v>
      </c>
      <c r="G7" s="1849"/>
      <c r="H7" s="348"/>
      <c r="I7" s="3257"/>
      <c r="J7" s="350"/>
      <c r="K7" s="351"/>
      <c r="L7" s="346" t="s">
        <v>1401</v>
      </c>
      <c r="M7" s="347" t="e">
        <f ca="1">F7</f>
        <v>#N/A</v>
      </c>
    </row>
    <row r="8" spans="1:37" ht="18" customHeight="1">
      <c r="A8" s="348"/>
      <c r="B8" s="3257"/>
      <c r="C8" s="350"/>
      <c r="D8" s="351"/>
      <c r="E8" s="346" t="s">
        <v>1402</v>
      </c>
      <c r="F8" s="347" t="e">
        <f ca="1">INDIRECT("'数据-取费表'!ai"&amp;$G$1)</f>
        <v>#N/A</v>
      </c>
      <c r="G8" s="1849"/>
      <c r="H8" s="348"/>
      <c r="I8" s="3257"/>
      <c r="J8" s="350"/>
      <c r="K8" s="351"/>
      <c r="L8" s="346" t="s">
        <v>1402</v>
      </c>
      <c r="M8" s="347" t="e">
        <f ca="1">INDIRECT("'数据-取费表'!ai"&amp;$G$1)</f>
        <v>#N/A</v>
      </c>
    </row>
    <row r="9" spans="1:37" ht="18" customHeight="1">
      <c r="A9" s="348"/>
      <c r="B9" s="3258"/>
      <c r="C9" s="350"/>
      <c r="D9" s="351"/>
      <c r="E9" s="346" t="s">
        <v>1403</v>
      </c>
      <c r="F9" s="356" t="e">
        <f ca="1">INDIRECT("'数据-取费表'!w"&amp;$G$1)</f>
        <v>#N/A</v>
      </c>
      <c r="G9" s="1849"/>
      <c r="H9" s="348"/>
      <c r="I9" s="3258"/>
      <c r="J9" s="350"/>
      <c r="K9" s="351"/>
      <c r="L9" s="357" t="s">
        <v>1403</v>
      </c>
      <c r="M9" s="358" t="e">
        <f ca="1">INDIRECT("'数据-取费表'!ab"&amp;$G$1)</f>
        <v>#N/A</v>
      </c>
    </row>
    <row r="10" spans="1:37" ht="18" customHeight="1">
      <c r="A10" s="1290" t="s">
        <v>1036</v>
      </c>
      <c r="B10" s="1821" t="s">
        <v>1404</v>
      </c>
      <c r="C10" s="360">
        <f ca="1">ROUND(IF(F10="押一",C6/12*F11,IF(F10="押二",C6/12*2*F11,IF(F10="押三",C6/12*3*F11,C11*F11))),0)</f>
        <v>0</v>
      </c>
      <c r="D10" s="1822" t="s">
        <v>3039</v>
      </c>
      <c r="E10" s="357" t="s">
        <v>1405</v>
      </c>
      <c r="F10" s="1365"/>
      <c r="G10" s="1849"/>
      <c r="H10" s="1290" t="s">
        <v>1036</v>
      </c>
      <c r="I10" s="1821" t="s">
        <v>1404</v>
      </c>
      <c r="J10" s="345" t="e">
        <f ca="1">ROUND(IF(M10="押一",J6/12*M11,IF(M10="押二",J6/12*2*M11,IF(M10="押三",J6/12*3*M11,J11*M11))),0)</f>
        <v>#N/A</v>
      </c>
      <c r="K10" s="1822" t="s">
        <v>3039</v>
      </c>
      <c r="L10" s="357" t="s">
        <v>1405</v>
      </c>
      <c r="M10" s="1365" t="s">
        <v>1406</v>
      </c>
    </row>
    <row r="11" spans="1:37" ht="18" customHeight="1">
      <c r="A11" s="352"/>
      <c r="B11" s="1823" t="s">
        <v>1383</v>
      </c>
      <c r="C11" s="1177"/>
      <c r="D11" s="1824"/>
      <c r="E11" s="357" t="s">
        <v>1407</v>
      </c>
      <c r="F11" s="358">
        <f ca="1">'数据-取费表'!B39</f>
        <v>1.4999999999999999E-2</v>
      </c>
      <c r="G11" s="1849"/>
      <c r="H11" s="1298"/>
      <c r="I11" s="1823" t="s">
        <v>1383</v>
      </c>
      <c r="J11" s="1177"/>
      <c r="K11" s="747"/>
      <c r="L11" s="357"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4" t="e">
        <f ca="1">ROUND(C29*F13,0)</f>
        <v>#N/A</v>
      </c>
      <c r="D13" s="1330" t="s">
        <v>1410</v>
      </c>
      <c r="E13" s="1330" t="s">
        <v>1411</v>
      </c>
      <c r="F13" s="1331" t="e">
        <f ca="1">INDIRECT("'数据-取费表'!y"&amp;$G$1)</f>
        <v>#N/A</v>
      </c>
      <c r="G13" s="1849"/>
      <c r="H13" s="1328">
        <v>2</v>
      </c>
      <c r="I13" s="1329" t="s">
        <v>1409</v>
      </c>
      <c r="J13" s="1289" t="e">
        <f ca="1">ROUND(J14*J15,0)</f>
        <v>#N/A</v>
      </c>
      <c r="K13" s="1336" t="s">
        <v>1410</v>
      </c>
      <c r="L13" s="1850"/>
      <c r="M13" s="1851"/>
    </row>
    <row r="14" spans="1:37" ht="18" customHeight="1">
      <c r="A14" s="1200" t="s">
        <v>1031</v>
      </c>
      <c r="B14" s="346" t="s">
        <v>1412</v>
      </c>
      <c r="C14" s="362" t="e">
        <f ca="1">INDIRECT("'数据-取费表'!m"&amp;$G$1)+INDIRECT("'数据-取费表'!t"&amp;$G$1)</f>
        <v>#N/A</v>
      </c>
      <c r="D14" s="2967" t="s">
        <v>1413</v>
      </c>
      <c r="E14" s="2965"/>
      <c r="F14" s="363"/>
      <c r="G14" s="1849"/>
      <c r="H14" s="1200" t="s">
        <v>1032</v>
      </c>
      <c r="I14" s="346" t="s">
        <v>1414</v>
      </c>
      <c r="J14" s="24" t="e">
        <f ca="1">C29</f>
        <v>#N/A</v>
      </c>
      <c r="K14" s="2973"/>
      <c r="L14" s="978"/>
      <c r="M14" s="979"/>
    </row>
    <row r="15" spans="1:37" s="1856" customFormat="1" ht="18" customHeight="1" thickBot="1">
      <c r="A15" s="1200" t="s">
        <v>1033</v>
      </c>
      <c r="B15" s="346" t="s">
        <v>1415</v>
      </c>
      <c r="C15" s="24" t="e">
        <f ca="1">ROUND(C14*F15,0)</f>
        <v>#N/A</v>
      </c>
      <c r="D15" s="364" t="s">
        <v>1416</v>
      </c>
      <c r="E15" s="364" t="s">
        <v>1417</v>
      </c>
      <c r="F15" s="365">
        <f>'数据-取费表'!B33</f>
        <v>0.03</v>
      </c>
      <c r="G15" s="1852"/>
      <c r="H15" s="1338" t="s">
        <v>1036</v>
      </c>
      <c r="I15" s="1339" t="s">
        <v>1411</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t="e">
        <f ca="1">ROUND(INDIRECT("'数据-取费表'!m"&amp;$G$1)*F16,0)</f>
        <v>#N/A</v>
      </c>
      <c r="D16" s="346" t="s">
        <v>1416</v>
      </c>
      <c r="E16" s="346" t="s">
        <v>1417</v>
      </c>
      <c r="F16" s="366" t="e">
        <f ca="1">IF(INDIRECT("'数据-取费表'!c"&amp;$G$1)="住宅",'数据-取费表'!B34,0)</f>
        <v>#N/A</v>
      </c>
      <c r="G16" s="1849"/>
      <c r="H16" s="1328" t="s">
        <v>1027</v>
      </c>
      <c r="I16" s="1329" t="s">
        <v>1419</v>
      </c>
      <c r="J16" s="354" t="e">
        <f ca="1">ROUND(J17+J22+J23+J24,0)</f>
        <v>#N/A</v>
      </c>
      <c r="K16" s="1336" t="s">
        <v>1420</v>
      </c>
      <c r="L16" s="2968"/>
      <c r="M16" s="1293"/>
    </row>
    <row r="17" spans="1:37" s="1856" customFormat="1" ht="18" customHeight="1">
      <c r="A17" s="1200" t="s">
        <v>1385</v>
      </c>
      <c r="B17" s="346" t="s">
        <v>1421</v>
      </c>
      <c r="C17" s="24" t="e">
        <f ca="1">ROUND(F17*(F43+INDIRECT("'数据-取费表'!S"&amp;$G$1))/10000,0)</f>
        <v>#N/A</v>
      </c>
      <c r="D17" s="346" t="s">
        <v>1422</v>
      </c>
      <c r="E17" s="346" t="s">
        <v>1423</v>
      </c>
      <c r="F17" s="26">
        <f>'数据-取费表'!B35</f>
        <v>200</v>
      </c>
      <c r="G17" s="1852"/>
      <c r="H17" s="1200" t="s">
        <v>1032</v>
      </c>
      <c r="I17" s="346" t="s">
        <v>1424</v>
      </c>
      <c r="J17" s="24" t="e">
        <f ca="1">ROUND(IF(项目基本情况!B11="自然人",J6*M17/(1+'数据-取费表'!C42),J18+J19+J20),1)</f>
        <v>#N/A</v>
      </c>
      <c r="K17" s="2967" t="s">
        <v>1425</v>
      </c>
      <c r="L17" s="296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t="e">
        <f ca="1">ROUND(C14*F18,0)</f>
        <v>#N/A</v>
      </c>
      <c r="D18" s="346" t="s">
        <v>1416</v>
      </c>
      <c r="E18" s="346" t="s">
        <v>1417</v>
      </c>
      <c r="F18" s="366">
        <f>'数据-取费表'!B36</f>
        <v>1.4999999999999999E-2</v>
      </c>
      <c r="G18" s="1852"/>
      <c r="H18" s="1200" t="s">
        <v>1031</v>
      </c>
      <c r="I18" s="346" t="s">
        <v>1428</v>
      </c>
      <c r="J18" s="24" t="e">
        <f ca="1">ROUND(J6*M18/(1+'数据-取费表'!C42),2)</f>
        <v>#N/A</v>
      </c>
      <c r="K18" s="296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t="e">
        <f ca="1">SUM(C14:C18)</f>
        <v>#N/A</v>
      </c>
      <c r="D19" s="139" t="s">
        <v>1431</v>
      </c>
      <c r="E19" s="2972"/>
      <c r="F19" s="26"/>
      <c r="G19" s="1849"/>
      <c r="H19" s="1200" t="s">
        <v>1033</v>
      </c>
      <c r="I19" s="346" t="s">
        <v>1432</v>
      </c>
      <c r="J19" s="24" t="e">
        <f ca="1">IF(K19="按租金收入计税",ROUND(J6*M19/(1+'数据-取费表'!C42),2),ROUND(C29*M19*0.7,2))</f>
        <v>#N/A</v>
      </c>
      <c r="K19" s="1826" t="s">
        <v>1433</v>
      </c>
      <c r="L19" s="346" t="s">
        <v>1417</v>
      </c>
      <c r="M19" s="366">
        <f>IF(K19="按租金收入计税",'数据-取费表'!B51,'数据-取费表'!B50)</f>
        <v>1.2E-2</v>
      </c>
    </row>
    <row r="20" spans="1:37" s="1856" customFormat="1" ht="18" customHeight="1">
      <c r="A20" s="1200" t="s">
        <v>1036</v>
      </c>
      <c r="B20" s="346" t="s">
        <v>1434</v>
      </c>
      <c r="C20" s="24" t="e">
        <f ca="1">ROUND(C19*F20,0)</f>
        <v>#N/A</v>
      </c>
      <c r="D20" s="368" t="s">
        <v>1435</v>
      </c>
      <c r="E20" s="346" t="s">
        <v>1417</v>
      </c>
      <c r="F20" s="366">
        <f>'数据-取费表'!B37</f>
        <v>0.02</v>
      </c>
      <c r="G20" s="1852"/>
      <c r="H20" s="1200" t="s">
        <v>1384</v>
      </c>
      <c r="I20" s="163" t="s">
        <v>1436</v>
      </c>
      <c r="J20" s="25" t="e">
        <f ca="1">ROUND(M20*M21/10000,2)</f>
        <v>#N/A</v>
      </c>
      <c r="K20" s="369" t="s">
        <v>1437</v>
      </c>
      <c r="L20" s="346" t="s">
        <v>1438</v>
      </c>
      <c r="M20" s="370">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18</v>
      </c>
      <c r="D21" s="368" t="s">
        <v>1440</v>
      </c>
      <c r="E21" s="346" t="s">
        <v>1441</v>
      </c>
      <c r="F21" s="366">
        <f>'数据-取费表'!B38</f>
        <v>0.02</v>
      </c>
      <c r="G21" s="1852"/>
      <c r="H21" s="371"/>
      <c r="I21" s="355"/>
      <c r="J21" s="29"/>
      <c r="K21" s="372"/>
      <c r="L21" s="346" t="s">
        <v>1442</v>
      </c>
      <c r="M21" s="347"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2972"/>
      <c r="F22" s="26"/>
      <c r="G22" s="1849"/>
      <c r="H22" s="1200" t="s">
        <v>1036</v>
      </c>
      <c r="I22" s="346" t="s">
        <v>1444</v>
      </c>
      <c r="J22" s="24" t="e">
        <f ca="1">ROUND(J14*M22,1)</f>
        <v>#N/A</v>
      </c>
      <c r="K22" s="2966" t="s">
        <v>1445</v>
      </c>
      <c r="L22" s="346" t="s">
        <v>1417</v>
      </c>
      <c r="M22" s="373" t="e">
        <f ca="1">INDIRECT("'数据-取费表'!Ak"&amp;$G$1)</f>
        <v>#N/A</v>
      </c>
    </row>
    <row r="23" spans="1:37" s="1856" customFormat="1" ht="18" customHeight="1">
      <c r="A23" s="1200" t="s">
        <v>1031</v>
      </c>
      <c r="B23" s="346" t="s">
        <v>1446</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3.5</v>
      </c>
      <c r="G23" s="1852"/>
      <c r="H23" s="1200" t="s">
        <v>1072</v>
      </c>
      <c r="I23" s="346" t="s">
        <v>1448</v>
      </c>
      <c r="J23" s="24" t="e">
        <f ca="1">ROUND(J13*M23,1)</f>
        <v>#N/A</v>
      </c>
      <c r="K23" s="2966" t="s">
        <v>1449</v>
      </c>
      <c r="L23" s="346" t="s">
        <v>1417</v>
      </c>
      <c r="M23" s="375"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6" t="s">
        <v>1452</v>
      </c>
      <c r="C24" s="24">
        <f ca="1">ROUND(IF('数据-取费表'!B22&lt;=1,F21*F24*F23/2,F21*(POWER((1+F24),F23/2)-1)),4)</f>
        <v>1.6999999999999999E-3</v>
      </c>
      <c r="D24" s="374" t="str">
        <f>IF(F23&lt;=1,"销售费用×利率×(建设周期÷2)","销售费用×((1+利率)^(建设周期÷2)-1)")</f>
        <v>销售费用×((1+利率)^(建设周期÷2)-1)</v>
      </c>
      <c r="E24" s="346" t="s">
        <v>1453</v>
      </c>
      <c r="F24" s="376">
        <f ca="1">'数据-取费表'!B40</f>
        <v>4.7500000000000001E-2</v>
      </c>
      <c r="G24" s="1852"/>
      <c r="H24" s="1338" t="s">
        <v>1387</v>
      </c>
      <c r="I24" s="1339" t="s">
        <v>1434</v>
      </c>
      <c r="J24" s="1340" t="e">
        <f ca="1">ROUND(J5*M24,1)</f>
        <v>#N/A</v>
      </c>
      <c r="K24" s="1341" t="s">
        <v>1454</v>
      </c>
      <c r="L24" s="1339" t="s">
        <v>1417</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6" t="s">
        <v>1456</v>
      </c>
      <c r="C25" s="24"/>
      <c r="D25" s="139" t="s">
        <v>1457</v>
      </c>
      <c r="E25" s="2972"/>
      <c r="F25" s="26"/>
      <c r="G25" s="1849"/>
      <c r="H25" s="1328" t="s">
        <v>1028</v>
      </c>
      <c r="I25" s="1343" t="s">
        <v>1458</v>
      </c>
      <c r="J25" s="354" t="e">
        <f ca="1">J5-J16</f>
        <v>#N/A</v>
      </c>
      <c r="K25" s="1344" t="s">
        <v>1459</v>
      </c>
      <c r="L25" s="1345"/>
      <c r="M25" s="1346"/>
    </row>
    <row r="26" spans="1:37">
      <c r="A26" s="1200" t="s">
        <v>1031</v>
      </c>
      <c r="B26" s="346" t="s">
        <v>1460</v>
      </c>
      <c r="C26" s="24" t="e">
        <f ca="1">ROUND((C19+C20)*F26,0)</f>
        <v>#N/A</v>
      </c>
      <c r="D26" s="368" t="s">
        <v>1461</v>
      </c>
      <c r="E26" s="357" t="s">
        <v>1462</v>
      </c>
      <c r="F26" s="356" t="e">
        <f ca="1">INDIRECT("'数据-取费表'!q"&amp;$G$1)</f>
        <v>#N/A</v>
      </c>
      <c r="G26" s="1849"/>
      <c r="H26" s="343" t="s">
        <v>1029</v>
      </c>
      <c r="I26" s="344" t="s">
        <v>1463</v>
      </c>
      <c r="J26" s="345" t="e">
        <f ca="1">IF(J5&lt;&gt;0,ROUND(J25*(1-((1+M28)/(1+M26))^M27)/(M26-M28),0),0)</f>
        <v>#N/A</v>
      </c>
      <c r="K26" s="369" t="s">
        <v>1464</v>
      </c>
      <c r="L26" s="346" t="s">
        <v>1465</v>
      </c>
      <c r="M26" s="356" t="e">
        <f ca="1">INDIRECT("'数据-取费表'!I"&amp;$G$1)</f>
        <v>#N/A</v>
      </c>
    </row>
    <row r="27" spans="1:37" ht="18" customHeight="1">
      <c r="A27" s="1200" t="s">
        <v>1033</v>
      </c>
      <c r="B27" s="346" t="s">
        <v>1466</v>
      </c>
      <c r="C27" s="24" t="e">
        <f ca="1">ROUND(F21*F26,4)</f>
        <v>#N/A</v>
      </c>
      <c r="D27" s="368" t="s">
        <v>1467</v>
      </c>
      <c r="E27" s="364"/>
      <c r="F27" s="365"/>
      <c r="G27" s="1849"/>
      <c r="H27" s="348"/>
      <c r="I27" s="349"/>
      <c r="J27" s="350"/>
      <c r="K27" s="377" t="s">
        <v>1468</v>
      </c>
      <c r="L27" s="346" t="s">
        <v>1469</v>
      </c>
      <c r="M27" s="378" t="e">
        <f ca="1">INDIRECT("'数据-取费表'!ag"&amp;$G$1)</f>
        <v>#N/A</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t="e">
        <f ca="1">ROUND((C19+C20+C23+C26)/(1-F21-C24-C27-C28),0)</f>
        <v>#N/A</v>
      </c>
      <c r="D29" s="1341"/>
      <c r="E29" s="1339"/>
      <c r="F29" s="1342"/>
      <c r="G29" s="1852"/>
      <c r="H29" s="379" t="s">
        <v>1030</v>
      </c>
      <c r="I29" s="380" t="s">
        <v>1474</v>
      </c>
      <c r="J29" s="381" t="e">
        <f ca="1">ROUND(J26/(1+F40)^F41,0)</f>
        <v>#N/A</v>
      </c>
      <c r="K29" s="382" t="s">
        <v>1475</v>
      </c>
      <c r="L29" s="383"/>
      <c r="M29" s="384"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t="e">
        <f ca="1">ROUND(C31+C36+C37+C38,0)</f>
        <v>#N/A</v>
      </c>
      <c r="D30" s="1336" t="s">
        <v>1420</v>
      </c>
      <c r="E30" s="2968"/>
      <c r="F30" s="1293"/>
      <c r="G30" s="1849"/>
      <c r="H30" s="744"/>
      <c r="I30" s="745"/>
      <c r="J30" s="746"/>
      <c r="K30" s="747"/>
      <c r="L30" s="748"/>
      <c r="M30" s="749"/>
    </row>
    <row r="31" spans="1:37" ht="18" customHeight="1">
      <c r="A31" s="1200" t="s">
        <v>1032</v>
      </c>
      <c r="B31" s="346" t="s">
        <v>1424</v>
      </c>
      <c r="C31" s="24" t="e">
        <f ca="1">ROUND(IF(项目基本情况!B11="自然人",C6*F31/(1+'数据-取费表'!C42),C32+C33+C34),1)</f>
        <v>#N/A</v>
      </c>
      <c r="D31" s="2967" t="s">
        <v>1425</v>
      </c>
      <c r="E31" s="296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t="e">
        <f ca="1">IF(项目基本情况!B11="自然人","——",ROUND(C6*F32/(1+'数据-取费表'!C42),2))</f>
        <v>#N/A</v>
      </c>
      <c r="D32" s="296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t="e">
        <f ca="1">IF(项目基本情况!B11="自然人","——",IF(D33="按租金收入计税",ROUND(C6*F33/(1+'数据-取费表'!C42),2),IF(D33="按房产原值计税",ROUND(C29*F33*0.7,2),INDIRECT("'数据-取费表'!Aj"&amp;$G$1))))</f>
        <v>#N/A</v>
      </c>
      <c r="D33" s="1826" t="s">
        <v>3155</v>
      </c>
      <c r="E33" s="346" t="s">
        <v>1417</v>
      </c>
      <c r="F33" s="366">
        <f>IF(D33="按票据","——",IF(D33="按租金收入计税",'数据-取费表'!B51,'数据-取费表'!B50))</f>
        <v>0.12</v>
      </c>
      <c r="G33" s="1849"/>
      <c r="H33" s="1857"/>
      <c r="I33" s="1858"/>
      <c r="J33" s="1859"/>
      <c r="K33" s="1860"/>
      <c r="L33" s="1857"/>
      <c r="M33" s="1857"/>
    </row>
    <row r="34" spans="1:18" ht="18" customHeight="1">
      <c r="A34" s="1290" t="s">
        <v>1384</v>
      </c>
      <c r="B34" s="163" t="s">
        <v>1436</v>
      </c>
      <c r="C34" s="25" t="e">
        <f ca="1">IF(项目基本情况!B11="自然人","——",ROUND(F34*F35/10000,2))</f>
        <v>#N/A</v>
      </c>
      <c r="D34" s="369" t="s">
        <v>1437</v>
      </c>
      <c r="E34" s="346" t="s">
        <v>1438</v>
      </c>
      <c r="F34" s="370">
        <f>'数据-取费表'!B52</f>
        <v>16</v>
      </c>
      <c r="G34" s="1849"/>
      <c r="H34" s="744"/>
      <c r="I34" s="1858"/>
      <c r="J34" s="1859"/>
      <c r="K34" s="1861"/>
      <c r="L34" s="1862"/>
      <c r="M34" s="1862"/>
    </row>
    <row r="35" spans="1:18" ht="18" customHeight="1">
      <c r="A35" s="1352"/>
      <c r="B35" s="1350"/>
      <c r="C35" s="29"/>
      <c r="D35" s="372"/>
      <c r="E35" s="346" t="s">
        <v>1442</v>
      </c>
      <c r="F35" s="347" t="e">
        <f ca="1">INDIRECT("'数据-取费表'!r"&amp;$G$1)</f>
        <v>#N/A</v>
      </c>
      <c r="G35" s="1849"/>
      <c r="H35" s="744"/>
      <c r="I35" s="1858"/>
      <c r="J35" s="1859"/>
      <c r="K35" s="1860"/>
      <c r="L35" s="1857"/>
      <c r="M35" s="1857"/>
    </row>
    <row r="36" spans="1:18" ht="18" customHeight="1">
      <c r="A36" s="1351" t="s">
        <v>1036</v>
      </c>
      <c r="B36" s="346" t="s">
        <v>1444</v>
      </c>
      <c r="C36" s="24" t="e">
        <f ca="1">ROUND(C29*F36,1)</f>
        <v>#N/A</v>
      </c>
      <c r="D36" s="2966" t="s">
        <v>1477</v>
      </c>
      <c r="E36" s="346" t="s">
        <v>1417</v>
      </c>
      <c r="F36" s="373" t="e">
        <f ca="1">INDIRECT("'数据-取费表'!Ak"&amp;$G$1)</f>
        <v>#N/A</v>
      </c>
      <c r="G36" s="1849"/>
      <c r="H36" s="1857"/>
      <c r="I36" s="1858"/>
      <c r="J36" s="1859"/>
      <c r="K36" s="750"/>
      <c r="L36" s="1857"/>
      <c r="M36" s="1857"/>
    </row>
    <row r="37" spans="1:18" ht="18" customHeight="1">
      <c r="A37" s="1200" t="s">
        <v>1072</v>
      </c>
      <c r="B37" s="346" t="s">
        <v>1448</v>
      </c>
      <c r="C37" s="24" t="e">
        <f ca="1">ROUND(C13*F37,1)</f>
        <v>#N/A</v>
      </c>
      <c r="D37" s="2966" t="s">
        <v>1449</v>
      </c>
      <c r="E37" s="346" t="s">
        <v>1417</v>
      </c>
      <c r="F37" s="375" t="e">
        <f ca="1">INDIRECT("'数据-取费表'!Al"&amp;$G$1)</f>
        <v>#N/A</v>
      </c>
      <c r="G37" s="1849"/>
      <c r="H37" s="1857"/>
      <c r="I37" s="1858"/>
      <c r="J37" s="1859"/>
      <c r="K37" s="750"/>
      <c r="L37" s="1857"/>
      <c r="M37" s="1857"/>
    </row>
    <row r="38" spans="1:18" ht="18" customHeight="1" thickBot="1">
      <c r="A38" s="1338" t="s">
        <v>1387</v>
      </c>
      <c r="B38" s="1339" t="s">
        <v>1434</v>
      </c>
      <c r="C38" s="1340" t="e">
        <f ca="1">ROUND(C5*F38,1)</f>
        <v>#N/A</v>
      </c>
      <c r="D38" s="1341" t="s">
        <v>1454</v>
      </c>
      <c r="E38" s="1339" t="s">
        <v>1417</v>
      </c>
      <c r="F38" s="1335" t="e">
        <f ca="1">INDIRECT("'数据-取费表'!Am"&amp;$G$1)</f>
        <v>#N/A</v>
      </c>
      <c r="G38" s="1849"/>
      <c r="H38" s="1857"/>
      <c r="I38" s="1858"/>
      <c r="J38" s="1859"/>
      <c r="K38" s="1863"/>
      <c r="L38" s="1857"/>
      <c r="M38" s="1857"/>
    </row>
    <row r="39" spans="1:18" ht="24.6" customHeight="1" thickTop="1">
      <c r="A39" s="1328" t="s">
        <v>1028</v>
      </c>
      <c r="B39" s="1343" t="s">
        <v>1458</v>
      </c>
      <c r="C39" s="354" t="e">
        <f ca="1">C5-C30</f>
        <v>#N/A</v>
      </c>
      <c r="D39" s="1344" t="s">
        <v>1459</v>
      </c>
      <c r="E39" s="1345"/>
      <c r="F39" s="1346"/>
      <c r="G39" s="1849"/>
      <c r="H39" s="1857"/>
      <c r="I39" s="1858"/>
      <c r="J39" s="1859"/>
      <c r="K39" s="1863"/>
      <c r="L39" s="1857"/>
      <c r="M39" s="1857"/>
    </row>
    <row r="40" spans="1:18" ht="18" customHeight="1">
      <c r="A40" s="343" t="s">
        <v>1029</v>
      </c>
      <c r="B40" s="344" t="s">
        <v>1480</v>
      </c>
      <c r="C40" s="345" t="e">
        <f ca="1">ROUND(C39*(1-((1+F42)/(1+F40))^F41)/(F40-F42),0)</f>
        <v>#N/A</v>
      </c>
      <c r="D40" s="369" t="s">
        <v>1464</v>
      </c>
      <c r="E40" s="346" t="s">
        <v>1465</v>
      </c>
      <c r="F40" s="356" t="e">
        <f ca="1">INDIRECT("'数据-取费表'!I"&amp;$G$1)</f>
        <v>#N/A</v>
      </c>
      <c r="G40" s="1849"/>
      <c r="H40" s="1837"/>
      <c r="I40" s="1858"/>
      <c r="J40" s="1859"/>
      <c r="K40" s="1863"/>
      <c r="L40" s="1837"/>
      <c r="M40" s="1837"/>
    </row>
    <row r="41" spans="1:18" ht="18" customHeight="1">
      <c r="A41" s="348"/>
      <c r="B41" s="349"/>
      <c r="C41" s="350"/>
      <c r="D41" s="377" t="s">
        <v>1481</v>
      </c>
      <c r="E41" s="346" t="s">
        <v>1469</v>
      </c>
      <c r="F41" s="378" t="e">
        <f ca="1">IF(INDIRECT("'数据-取费表'!af"&amp;$G$1)=0,INDIRECT("'数据-取费表'!ae"&amp;$G$1),INDIRECT("'数据-取费表'!af"&amp;$G$1))</f>
        <v>#N/A</v>
      </c>
      <c r="G41" s="1849"/>
      <c r="H41" s="731"/>
      <c r="I41" s="1858"/>
      <c r="J41" s="1859"/>
      <c r="K41" s="750"/>
      <c r="L41" s="731"/>
      <c r="M41" s="731"/>
    </row>
    <row r="42" spans="1:18" ht="18" customHeight="1">
      <c r="A42" s="352"/>
      <c r="B42" s="353"/>
      <c r="C42" s="354"/>
      <c r="D42" s="372"/>
      <c r="E42" s="346" t="s">
        <v>1472</v>
      </c>
      <c r="F42" s="356" t="e">
        <f ca="1">INDIRECT("'数据-取费表'!v"&amp;$G$1)</f>
        <v>#N/A</v>
      </c>
      <c r="G42" s="1849"/>
      <c r="H42" s="731"/>
      <c r="I42" s="1858"/>
      <c r="J42" s="1859"/>
      <c r="K42" s="750"/>
      <c r="L42" s="731"/>
      <c r="M42" s="731"/>
    </row>
    <row r="43" spans="1:18" ht="18" customHeight="1" thickBot="1">
      <c r="A43" s="379" t="s">
        <v>1030</v>
      </c>
      <c r="B43" s="380" t="s">
        <v>1482</v>
      </c>
      <c r="C43" s="381" t="e">
        <f ca="1">ROUND(C40*10000/F43,0)</f>
        <v>#N/A</v>
      </c>
      <c r="D43" s="382" t="s">
        <v>1483</v>
      </c>
      <c r="E43" s="383" t="s">
        <v>1484</v>
      </c>
      <c r="F43" s="384"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1"/>
      <c r="I47" s="1878" t="s">
        <v>1521</v>
      </c>
      <c r="J47" s="1879" t="s">
        <v>3115</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9" t="s">
        <v>1132</v>
      </c>
      <c r="B48" s="344" t="s">
        <v>1396</v>
      </c>
      <c r="C48" s="2971" t="e">
        <f ca="1">C49+C53+C55</f>
        <v>#N/A</v>
      </c>
      <c r="D48" s="1361"/>
      <c r="E48" s="1362"/>
      <c r="F48" s="1180"/>
      <c r="G48" s="791"/>
      <c r="H48" s="792"/>
      <c r="I48" s="1885" t="s">
        <v>1525</v>
      </c>
      <c r="J48" s="1886" t="s">
        <v>3156</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3" t="e">
        <f ca="1">ROUND(F49*F51*F50*(1-F52)/10000,0)</f>
        <v>#N/A</v>
      </c>
      <c r="D49" s="1275" t="s">
        <v>3030</v>
      </c>
      <c r="E49" s="1828" t="s">
        <v>1486</v>
      </c>
      <c r="F49" s="1280"/>
      <c r="G49" s="1889"/>
      <c r="H49" s="792"/>
      <c r="I49" s="1885" t="s">
        <v>1529</v>
      </c>
      <c r="J49" s="1890"/>
      <c r="K49" s="1887" t="s">
        <v>1530</v>
      </c>
      <c r="L49" s="1891"/>
      <c r="O49" s="1892" t="s">
        <v>1039</v>
      </c>
      <c r="P49" s="1883" t="s">
        <v>1531</v>
      </c>
      <c r="Q49" s="1884" t="e">
        <f ca="1">C29</f>
        <v>#N/A</v>
      </c>
      <c r="R49" s="1884" t="s">
        <v>1524</v>
      </c>
    </row>
    <row r="50" spans="1:18" s="1840" customFormat="1" ht="13.5" thickBot="1">
      <c r="A50" s="1194"/>
      <c r="B50" s="1197"/>
      <c r="C50" s="1367"/>
      <c r="D50" s="1171"/>
      <c r="E50" s="1276" t="s">
        <v>1401</v>
      </c>
      <c r="F50" s="1277" t="e">
        <f ca="1">F7</f>
        <v>#N/A</v>
      </c>
      <c r="H50" s="792"/>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7" t="e">
        <f ca="1">F8</f>
        <v>#N/A</v>
      </c>
      <c r="I51" s="1896" t="s">
        <v>1535</v>
      </c>
      <c r="J51" s="1897">
        <f>IF(J49="",J50,J49+J50-YEAR('数据-取费表'!B2))</f>
        <v>60</v>
      </c>
      <c r="K51" s="1898" t="s">
        <v>1536</v>
      </c>
      <c r="L51" s="1899" t="e">
        <f ca="1">ROUND(-PV(INDIRECT("'数据-取费表'!h"&amp;$G$1),L48,(C39-C13*C76),0),0)</f>
        <v>#N/A</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t="e">
        <f ca="1">J53</f>
        <v>#N/A</v>
      </c>
      <c r="R52" s="1884" t="s">
        <v>1541</v>
      </c>
    </row>
    <row r="53" spans="1:18" s="1840" customFormat="1" ht="24.75" thickBot="1">
      <c r="A53" s="1403" t="s">
        <v>1134</v>
      </c>
      <c r="B53" s="1829" t="s">
        <v>1404</v>
      </c>
      <c r="C53" s="360">
        <f ca="1">ROUND(IF(F53="押一",C49/12*F11,IF(F53="押二",C49/12*2*F11,IF(F53="押三",C49/12*3*F11,C54*F11))),0)</f>
        <v>0</v>
      </c>
      <c r="D53" s="1822" t="s">
        <v>3039</v>
      </c>
      <c r="E53" s="357" t="s">
        <v>1405</v>
      </c>
      <c r="F53" s="1365"/>
      <c r="I53" s="1903" t="s">
        <v>1542</v>
      </c>
      <c r="J53" s="2950" t="e">
        <f ca="1">IF(M47="住宅",IF(D1="——",MAX(J51,L48),MAX(J51,L48-'数据-取费表'!B24)),IF(D1="——",MIN(J51,L48),MIN(J51,L48-'数据-取费表'!B24)))</f>
        <v>#N/A</v>
      </c>
      <c r="K53" s="3254" t="s">
        <v>1543</v>
      </c>
      <c r="L53" s="3255"/>
      <c r="O53" s="1882" t="s">
        <v>1043</v>
      </c>
      <c r="P53" s="1883" t="s">
        <v>1544</v>
      </c>
      <c r="Q53" s="1884" t="e">
        <f ca="1">Q47+Q48</f>
        <v>#N/A</v>
      </c>
      <c r="R53" s="1884" t="s">
        <v>1044</v>
      </c>
    </row>
    <row r="54" spans="1:18" s="1840" customFormat="1" ht="13.5" thickBot="1">
      <c r="A54" s="1404"/>
      <c r="B54" s="1823" t="s">
        <v>1383</v>
      </c>
      <c r="C54" s="1177"/>
      <c r="D54" s="1822"/>
      <c r="E54" s="297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2" t="s">
        <v>1072</v>
      </c>
      <c r="B55" s="1825" t="s">
        <v>1408</v>
      </c>
      <c r="C55" s="1333"/>
      <c r="D55" s="1822"/>
      <c r="E55" s="297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5" t="e">
        <f ca="1">C13</f>
        <v>#N/A</v>
      </c>
      <c r="D56" s="1911"/>
      <c r="E56" s="1912"/>
      <c r="F56" s="1904"/>
      <c r="I56" s="1913" t="s">
        <v>1549</v>
      </c>
      <c r="J56" s="1914"/>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1"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59" t="s">
        <v>1027</v>
      </c>
      <c r="B58" s="1176" t="s">
        <v>1419</v>
      </c>
      <c r="C58" s="360"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7"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6">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1432</v>
      </c>
      <c r="C61" s="24" t="e">
        <f ca="1">IF(项目基本情况!B11="自然人","——",IF(D61="按租金收入计税",ROUND(C48*F61,2),IF(D61="按房产原值计税",ROUND(C57*F61*0.7,2),INDIRECT("'数据-取费表'!Aj"&amp;$G$1))))</f>
        <v>#N/A</v>
      </c>
      <c r="D61" s="1826" t="s">
        <v>1433</v>
      </c>
      <c r="E61" s="1168" t="s">
        <v>1417</v>
      </c>
      <c r="F61" s="366">
        <f t="shared" si="0"/>
        <v>0.12</v>
      </c>
      <c r="I61" s="1925"/>
      <c r="J61" s="1925"/>
      <c r="K61" s="1925"/>
      <c r="L61" s="1925"/>
      <c r="O61" s="1892" t="s">
        <v>1042</v>
      </c>
      <c r="P61" s="1883" t="str">
        <f>K59</f>
        <v>续建工期及建筑物耐用年限下的土地年期修正系数Kn</v>
      </c>
      <c r="Q61" s="1884" t="e">
        <f ca="1">L59</f>
        <v>#N/A</v>
      </c>
      <c r="R61" s="1884" t="s">
        <v>1564</v>
      </c>
    </row>
    <row r="62" spans="1:18" s="1840" customFormat="1" ht="13.5" thickBot="1">
      <c r="A62" s="1200" t="s">
        <v>1490</v>
      </c>
      <c r="B62" s="1167" t="s">
        <v>1436</v>
      </c>
      <c r="C62" s="25" t="e">
        <f ca="1">IF(项目基本情况!B11="自然人","——",ROUND(F62*F63/10000,2))</f>
        <v>#N/A</v>
      </c>
      <c r="D62" s="1183" t="s">
        <v>1437</v>
      </c>
      <c r="E62" s="1168" t="s">
        <v>1438</v>
      </c>
      <c r="F62" s="370">
        <f t="shared" si="0"/>
        <v>16</v>
      </c>
      <c r="I62" s="1926" t="s">
        <v>1565</v>
      </c>
      <c r="J62" s="1927" t="s">
        <v>1566</v>
      </c>
      <c r="K62" s="1927" t="s">
        <v>1567</v>
      </c>
      <c r="L62" s="1927" t="s">
        <v>1568</v>
      </c>
      <c r="M62" s="1928" t="s">
        <v>1569</v>
      </c>
      <c r="O62" s="1882" t="s">
        <v>1043</v>
      </c>
      <c r="P62" s="1883" t="s">
        <v>1544</v>
      </c>
      <c r="Q62" s="1884" t="e">
        <f ca="1">Q56+Q57</f>
        <v>#N/A</v>
      </c>
      <c r="R62" s="1884" t="s">
        <v>1044</v>
      </c>
    </row>
    <row r="63" spans="1:18" s="1840" customFormat="1" ht="13.5" thickBot="1">
      <c r="A63" s="371"/>
      <c r="B63" s="1174"/>
      <c r="C63" s="29"/>
      <c r="D63" s="1184"/>
      <c r="E63" s="1168" t="s">
        <v>1442</v>
      </c>
      <c r="F63" s="347" t="e">
        <f t="shared" ca="1" si="0"/>
        <v>#N/A</v>
      </c>
      <c r="I63" s="1926" t="s">
        <v>1571</v>
      </c>
      <c r="J63" s="1927">
        <v>70</v>
      </c>
      <c r="K63" s="1927">
        <v>50</v>
      </c>
      <c r="L63" s="1927">
        <v>80</v>
      </c>
      <c r="M63" s="1929">
        <v>0.02</v>
      </c>
      <c r="O63" s="1867" t="s">
        <v>1572</v>
      </c>
      <c r="P63" s="1837"/>
      <c r="Q63" s="1837"/>
      <c r="R63" s="1837"/>
    </row>
    <row r="64" spans="1:18" s="1840" customFormat="1" ht="13.5" thickBot="1">
      <c r="A64" s="1200" t="s">
        <v>1036</v>
      </c>
      <c r="B64" s="1168" t="s">
        <v>1444</v>
      </c>
      <c r="C64" s="24" t="e">
        <f ca="1">ROUND(C57*F64,1)</f>
        <v>#N/A</v>
      </c>
      <c r="D64" s="1182" t="s">
        <v>1477</v>
      </c>
      <c r="E64" s="1168" t="s">
        <v>1417</v>
      </c>
      <c r="F64" s="373"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1417</v>
      </c>
      <c r="F65" s="375" t="e">
        <f t="shared" ca="1" si="0"/>
        <v>#N/A</v>
      </c>
      <c r="I65" s="1926" t="s">
        <v>1574</v>
      </c>
      <c r="J65" s="1927">
        <v>40</v>
      </c>
      <c r="K65" s="1927">
        <v>30</v>
      </c>
      <c r="L65" s="1927">
        <v>50</v>
      </c>
      <c r="M65" s="1929">
        <v>0.02</v>
      </c>
      <c r="O65" s="1882" t="s">
        <v>1037</v>
      </c>
      <c r="P65" s="1883" t="s">
        <v>1523</v>
      </c>
      <c r="Q65" s="1884" t="e">
        <f ca="1">C40+J29</f>
        <v>#N/A</v>
      </c>
      <c r="R65" s="1884" t="s">
        <v>1524</v>
      </c>
    </row>
    <row r="66" spans="1:18" s="1840" customFormat="1" ht="16.5" thickBot="1">
      <c r="A66" s="1200" t="s">
        <v>1499</v>
      </c>
      <c r="B66" s="1168" t="s">
        <v>1434</v>
      </c>
      <c r="C66" s="24" t="e">
        <f ca="1">ROUND(C48*F66,1)</f>
        <v>#N/A</v>
      </c>
      <c r="D66" s="1182" t="s">
        <v>1454</v>
      </c>
      <c r="E66" s="1168" t="s">
        <v>1417</v>
      </c>
      <c r="F66" s="356" t="e">
        <f t="shared" ca="1" si="0"/>
        <v>#N/A</v>
      </c>
      <c r="O66" s="1882" t="s">
        <v>1038</v>
      </c>
      <c r="P66" s="1883" t="s">
        <v>1553</v>
      </c>
      <c r="Q66" s="1884" t="e">
        <f ca="1">L60</f>
        <v>#N/A</v>
      </c>
      <c r="R66" s="1884" t="s">
        <v>1576</v>
      </c>
    </row>
    <row r="67" spans="1:18" s="1840" customFormat="1" ht="16.5" thickBot="1">
      <c r="A67" s="1175" t="s">
        <v>1028</v>
      </c>
      <c r="B67" s="1185" t="s">
        <v>1458</v>
      </c>
      <c r="C67" s="360"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5" t="e">
        <f ca="1">ROUND(C67*(1-((1+F70)/(1+F68))^F69)/(F68-F70),0)</f>
        <v>#N/A</v>
      </c>
      <c r="D68" s="1183" t="s">
        <v>1464</v>
      </c>
      <c r="E68" s="1168" t="s">
        <v>1465</v>
      </c>
      <c r="F68" s="356" t="e">
        <f ca="1">F40</f>
        <v>#N/A</v>
      </c>
      <c r="O68" s="1892" t="s">
        <v>1040</v>
      </c>
      <c r="P68" s="1931" t="s">
        <v>1578</v>
      </c>
      <c r="Q68" s="1884" t="e">
        <f ca="1">ROUND(Q69-Q70*Q71,0)</f>
        <v>#N/A</v>
      </c>
      <c r="R68" s="1884" t="s">
        <v>1048</v>
      </c>
    </row>
    <row r="69" spans="1:18" s="1840" customFormat="1" ht="13.5" thickBot="1">
      <c r="A69" s="1169"/>
      <c r="B69" s="1170"/>
      <c r="C69" s="350"/>
      <c r="D69" s="1188" t="s">
        <v>1468</v>
      </c>
      <c r="E69" s="1168" t="s">
        <v>1469</v>
      </c>
      <c r="F69" s="378" t="e">
        <f ca="1">F41</f>
        <v>#N/A</v>
      </c>
      <c r="O69" s="1892" t="s">
        <v>1045</v>
      </c>
      <c r="P69" s="1931" t="s">
        <v>1579</v>
      </c>
      <c r="Q69" s="1884" t="e">
        <f ca="1">C39</f>
        <v>#N/A</v>
      </c>
      <c r="R69" s="1884" t="s">
        <v>1524</v>
      </c>
    </row>
    <row r="70" spans="1:18" s="1840" customFormat="1" ht="13.5" thickBot="1">
      <c r="A70" s="1172"/>
      <c r="B70" s="1173"/>
      <c r="C70" s="354"/>
      <c r="D70" s="1184"/>
      <c r="E70" s="1168" t="s">
        <v>1472</v>
      </c>
      <c r="F70" s="1274"/>
      <c r="O70" s="1892" t="s">
        <v>1046</v>
      </c>
      <c r="P70" s="1931" t="s">
        <v>1580</v>
      </c>
      <c r="Q70" s="1884" t="e">
        <f ca="1">C13</f>
        <v>#N/A</v>
      </c>
      <c r="R70" s="1884" t="s">
        <v>1524</v>
      </c>
    </row>
    <row r="71" spans="1:18" s="1840" customFormat="1" ht="13.5" thickBot="1">
      <c r="A71" s="1189" t="s">
        <v>1030</v>
      </c>
      <c r="B71" s="1190" t="s">
        <v>1482</v>
      </c>
      <c r="C71" s="381" t="e">
        <f ca="1">ROUND(C68*10000/F71,0)</f>
        <v>#N/A</v>
      </c>
      <c r="D71" s="1191" t="s">
        <v>1483</v>
      </c>
      <c r="E71" s="1192" t="s">
        <v>1484</v>
      </c>
      <c r="F71" s="384" t="e">
        <f ca="1">F43</f>
        <v>#N/A</v>
      </c>
      <c r="O71" s="1892" t="s">
        <v>1047</v>
      </c>
      <c r="P71" s="1931" t="s">
        <v>1581</v>
      </c>
      <c r="Q71" s="1895" t="e">
        <f ca="1">C76</f>
        <v>#N/A</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#N/A</v>
      </c>
      <c r="R73" s="1884" t="s">
        <v>1563</v>
      </c>
    </row>
    <row r="74" spans="1:18" ht="13.5" thickBot="1">
      <c r="A74" s="1840"/>
      <c r="B74" s="316" t="s">
        <v>1582</v>
      </c>
      <c r="C74" s="1933"/>
      <c r="D74" s="1840"/>
      <c r="E74" s="1840"/>
      <c r="F74" s="1840"/>
      <c r="O74" s="1892" t="s">
        <v>1049</v>
      </c>
      <c r="P74" s="1883" t="str">
        <f>K59</f>
        <v>续建工期及建筑物耐用年限下的土地年期修正系数Kn</v>
      </c>
      <c r="Q74" s="1884" t="e">
        <f ca="1">L59</f>
        <v>#N/A</v>
      </c>
      <c r="R74" s="1884" t="s">
        <v>1564</v>
      </c>
    </row>
    <row r="75" spans="1:18" ht="13.5" thickBot="1">
      <c r="A75" s="1840"/>
      <c r="B75" s="385" t="s">
        <v>1501</v>
      </c>
      <c r="C75" s="386" t="e">
        <f ca="1">ROUND(C13*C76,0)</f>
        <v>#N/A</v>
      </c>
      <c r="D75" s="1840"/>
      <c r="E75" s="1840"/>
      <c r="F75" s="1840"/>
      <c r="K75" s="1866"/>
      <c r="L75" s="1840"/>
      <c r="O75" s="1882" t="s">
        <v>1043</v>
      </c>
      <c r="P75" s="1883" t="s">
        <v>1544</v>
      </c>
      <c r="Q75" s="1884" t="e">
        <f ca="1">Q65+Q66</f>
        <v>#N/A</v>
      </c>
      <c r="R75" s="1884" t="s">
        <v>1044</v>
      </c>
    </row>
    <row r="76" spans="1:18">
      <c r="B76" s="387" t="s">
        <v>1502</v>
      </c>
      <c r="C76" s="388" t="e">
        <f ca="1">INDIRECT("'数据-取费表'!j"&amp;$G$1)</f>
        <v>#N/A</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8"/>
      <c r="B4" s="3017" t="s">
        <v>1625</v>
      </c>
      <c r="C4" s="3017"/>
      <c r="D4" s="3017"/>
      <c r="E4" s="1958"/>
    </row>
    <row r="5" spans="1:5" ht="16.5" thickTop="1">
      <c r="A5" s="1956"/>
      <c r="B5" s="3015" t="s">
        <v>1617</v>
      </c>
      <c r="C5" s="1959" t="s">
        <v>1618</v>
      </c>
      <c r="D5" s="1039">
        <f ca="1">结果表!H101</f>
        <v>23793</v>
      </c>
      <c r="E5" s="1956"/>
    </row>
    <row r="6" spans="1:5" ht="15.75">
      <c r="A6" s="1956"/>
      <c r="B6" s="3015"/>
      <c r="C6" s="1959" t="s">
        <v>1619</v>
      </c>
      <c r="D6" s="1039" t="str">
        <f ca="1">NUMBERSTRING(INT(D5*10000),2)&amp;"元整"</f>
        <v>贰亿叁仟柒佰玖拾叁万元整</v>
      </c>
      <c r="E6" s="1956"/>
    </row>
    <row r="7" spans="1:5" ht="15.75">
      <c r="A7" s="1956"/>
      <c r="B7" s="3020"/>
      <c r="C7" s="1960" t="s">
        <v>1620</v>
      </c>
      <c r="D7" s="1040">
        <f ca="1">结果表!H102</f>
        <v>12882</v>
      </c>
      <c r="E7" s="1956"/>
    </row>
    <row r="8" spans="1:5" ht="15.75">
      <c r="A8" s="1956"/>
      <c r="B8" s="3021" t="str">
        <f>结果表!E103</f>
        <v>2.估价师知悉的法定优先受偿款</v>
      </c>
      <c r="C8" s="1961" t="s">
        <v>1621</v>
      </c>
      <c r="D8" s="1040">
        <f>结果表!H103</f>
        <v>0</v>
      </c>
      <c r="E8" s="1956"/>
    </row>
    <row r="9" spans="1:5" ht="15.75">
      <c r="A9" s="1956"/>
      <c r="B9" s="3023"/>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14" t="str">
        <f>结果表!E107</f>
        <v>3.房地产抵押价值</v>
      </c>
      <c r="C13" s="1964" t="s">
        <v>1618</v>
      </c>
      <c r="D13" s="1042">
        <f ca="1">结果表!H107</f>
        <v>23793</v>
      </c>
      <c r="E13" s="1956"/>
    </row>
    <row r="14" spans="1:5" ht="15.75">
      <c r="A14" s="1956"/>
      <c r="B14" s="3015"/>
      <c r="C14" s="1959" t="s">
        <v>1619</v>
      </c>
      <c r="D14" s="1039" t="str">
        <f ca="1">NUMBERSTRING(INT(D13*10000),2)&amp;"元整"</f>
        <v>贰亿叁仟柒佰玖拾叁万元整</v>
      </c>
      <c r="E14" s="1956"/>
    </row>
    <row r="15" spans="1:5" ht="15">
      <c r="A15" s="1956"/>
      <c r="B15" s="3020"/>
      <c r="C15" s="1960" t="s">
        <v>1629</v>
      </c>
      <c r="D15" s="1051">
        <f ca="1">结果表!H108</f>
        <v>12882</v>
      </c>
      <c r="E15" s="1956"/>
    </row>
    <row r="16" spans="1:5" ht="15">
      <c r="A16" s="1956"/>
      <c r="B16" s="3021" t="str">
        <f>结果表!E109</f>
        <v>——</v>
      </c>
      <c r="C16" s="1964" t="s">
        <v>1630</v>
      </c>
      <c r="D16" s="1965" t="str">
        <f>结果表!H109</f>
        <v>——</v>
      </c>
      <c r="E16" s="1956"/>
    </row>
    <row r="17" spans="1:5" ht="15.75">
      <c r="A17" s="1956"/>
      <c r="B17" s="3022"/>
      <c r="C17" s="1959" t="s">
        <v>1631</v>
      </c>
      <c r="D17" s="1039" t="e">
        <f>NUMBERSTRING(INT(D16*10000),2)&amp;"元整"</f>
        <v>#VALUE!</v>
      </c>
      <c r="E17" s="1956"/>
    </row>
    <row r="18" spans="1:5" ht="15">
      <c r="A18" s="1956"/>
      <c r="B18" s="3023"/>
      <c r="C18" s="1960" t="s">
        <v>1620</v>
      </c>
      <c r="D18" s="1051" t="str">
        <f>结果表!H110</f>
        <v>——</v>
      </c>
      <c r="E18" s="1956"/>
    </row>
    <row r="19" spans="1:5" ht="15.75">
      <c r="A19" s="1956"/>
      <c r="B19" s="3014" t="str">
        <f>结果表!E111</f>
        <v>——</v>
      </c>
      <c r="C19" s="1964" t="s">
        <v>1618</v>
      </c>
      <c r="D19" s="1040" t="str">
        <f>结果表!H111</f>
        <v>——</v>
      </c>
      <c r="E19" s="1956"/>
    </row>
    <row r="20" spans="1:5" ht="15.75">
      <c r="A20" s="1956"/>
      <c r="B20" s="3015"/>
      <c r="C20" s="1959" t="s">
        <v>1631</v>
      </c>
      <c r="D20" s="1039" t="e">
        <f>NUMBERSTRING(INT(D19*10000),2)&amp;"元整"</f>
        <v>#VALUE!</v>
      </c>
      <c r="E20" s="1956"/>
    </row>
    <row r="21" spans="1:5" ht="15.75" thickBot="1">
      <c r="A21" s="1956"/>
      <c r="B21" s="3016"/>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9" t="s">
        <v>2645</v>
      </c>
      <c r="D4" s="3230"/>
      <c r="E4" s="3231" t="s">
        <v>2646</v>
      </c>
      <c r="F4" s="3232"/>
      <c r="G4" s="3229" t="s">
        <v>2647</v>
      </c>
      <c r="H4" s="3230"/>
      <c r="I4" s="3229" t="s">
        <v>2648</v>
      </c>
      <c r="J4" s="3230"/>
      <c r="K4" s="609" t="s">
        <v>2649</v>
      </c>
      <c r="L4" s="1129"/>
      <c r="M4" s="1130"/>
      <c r="N4" s="1130"/>
      <c r="O4" s="1130"/>
      <c r="P4" s="3233" t="s">
        <v>2650</v>
      </c>
      <c r="Q4" s="3234"/>
      <c r="R4" s="3216" t="s">
        <v>2646</v>
      </c>
      <c r="S4" s="3217"/>
      <c r="T4" s="3216" t="s">
        <v>2647</v>
      </c>
      <c r="U4" s="3217"/>
      <c r="V4" s="3241" t="s">
        <v>2648</v>
      </c>
      <c r="W4" s="3241"/>
      <c r="X4" s="1811"/>
      <c r="Y4" s="3216" t="s">
        <v>2650</v>
      </c>
      <c r="Z4" s="3217"/>
      <c r="AA4" s="3211" t="s">
        <v>2646</v>
      </c>
      <c r="AB4" s="3212" t="s">
        <v>2647</v>
      </c>
      <c r="AC4" s="3211" t="s">
        <v>2648</v>
      </c>
    </row>
    <row r="5" spans="1:29" ht="15">
      <c r="A5" s="403"/>
      <c r="B5" s="404"/>
      <c r="C5" s="3222" t="s">
        <v>2541</v>
      </c>
      <c r="D5" s="3223"/>
      <c r="E5" s="3220" t="s">
        <v>2542</v>
      </c>
      <c r="F5" s="3221"/>
      <c r="G5" s="3222" t="s">
        <v>2543</v>
      </c>
      <c r="H5" s="3223"/>
      <c r="I5" s="3222" t="s">
        <v>2544</v>
      </c>
      <c r="J5" s="3223"/>
      <c r="K5" s="609"/>
      <c r="L5" s="1129"/>
      <c r="M5" s="1130"/>
      <c r="N5" s="1130"/>
      <c r="O5" s="1130"/>
      <c r="P5" s="3235"/>
      <c r="Q5" s="3236"/>
      <c r="R5" s="3218"/>
      <c r="S5" s="3219"/>
      <c r="T5" s="3218"/>
      <c r="U5" s="3219"/>
      <c r="V5" s="3241"/>
      <c r="W5" s="3241"/>
      <c r="X5" s="1811"/>
      <c r="Y5" s="3218"/>
      <c r="Z5" s="3219"/>
      <c r="AA5" s="3212"/>
      <c r="AB5" s="3212"/>
      <c r="AC5" s="3212"/>
    </row>
    <row r="6" spans="1:29" ht="15.75" thickBot="1">
      <c r="A6" s="405"/>
      <c r="B6" s="406"/>
      <c r="C6" s="3306" t="s">
        <v>2796</v>
      </c>
      <c r="D6" s="3307"/>
      <c r="E6" s="3308" t="s">
        <v>2796</v>
      </c>
      <c r="F6" s="3309"/>
      <c r="G6" s="3306" t="s">
        <v>2796</v>
      </c>
      <c r="H6" s="3307"/>
      <c r="I6" s="3306" t="s">
        <v>2796</v>
      </c>
      <c r="J6" s="3307"/>
      <c r="K6" s="609" t="s">
        <v>2546</v>
      </c>
      <c r="L6" s="1129"/>
      <c r="M6" s="1130"/>
      <c r="N6" s="1130"/>
      <c r="O6" s="1130"/>
      <c r="P6" s="3237"/>
      <c r="Q6" s="3238"/>
      <c r="R6" s="3218"/>
      <c r="S6" s="3219"/>
      <c r="T6" s="3239"/>
      <c r="U6" s="3240"/>
      <c r="V6" s="3241"/>
      <c r="W6" s="3241"/>
      <c r="X6" s="1811"/>
      <c r="Y6" s="3239"/>
      <c r="Z6" s="3240"/>
      <c r="AA6" s="3213"/>
      <c r="AB6" s="3213"/>
      <c r="AC6" s="3213"/>
    </row>
    <row r="7" spans="1:29" s="117" customFormat="1" ht="15.75" thickBot="1">
      <c r="A7" s="407" t="s">
        <v>2547</v>
      </c>
      <c r="B7" s="408"/>
      <c r="C7" s="409">
        <f>'数据-取费表'!B2</f>
        <v>43714</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14" t="s">
        <v>2548</v>
      </c>
      <c r="Q7" s="3242"/>
      <c r="R7" s="769" t="s">
        <v>17</v>
      </c>
      <c r="S7" s="770">
        <f t="shared" ref="S7:S15" si="0">F7</f>
        <v>0</v>
      </c>
      <c r="T7" s="769" t="s">
        <v>17</v>
      </c>
      <c r="U7" s="770">
        <f t="shared" ref="U7:U15" si="1">H7</f>
        <v>0</v>
      </c>
      <c r="V7" s="769" t="s">
        <v>17</v>
      </c>
      <c r="W7" s="770">
        <f t="shared" ref="W7:W15" si="2">J7</f>
        <v>0</v>
      </c>
      <c r="X7" s="771"/>
      <c r="Y7" s="3214" t="s">
        <v>2548</v>
      </c>
      <c r="Z7" s="3215"/>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4" t="s">
        <v>2551</v>
      </c>
      <c r="Q8" s="3215"/>
      <c r="R8" s="769" t="s">
        <v>17</v>
      </c>
      <c r="S8" s="770">
        <f t="shared" si="0"/>
        <v>0</v>
      </c>
      <c r="T8" s="769" t="s">
        <v>17</v>
      </c>
      <c r="U8" s="770">
        <f t="shared" si="1"/>
        <v>0</v>
      </c>
      <c r="V8" s="769" t="s">
        <v>17</v>
      </c>
      <c r="W8" s="770">
        <f t="shared" si="2"/>
        <v>0</v>
      </c>
      <c r="X8" s="771"/>
      <c r="Y8" s="3214" t="s">
        <v>2551</v>
      </c>
      <c r="Z8" s="3215"/>
      <c r="AA8" s="772" t="e">
        <f t="shared" ref="AA8:AA40" si="3">D8/F8</f>
        <v>#DIV/0!</v>
      </c>
      <c r="AB8" s="772" t="e">
        <f t="shared" ref="AB8:AB40" si="4">D8/H8</f>
        <v>#DIV/0!</v>
      </c>
      <c r="AC8" s="772" t="e">
        <f t="shared" ref="AC8:AC40" si="5">D8/J8</f>
        <v>#DIV/0!</v>
      </c>
    </row>
    <row r="9" spans="1:29" s="117" customFormat="1">
      <c r="A9" s="414" t="s">
        <v>2552</v>
      </c>
      <c r="B9" s="71" t="s">
        <v>2553</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28" t="s">
        <v>2554</v>
      </c>
      <c r="Q9" s="1793" t="str">
        <f t="shared" ref="Q9:Q15" si="6">B9</f>
        <v>用途</v>
      </c>
      <c r="R9" s="769" t="s">
        <v>17</v>
      </c>
      <c r="S9" s="770">
        <f t="shared" si="0"/>
        <v>100</v>
      </c>
      <c r="T9" s="769" t="s">
        <v>17</v>
      </c>
      <c r="U9" s="770">
        <f t="shared" si="1"/>
        <v>100</v>
      </c>
      <c r="V9" s="769" t="s">
        <v>17</v>
      </c>
      <c r="W9" s="770">
        <f t="shared" si="2"/>
        <v>100</v>
      </c>
      <c r="X9" s="771"/>
      <c r="Y9" s="3079"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228"/>
      <c r="Q10" s="1793" t="str">
        <f t="shared" si="6"/>
        <v>土地使用年限（年）</v>
      </c>
      <c r="R10" s="769" t="s">
        <v>17</v>
      </c>
      <c r="S10" s="770">
        <f t="shared" si="0"/>
        <v>104</v>
      </c>
      <c r="T10" s="769" t="s">
        <v>17</v>
      </c>
      <c r="U10" s="770">
        <f t="shared" si="1"/>
        <v>104</v>
      </c>
      <c r="V10" s="769" t="s">
        <v>17</v>
      </c>
      <c r="W10" s="770">
        <f t="shared" si="2"/>
        <v>104</v>
      </c>
      <c r="X10" s="771"/>
      <c r="Y10" s="3079"/>
      <c r="Z10" s="55" t="str">
        <f t="shared" si="7"/>
        <v>土地使用年限（年）</v>
      </c>
      <c r="AA10" s="772">
        <f t="shared" si="3"/>
        <v>0.96153846153846156</v>
      </c>
      <c r="AB10" s="772">
        <f t="shared" si="4"/>
        <v>0.96153846153846156</v>
      </c>
      <c r="AC10" s="772">
        <f t="shared" si="5"/>
        <v>0.96153846153846156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28"/>
      <c r="Q11" s="1793"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28"/>
      <c r="Q12" s="1793">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28"/>
      <c r="Q13" s="1793">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8"/>
      <c r="Q14" s="1793">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57">
      <c r="A15" s="439" t="s">
        <v>2558</v>
      </c>
      <c r="B15" s="628" t="s">
        <v>2797</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43" t="s">
        <v>2559</v>
      </c>
      <c r="Q15" s="1808" t="str">
        <f t="shared" si="6"/>
        <v>产业集聚程度</v>
      </c>
      <c r="R15" s="773" t="s">
        <v>17</v>
      </c>
      <c r="S15" s="774">
        <f t="shared" si="0"/>
        <v>100</v>
      </c>
      <c r="T15" s="773" t="s">
        <v>17</v>
      </c>
      <c r="U15" s="774">
        <f t="shared" si="1"/>
        <v>100</v>
      </c>
      <c r="V15" s="773" t="s">
        <v>17</v>
      </c>
      <c r="W15" s="774">
        <f t="shared" si="2"/>
        <v>100</v>
      </c>
      <c r="X15" s="1811"/>
      <c r="Y15" s="3243" t="s">
        <v>2559</v>
      </c>
      <c r="Z15" s="1812" t="str">
        <f t="shared" si="7"/>
        <v>产业集聚程度</v>
      </c>
      <c r="AA15" s="1809">
        <f t="shared" si="3"/>
        <v>1</v>
      </c>
      <c r="AB15" s="1809">
        <f t="shared" si="4"/>
        <v>1</v>
      </c>
      <c r="AC15" s="1809">
        <f t="shared" si="5"/>
        <v>1</v>
      </c>
    </row>
    <row r="16" spans="1:29" ht="15">
      <c r="A16" s="427"/>
      <c r="B16" s="629"/>
      <c r="C16" s="446"/>
      <c r="D16" s="447"/>
      <c r="E16" s="2611"/>
      <c r="F16" s="447"/>
      <c r="G16" s="2611"/>
      <c r="H16" s="449"/>
      <c r="I16" s="2611"/>
      <c r="J16" s="447"/>
      <c r="K16" s="671"/>
      <c r="L16" s="1139"/>
      <c r="M16" s="1130"/>
      <c r="N16" s="1130"/>
      <c r="O16" s="1138"/>
      <c r="P16" s="3244"/>
      <c r="Q16" s="1808"/>
      <c r="R16" s="773"/>
      <c r="S16" s="774"/>
      <c r="T16" s="773"/>
      <c r="U16" s="774"/>
      <c r="V16" s="773"/>
      <c r="W16" s="774"/>
      <c r="X16" s="1811"/>
      <c r="Y16" s="3244"/>
      <c r="Z16" s="1812"/>
      <c r="AA16" s="1809">
        <v>1</v>
      </c>
      <c r="AB16" s="1809">
        <v>1</v>
      </c>
      <c r="AC16" s="1809">
        <v>1</v>
      </c>
    </row>
    <row r="17" spans="1:29" ht="85.5">
      <c r="A17" s="427"/>
      <c r="B17" s="630" t="s">
        <v>2708</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44"/>
      <c r="Q17" s="1808" t="str">
        <f>B17</f>
        <v>交通便捷度</v>
      </c>
      <c r="R17" s="773" t="s">
        <v>17</v>
      </c>
      <c r="S17" s="774">
        <f>F17</f>
        <v>100</v>
      </c>
      <c r="T17" s="773" t="s">
        <v>17</v>
      </c>
      <c r="U17" s="774">
        <f>H17</f>
        <v>100</v>
      </c>
      <c r="V17" s="773" t="s">
        <v>17</v>
      </c>
      <c r="W17" s="774">
        <f>J17</f>
        <v>100</v>
      </c>
      <c r="X17" s="1811"/>
      <c r="Y17" s="3244"/>
      <c r="Z17" s="1812" t="str">
        <f>Q17</f>
        <v>交通便捷度</v>
      </c>
      <c r="AA17" s="1809">
        <f t="shared" si="3"/>
        <v>1</v>
      </c>
      <c r="AB17" s="1809">
        <f t="shared" si="4"/>
        <v>1</v>
      </c>
      <c r="AC17" s="1809">
        <f t="shared" si="5"/>
        <v>1</v>
      </c>
    </row>
    <row r="18" spans="1:29" ht="15">
      <c r="A18" s="427"/>
      <c r="B18" s="631"/>
      <c r="C18" s="446"/>
      <c r="D18" s="447"/>
      <c r="E18" s="2605"/>
      <c r="F18" s="447"/>
      <c r="G18" s="2605"/>
      <c r="H18" s="447"/>
      <c r="I18" s="2604"/>
      <c r="J18" s="447"/>
      <c r="K18" s="671"/>
      <c r="L18" s="1139"/>
      <c r="M18" s="1130"/>
      <c r="N18" s="1130"/>
      <c r="O18" s="1138"/>
      <c r="P18" s="3244"/>
      <c r="Q18" s="1808"/>
      <c r="R18" s="773"/>
      <c r="S18" s="774"/>
      <c r="T18" s="773"/>
      <c r="U18" s="774"/>
      <c r="V18" s="773"/>
      <c r="W18" s="774"/>
      <c r="X18" s="1811"/>
      <c r="Y18" s="3244"/>
      <c r="Z18" s="1812"/>
      <c r="AA18" s="1809">
        <v>1</v>
      </c>
      <c r="AB18" s="1809">
        <v>1</v>
      </c>
      <c r="AC18" s="1809">
        <v>1</v>
      </c>
    </row>
    <row r="19" spans="1:29" ht="15">
      <c r="A19" s="427"/>
      <c r="B19" s="630" t="s">
        <v>2747</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44"/>
      <c r="Q19" s="1808" t="str">
        <f t="shared" ref="Q19:Q33" si="8">B19</f>
        <v>区域土地利用方向</v>
      </c>
      <c r="R19" s="773" t="s">
        <v>17</v>
      </c>
      <c r="S19" s="774">
        <f>F19</f>
        <v>100</v>
      </c>
      <c r="T19" s="773" t="s">
        <v>17</v>
      </c>
      <c r="U19" s="774">
        <f>H19</f>
        <v>100</v>
      </c>
      <c r="V19" s="773" t="s">
        <v>17</v>
      </c>
      <c r="W19" s="774">
        <f>J19</f>
        <v>100</v>
      </c>
      <c r="X19" s="1811"/>
      <c r="Y19" s="3244"/>
      <c r="Z19" s="1812" t="str">
        <f>Q19</f>
        <v>区域土地利用方向</v>
      </c>
      <c r="AA19" s="1809">
        <f t="shared" si="3"/>
        <v>1</v>
      </c>
      <c r="AB19" s="1809">
        <f t="shared" si="4"/>
        <v>1</v>
      </c>
      <c r="AC19" s="1809">
        <f t="shared" si="5"/>
        <v>1</v>
      </c>
    </row>
    <row r="20" spans="1:29" ht="15">
      <c r="A20" s="403"/>
      <c r="B20" s="631"/>
      <c r="C20" s="446"/>
      <c r="D20" s="447"/>
      <c r="E20" s="2605"/>
      <c r="F20" s="447"/>
      <c r="G20" s="2605"/>
      <c r="H20" s="447"/>
      <c r="I20" s="2605"/>
      <c r="J20" s="447"/>
      <c r="K20" s="811"/>
      <c r="L20" s="1139"/>
      <c r="M20" s="1130"/>
      <c r="N20" s="1130"/>
      <c r="O20" s="1138"/>
      <c r="P20" s="3244"/>
      <c r="Q20" s="1808"/>
      <c r="R20" s="773"/>
      <c r="S20" s="774"/>
      <c r="T20" s="773"/>
      <c r="U20" s="774"/>
      <c r="V20" s="773"/>
      <c r="W20" s="774"/>
      <c r="X20" s="1811"/>
      <c r="Y20" s="3244"/>
      <c r="Z20" s="1812"/>
      <c r="AA20" s="1809"/>
      <c r="AB20" s="1809"/>
      <c r="AC20" s="1809"/>
    </row>
    <row r="21" spans="1:29" ht="71.25">
      <c r="A21" s="403"/>
      <c r="B21" s="630" t="s">
        <v>2798</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44"/>
      <c r="Q21" s="1808" t="str">
        <f t="shared" si="8"/>
        <v>环境状况</v>
      </c>
      <c r="R21" s="773" t="s">
        <v>17</v>
      </c>
      <c r="S21" s="774">
        <f>F21</f>
        <v>100</v>
      </c>
      <c r="T21" s="773" t="s">
        <v>17</v>
      </c>
      <c r="U21" s="774">
        <f>H21</f>
        <v>100</v>
      </c>
      <c r="V21" s="773" t="s">
        <v>17</v>
      </c>
      <c r="W21" s="774">
        <f>J21</f>
        <v>100</v>
      </c>
      <c r="X21" s="1811"/>
      <c r="Y21" s="3244"/>
      <c r="Z21" s="1812" t="str">
        <f>Q21</f>
        <v>环境状况</v>
      </c>
      <c r="AA21" s="1809">
        <f t="shared" si="3"/>
        <v>1</v>
      </c>
      <c r="AB21" s="1809">
        <f t="shared" si="4"/>
        <v>1</v>
      </c>
      <c r="AC21" s="1809">
        <f t="shared" si="5"/>
        <v>1</v>
      </c>
    </row>
    <row r="22" spans="1:29" ht="15">
      <c r="A22" s="403"/>
      <c r="B22" s="631"/>
      <c r="C22" s="446"/>
      <c r="D22" s="447"/>
      <c r="E22" s="2611"/>
      <c r="F22" s="447"/>
      <c r="G22" s="2611"/>
      <c r="H22" s="447"/>
      <c r="I22" s="446"/>
      <c r="J22" s="447"/>
      <c r="K22" s="671"/>
      <c r="L22" s="1139"/>
      <c r="M22" s="1130"/>
      <c r="N22" s="1130"/>
      <c r="O22" s="1138"/>
      <c r="P22" s="3244"/>
      <c r="Q22" s="1808"/>
      <c r="R22" s="773"/>
      <c r="S22" s="774"/>
      <c r="T22" s="773"/>
      <c r="U22" s="774"/>
      <c r="V22" s="773"/>
      <c r="W22" s="774"/>
      <c r="X22" s="1811"/>
      <c r="Y22" s="3244"/>
      <c r="Z22" s="1812"/>
      <c r="AA22" s="1809">
        <v>1</v>
      </c>
      <c r="AB22" s="1809">
        <v>1</v>
      </c>
      <c r="AC22" s="1809">
        <v>1</v>
      </c>
    </row>
    <row r="23" spans="1:29" s="117" customFormat="1" ht="42.75">
      <c r="A23" s="648"/>
      <c r="B23" s="632" t="s">
        <v>2653</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44"/>
      <c r="Q23" s="1793" t="str">
        <f t="shared" si="8"/>
        <v>公共配套设施</v>
      </c>
      <c r="R23" s="769" t="s">
        <v>17</v>
      </c>
      <c r="S23" s="770">
        <f>F23</f>
        <v>100</v>
      </c>
      <c r="T23" s="769" t="s">
        <v>17</v>
      </c>
      <c r="U23" s="770">
        <f>H23</f>
        <v>100</v>
      </c>
      <c r="V23" s="769" t="s">
        <v>17</v>
      </c>
      <c r="W23" s="770">
        <f>J23</f>
        <v>100</v>
      </c>
      <c r="X23" s="771"/>
      <c r="Y23" s="3244"/>
      <c r="Z23" s="55" t="str">
        <f>Q23</f>
        <v>公共配套设施</v>
      </c>
      <c r="AA23" s="1809">
        <f>D23/F23</f>
        <v>1</v>
      </c>
      <c r="AB23" s="1809">
        <f>D23/H23</f>
        <v>1</v>
      </c>
      <c r="AC23" s="1809">
        <f>D23/J23</f>
        <v>1</v>
      </c>
    </row>
    <row r="24" spans="1:29" s="117" customFormat="1" ht="15">
      <c r="A24" s="648"/>
      <c r="B24" s="631"/>
      <c r="C24" s="2700"/>
      <c r="D24" s="447"/>
      <c r="E24" s="2611"/>
      <c r="F24" s="447"/>
      <c r="G24" s="2611"/>
      <c r="H24" s="447"/>
      <c r="I24" s="446"/>
      <c r="J24" s="447"/>
      <c r="K24" s="671"/>
      <c r="L24" s="1131"/>
      <c r="M24" s="1132"/>
      <c r="N24" s="1132"/>
      <c r="O24" s="1133"/>
      <c r="P24" s="3244"/>
      <c r="Q24" s="1793"/>
      <c r="R24" s="769"/>
      <c r="S24" s="770"/>
      <c r="T24" s="769"/>
      <c r="U24" s="770"/>
      <c r="V24" s="769"/>
      <c r="W24" s="770"/>
      <c r="X24" s="771"/>
      <c r="Y24" s="3244"/>
      <c r="Z24" s="55"/>
      <c r="AA24" s="772">
        <v>1</v>
      </c>
      <c r="AB24" s="772">
        <v>1</v>
      </c>
      <c r="AC24" s="772">
        <v>1</v>
      </c>
    </row>
    <row r="25" spans="1:29" s="117" customFormat="1" ht="28.5">
      <c r="A25" s="648"/>
      <c r="B25" s="632" t="s">
        <v>2654</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44"/>
      <c r="Q25" s="1793" t="str">
        <f t="shared" ref="Q25" si="9">B25</f>
        <v>基础设施水平</v>
      </c>
      <c r="R25" s="769" t="s">
        <v>17</v>
      </c>
      <c r="S25" s="770">
        <f>F25</f>
        <v>100</v>
      </c>
      <c r="T25" s="769" t="s">
        <v>17</v>
      </c>
      <c r="U25" s="770">
        <f>H25</f>
        <v>100</v>
      </c>
      <c r="V25" s="769" t="s">
        <v>17</v>
      </c>
      <c r="W25" s="770">
        <f>J25</f>
        <v>100</v>
      </c>
      <c r="X25" s="771"/>
      <c r="Y25" s="3244"/>
      <c r="Z25" s="55" t="str">
        <f>Q25</f>
        <v>基础设施水平</v>
      </c>
      <c r="AA25" s="1809">
        <f>D25/F25</f>
        <v>1</v>
      </c>
      <c r="AB25" s="1809">
        <f>D25/H25</f>
        <v>1</v>
      </c>
      <c r="AC25" s="1809">
        <f>D25/J25</f>
        <v>1</v>
      </c>
    </row>
    <row r="26" spans="1:29" s="117" customFormat="1" ht="15">
      <c r="A26" s="648"/>
      <c r="B26" s="631"/>
      <c r="C26" s="2700"/>
      <c r="D26" s="447"/>
      <c r="E26" s="2701"/>
      <c r="F26" s="447"/>
      <c r="G26" s="2701"/>
      <c r="H26" s="447"/>
      <c r="I26" s="2701"/>
      <c r="J26" s="447"/>
      <c r="K26" s="671"/>
      <c r="L26" s="1131"/>
      <c r="M26" s="1132"/>
      <c r="N26" s="1132"/>
      <c r="O26" s="1133"/>
      <c r="P26" s="3244"/>
      <c r="Q26" s="1793"/>
      <c r="R26" s="769"/>
      <c r="S26" s="770"/>
      <c r="T26" s="769"/>
      <c r="U26" s="770"/>
      <c r="V26" s="769"/>
      <c r="W26" s="770"/>
      <c r="X26" s="771"/>
      <c r="Y26" s="3244"/>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44"/>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4"/>
      <c r="Z27" s="1812" t="str">
        <f t="shared" ref="Z27:Z40" si="13">Q27</f>
        <v>临街状况</v>
      </c>
      <c r="AA27" s="1809">
        <f t="shared" si="3"/>
        <v>1</v>
      </c>
      <c r="AB27" s="1809">
        <f t="shared" si="4"/>
        <v>1</v>
      </c>
      <c r="AC27" s="1809">
        <f t="shared" si="5"/>
        <v>1</v>
      </c>
    </row>
    <row r="28" spans="1:29" ht="27">
      <c r="A28" s="427"/>
      <c r="B28" s="632" t="s">
        <v>2690</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44"/>
      <c r="Q28" s="1808" t="str">
        <f t="shared" si="8"/>
        <v>毗邻道路的类型与等级</v>
      </c>
      <c r="R28" s="773" t="s">
        <v>17</v>
      </c>
      <c r="S28" s="774">
        <f t="shared" si="10"/>
        <v>100</v>
      </c>
      <c r="T28" s="773" t="s">
        <v>17</v>
      </c>
      <c r="U28" s="774">
        <f t="shared" si="11"/>
        <v>100</v>
      </c>
      <c r="V28" s="773" t="s">
        <v>17</v>
      </c>
      <c r="W28" s="774">
        <f t="shared" si="12"/>
        <v>100</v>
      </c>
      <c r="X28" s="1811"/>
      <c r="Y28" s="3244"/>
      <c r="Z28" s="1812" t="str">
        <f t="shared" si="13"/>
        <v>毗邻道路的类型与等级</v>
      </c>
      <c r="AA28" s="1809">
        <f t="shared" si="3"/>
        <v>1</v>
      </c>
      <c r="AB28" s="1809">
        <f t="shared" si="4"/>
        <v>1</v>
      </c>
      <c r="AC28" s="1809">
        <f t="shared" si="5"/>
        <v>1</v>
      </c>
    </row>
    <row r="29" spans="1:29" ht="15">
      <c r="A29" s="427"/>
      <c r="B29" s="631"/>
      <c r="C29" s="446"/>
      <c r="D29" s="447"/>
      <c r="E29" s="2611"/>
      <c r="F29" s="447"/>
      <c r="G29" s="2611"/>
      <c r="H29" s="447"/>
      <c r="I29" s="2611"/>
      <c r="J29" s="447"/>
      <c r="K29" s="612"/>
      <c r="L29" s="1139"/>
      <c r="M29" s="1130"/>
      <c r="N29" s="1130"/>
      <c r="O29" s="1138"/>
      <c r="P29" s="3244"/>
      <c r="Q29" s="1808"/>
      <c r="R29" s="773"/>
      <c r="S29" s="774"/>
      <c r="T29" s="773"/>
      <c r="U29" s="774"/>
      <c r="V29" s="773"/>
      <c r="W29" s="774"/>
      <c r="X29" s="1811"/>
      <c r="Y29" s="3244"/>
      <c r="Z29" s="1812"/>
      <c r="AA29" s="1809">
        <v>1</v>
      </c>
      <c r="AB29" s="1809">
        <v>1</v>
      </c>
      <c r="AC29" s="1809">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44"/>
      <c r="Q30" s="1808" t="str">
        <f t="shared" si="8"/>
        <v>土地级别</v>
      </c>
      <c r="R30" s="773" t="s">
        <v>17</v>
      </c>
      <c r="S30" s="774">
        <f t="shared" si="10"/>
        <v>100</v>
      </c>
      <c r="T30" s="773" t="s">
        <v>17</v>
      </c>
      <c r="U30" s="774">
        <f t="shared" si="11"/>
        <v>100</v>
      </c>
      <c r="V30" s="773" t="s">
        <v>17</v>
      </c>
      <c r="W30" s="774">
        <f t="shared" si="12"/>
        <v>100</v>
      </c>
      <c r="X30" s="1811"/>
      <c r="Y30" s="3244"/>
      <c r="Z30" s="1812" t="str">
        <f t="shared" si="13"/>
        <v>土地级别</v>
      </c>
      <c r="AA30" s="1809">
        <f t="shared" si="3"/>
        <v>1</v>
      </c>
      <c r="AB30" s="1809">
        <f t="shared" si="4"/>
        <v>1</v>
      </c>
      <c r="AC30" s="1809">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4"/>
      <c r="Q31" s="1808">
        <f t="shared" si="8"/>
        <v>111</v>
      </c>
      <c r="R31" s="773" t="s">
        <v>17</v>
      </c>
      <c r="S31" s="774">
        <f t="shared" si="10"/>
        <v>100</v>
      </c>
      <c r="T31" s="773" t="s">
        <v>17</v>
      </c>
      <c r="U31" s="774">
        <f t="shared" si="11"/>
        <v>100</v>
      </c>
      <c r="V31" s="773" t="s">
        <v>17</v>
      </c>
      <c r="W31" s="774">
        <f t="shared" si="12"/>
        <v>100</v>
      </c>
      <c r="X31" s="1811"/>
      <c r="Y31" s="3244"/>
      <c r="Z31" s="1812">
        <f t="shared" si="13"/>
        <v>111</v>
      </c>
      <c r="AA31" s="1809">
        <f t="shared" si="3"/>
        <v>1</v>
      </c>
      <c r="AB31" s="1809">
        <f t="shared" si="4"/>
        <v>1</v>
      </c>
      <c r="AC31" s="1809">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5" t="s">
        <v>2564</v>
      </c>
      <c r="Q32" s="1808">
        <f t="shared" si="8"/>
        <v>111</v>
      </c>
      <c r="R32" s="773" t="s">
        <v>17</v>
      </c>
      <c r="S32" s="774">
        <f t="shared" si="10"/>
        <v>100</v>
      </c>
      <c r="T32" s="773" t="s">
        <v>17</v>
      </c>
      <c r="U32" s="774">
        <f t="shared" si="11"/>
        <v>100</v>
      </c>
      <c r="V32" s="773" t="s">
        <v>17</v>
      </c>
      <c r="W32" s="774">
        <f t="shared" si="12"/>
        <v>100</v>
      </c>
      <c r="X32" s="1811"/>
      <c r="Y32" s="3246" t="s">
        <v>2564</v>
      </c>
      <c r="Z32" s="1812">
        <f t="shared" si="13"/>
        <v>111</v>
      </c>
      <c r="AA32" s="1809">
        <f t="shared" si="3"/>
        <v>1</v>
      </c>
      <c r="AB32" s="1809">
        <f t="shared" si="4"/>
        <v>1</v>
      </c>
      <c r="AC32" s="1809">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46"/>
      <c r="Q33" s="1808">
        <f t="shared" si="8"/>
        <v>111</v>
      </c>
      <c r="R33" s="776" t="s">
        <v>17</v>
      </c>
      <c r="S33" s="777">
        <f t="shared" si="10"/>
        <v>100</v>
      </c>
      <c r="T33" s="776" t="s">
        <v>17</v>
      </c>
      <c r="U33" s="777">
        <f t="shared" si="11"/>
        <v>100</v>
      </c>
      <c r="V33" s="776" t="s">
        <v>17</v>
      </c>
      <c r="W33" s="777">
        <f t="shared" si="12"/>
        <v>100</v>
      </c>
      <c r="X33" s="778"/>
      <c r="Y33" s="3246"/>
      <c r="Z33" s="779">
        <f t="shared" si="13"/>
        <v>111</v>
      </c>
      <c r="AA33" s="1809">
        <f t="shared" si="3"/>
        <v>1</v>
      </c>
      <c r="AB33" s="1809">
        <f t="shared" si="4"/>
        <v>1</v>
      </c>
      <c r="AC33" s="1809">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46"/>
      <c r="Q34" s="1808" t="str">
        <f>B34</f>
        <v>宗地面积</v>
      </c>
      <c r="R34" s="773" t="s">
        <v>17</v>
      </c>
      <c r="S34" s="774" t="e">
        <f t="shared" si="10"/>
        <v>#N/A</v>
      </c>
      <c r="T34" s="773" t="s">
        <v>17</v>
      </c>
      <c r="U34" s="774" t="e">
        <f t="shared" si="11"/>
        <v>#N/A</v>
      </c>
      <c r="V34" s="773" t="s">
        <v>17</v>
      </c>
      <c r="W34" s="774" t="e">
        <f t="shared" si="12"/>
        <v>#N/A</v>
      </c>
      <c r="X34" s="1811"/>
      <c r="Y34" s="3246"/>
      <c r="Z34" s="1812" t="str">
        <f t="shared" si="13"/>
        <v>宗地面积</v>
      </c>
      <c r="AA34" s="1809" t="e">
        <f t="shared" si="3"/>
        <v>#N/A</v>
      </c>
      <c r="AB34" s="1809" t="e">
        <f t="shared" si="4"/>
        <v>#N/A</v>
      </c>
      <c r="AC34" s="1809" t="e">
        <f t="shared" si="5"/>
        <v>#N/A</v>
      </c>
    </row>
    <row r="35" spans="1:29" ht="15">
      <c r="A35" s="471"/>
      <c r="B35" s="421" t="s">
        <v>2751</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46"/>
      <c r="Q35" s="1808" t="str">
        <f t="shared" ref="Q35:Q40" si="14">B35</f>
        <v>宗地形状</v>
      </c>
      <c r="R35" s="773" t="s">
        <v>17</v>
      </c>
      <c r="S35" s="774">
        <f t="shared" si="10"/>
        <v>100</v>
      </c>
      <c r="T35" s="773" t="s">
        <v>17</v>
      </c>
      <c r="U35" s="774">
        <f t="shared" si="11"/>
        <v>100</v>
      </c>
      <c r="V35" s="773" t="s">
        <v>17</v>
      </c>
      <c r="W35" s="774">
        <f t="shared" si="12"/>
        <v>100</v>
      </c>
      <c r="X35" s="1811"/>
      <c r="Y35" s="3246"/>
      <c r="Z35" s="1812" t="str">
        <f t="shared" si="13"/>
        <v>宗地形状</v>
      </c>
      <c r="AA35" s="1809">
        <f t="shared" si="3"/>
        <v>1</v>
      </c>
      <c r="AB35" s="1809">
        <f t="shared" si="4"/>
        <v>1</v>
      </c>
      <c r="AC35" s="1809">
        <f t="shared" si="5"/>
        <v>1</v>
      </c>
    </row>
    <row r="36" spans="1:29" s="117" customFormat="1" ht="15">
      <c r="A36" s="472"/>
      <c r="B36" s="421" t="s">
        <v>2753</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46"/>
      <c r="Q36" s="1808" t="str">
        <f t="shared" si="14"/>
        <v>宗地开发程度</v>
      </c>
      <c r="R36" s="769" t="s">
        <v>17</v>
      </c>
      <c r="S36" s="770">
        <f t="shared" si="10"/>
        <v>100</v>
      </c>
      <c r="T36" s="769" t="s">
        <v>17</v>
      </c>
      <c r="U36" s="770">
        <f t="shared" si="11"/>
        <v>100</v>
      </c>
      <c r="V36" s="769" t="s">
        <v>17</v>
      </c>
      <c r="W36" s="770">
        <f t="shared" si="12"/>
        <v>100</v>
      </c>
      <c r="X36" s="771"/>
      <c r="Y36" s="3246"/>
      <c r="Z36" s="55" t="str">
        <f t="shared" si="13"/>
        <v>宗地开发程度</v>
      </c>
      <c r="AA36" s="772">
        <f t="shared" si="3"/>
        <v>1</v>
      </c>
      <c r="AB36" s="772">
        <f t="shared" si="4"/>
        <v>1</v>
      </c>
      <c r="AC36" s="772">
        <f t="shared" si="5"/>
        <v>1</v>
      </c>
    </row>
    <row r="37" spans="1:29" ht="15">
      <c r="A37" s="471"/>
      <c r="B37" s="421" t="s">
        <v>2754</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46" t="s">
        <v>2564</v>
      </c>
      <c r="Q37" s="1808" t="str">
        <f t="shared" si="14"/>
        <v>工程地质条件</v>
      </c>
      <c r="R37" s="773" t="s">
        <v>17</v>
      </c>
      <c r="S37" s="774">
        <f t="shared" si="10"/>
        <v>100</v>
      </c>
      <c r="T37" s="773" t="s">
        <v>17</v>
      </c>
      <c r="U37" s="774">
        <f t="shared" si="11"/>
        <v>100</v>
      </c>
      <c r="V37" s="773" t="s">
        <v>17</v>
      </c>
      <c r="W37" s="774">
        <f t="shared" si="12"/>
        <v>100</v>
      </c>
      <c r="X37" s="1811"/>
      <c r="Y37" s="3246" t="s">
        <v>2564</v>
      </c>
      <c r="Z37" s="1812" t="str">
        <f t="shared" si="13"/>
        <v>工程地质条件</v>
      </c>
      <c r="AA37" s="1809">
        <f t="shared" si="3"/>
        <v>1</v>
      </c>
      <c r="AB37" s="1809">
        <f t="shared" si="4"/>
        <v>1</v>
      </c>
      <c r="AC37" s="1809">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46"/>
      <c r="Q38" s="1808">
        <f t="shared" si="14"/>
        <v>111</v>
      </c>
      <c r="R38" s="773" t="s">
        <v>17</v>
      </c>
      <c r="S38" s="774">
        <f t="shared" si="10"/>
        <v>100</v>
      </c>
      <c r="T38" s="773" t="s">
        <v>17</v>
      </c>
      <c r="U38" s="774">
        <f t="shared" si="11"/>
        <v>100</v>
      </c>
      <c r="V38" s="773" t="s">
        <v>17</v>
      </c>
      <c r="W38" s="774">
        <f t="shared" si="12"/>
        <v>100</v>
      </c>
      <c r="X38" s="1811"/>
      <c r="Y38" s="3246"/>
      <c r="Z38" s="1812">
        <f t="shared" si="13"/>
        <v>111</v>
      </c>
      <c r="AA38" s="1809">
        <f t="shared" si="3"/>
        <v>1</v>
      </c>
      <c r="AB38" s="1809">
        <f t="shared" si="4"/>
        <v>1</v>
      </c>
      <c r="AC38" s="1809">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46"/>
      <c r="Q39" s="1808">
        <f t="shared" si="14"/>
        <v>111</v>
      </c>
      <c r="R39" s="773" t="s">
        <v>17</v>
      </c>
      <c r="S39" s="774">
        <f t="shared" si="10"/>
        <v>100</v>
      </c>
      <c r="T39" s="773" t="s">
        <v>17</v>
      </c>
      <c r="U39" s="774">
        <f t="shared" si="11"/>
        <v>100</v>
      </c>
      <c r="V39" s="773" t="s">
        <v>17</v>
      </c>
      <c r="W39" s="774">
        <f t="shared" si="12"/>
        <v>100</v>
      </c>
      <c r="X39" s="1811"/>
      <c r="Y39" s="3246"/>
      <c r="Z39" s="1812">
        <f t="shared" si="13"/>
        <v>111</v>
      </c>
      <c r="AA39" s="1809">
        <f t="shared" si="3"/>
        <v>1</v>
      </c>
      <c r="AB39" s="1809">
        <f t="shared" si="4"/>
        <v>1</v>
      </c>
      <c r="AC39" s="1809">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46"/>
      <c r="Q40" s="1808">
        <f t="shared" si="14"/>
        <v>111</v>
      </c>
      <c r="R40" s="776" t="s">
        <v>17</v>
      </c>
      <c r="S40" s="777">
        <f t="shared" si="10"/>
        <v>100</v>
      </c>
      <c r="T40" s="776" t="s">
        <v>17</v>
      </c>
      <c r="U40" s="777">
        <f t="shared" si="11"/>
        <v>100</v>
      </c>
      <c r="V40" s="776" t="s">
        <v>17</v>
      </c>
      <c r="W40" s="777">
        <f t="shared" si="12"/>
        <v>100</v>
      </c>
      <c r="X40" s="778"/>
      <c r="Y40" s="3246"/>
      <c r="Z40" s="779">
        <f t="shared" si="13"/>
        <v>111</v>
      </c>
      <c r="AA40" s="1809">
        <f t="shared" si="3"/>
        <v>1</v>
      </c>
      <c r="AB40" s="1809">
        <f t="shared" si="4"/>
        <v>1</v>
      </c>
      <c r="AC40" s="1809">
        <f t="shared" si="5"/>
        <v>1</v>
      </c>
    </row>
    <row r="41" spans="1:29" ht="15">
      <c r="A41" s="478" t="s">
        <v>2719</v>
      </c>
      <c r="B41" s="2704" t="s">
        <v>2799</v>
      </c>
      <c r="C41" s="681" t="s">
        <v>1</v>
      </c>
      <c r="D41" s="480"/>
      <c r="E41" s="481"/>
      <c r="F41" s="482"/>
      <c r="G41" s="483"/>
      <c r="H41" s="484"/>
      <c r="I41" s="481"/>
      <c r="J41" s="484"/>
      <c r="K41" s="782"/>
      <c r="L41" s="1142"/>
      <c r="M41" s="1130"/>
      <c r="N41" s="1130"/>
      <c r="O41" s="1143"/>
      <c r="P41" s="3228" t="str">
        <f>A41</f>
        <v>成交单价</v>
      </c>
      <c r="Q41" s="3228"/>
      <c r="R41" s="3241">
        <f>E41</f>
        <v>0</v>
      </c>
      <c r="S41" s="3241"/>
      <c r="T41" s="3241">
        <f>G41</f>
        <v>0</v>
      </c>
      <c r="U41" s="3241"/>
      <c r="V41" s="3241">
        <f>I41</f>
        <v>0</v>
      </c>
      <c r="W41" s="3241"/>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28" t="str">
        <f>A42</f>
        <v>比较价值（元/平方米）</v>
      </c>
      <c r="Q42" s="3228"/>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48" t="str">
        <f>A43</f>
        <v>估价对象XX用房的比较价值（楼面单价，元/平方米）</v>
      </c>
      <c r="Q43" s="3249"/>
      <c r="R43" s="3250" t="e">
        <f>ROUND(AVERAGE(R42:V42),0)</f>
        <v>#DIV/0!</v>
      </c>
      <c r="S43" s="3250"/>
      <c r="T43" s="3250"/>
      <c r="U43" s="3250"/>
      <c r="V43" s="3250"/>
      <c r="W43" s="325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705" t="s">
        <v>2759</v>
      </c>
      <c r="D50" s="2706" t="s">
        <v>2760</v>
      </c>
      <c r="E50" s="685" t="s">
        <v>2761</v>
      </c>
      <c r="F50" s="686" t="s">
        <v>2762</v>
      </c>
      <c r="G50" s="3229" t="s">
        <v>2763</v>
      </c>
      <c r="H50" s="3251"/>
      <c r="I50" s="1812" t="s">
        <v>2800</v>
      </c>
      <c r="J50" s="1812">
        <f>项目基本情况!F35</f>
        <v>0</v>
      </c>
      <c r="K50" s="2708" t="s">
        <v>2765</v>
      </c>
      <c r="L50" s="1105"/>
      <c r="M50" s="1143"/>
      <c r="N50" s="1143"/>
      <c r="O50" s="1143"/>
    </row>
    <row r="51" spans="1:17" s="691" customFormat="1">
      <c r="A51" s="687" t="s">
        <v>2766</v>
      </c>
      <c r="B51" s="688" t="e">
        <f>C43</f>
        <v>#DIV/0!</v>
      </c>
      <c r="C51" s="689">
        <v>1</v>
      </c>
      <c r="D51" s="1162">
        <v>1</v>
      </c>
      <c r="E51" s="689">
        <f>'数据-汇总表'!E8+'数据-汇总表'!E9</f>
        <v>18470.39</v>
      </c>
      <c r="F51" s="690" t="e">
        <f t="shared" ref="F51:F60" si="15">ROUND(B51*E51/10000,0)</f>
        <v>#DIV/0!</v>
      </c>
      <c r="G51" s="3252"/>
      <c r="H51" s="3228"/>
      <c r="I51" s="941">
        <v>1</v>
      </c>
      <c r="J51" s="941">
        <v>1</v>
      </c>
      <c r="K51" s="1144"/>
      <c r="L51" s="940"/>
      <c r="M51" s="940"/>
      <c r="N51" s="940"/>
      <c r="O51" s="940"/>
    </row>
    <row r="52" spans="1:17" s="691" customFormat="1">
      <c r="A52" s="692" t="s">
        <v>2767</v>
      </c>
      <c r="B52" s="261" t="e">
        <f>ROUND($C$43*C52*D52,0)</f>
        <v>#DIV/0!</v>
      </c>
      <c r="C52" s="199">
        <f t="shared" ref="C52:C60" si="16">IF($C$50="北京市系数",I52,J52)</f>
        <v>0</v>
      </c>
      <c r="D52" s="1163">
        <v>0.25</v>
      </c>
      <c r="E52" s="693"/>
      <c r="F52" s="690" t="e">
        <f t="shared" si="15"/>
        <v>#DIV/0!</v>
      </c>
      <c r="G52" s="3253" t="s">
        <v>2768</v>
      </c>
      <c r="H52" s="1103">
        <f>项目基本情况!B37</f>
        <v>0</v>
      </c>
      <c r="I52" s="941">
        <f>SUMIF(修正!A45:A56,H52,修正!B45:B56)</f>
        <v>0</v>
      </c>
      <c r="J52" s="942"/>
      <c r="K52" s="1143"/>
      <c r="L52" s="940"/>
      <c r="M52" s="940"/>
      <c r="N52" s="940"/>
      <c r="O52" s="940"/>
    </row>
    <row r="53" spans="1:17" s="691" customFormat="1">
      <c r="A53" s="692" t="s">
        <v>2769</v>
      </c>
      <c r="B53" s="261" t="e">
        <f t="shared" ref="B53:B60" si="17">ROUND($C$43*C53*D53,0)</f>
        <v>#DIV/0!</v>
      </c>
      <c r="C53" s="199">
        <f t="shared" si="16"/>
        <v>0</v>
      </c>
      <c r="D53" s="1163">
        <v>0.25</v>
      </c>
      <c r="E53" s="693"/>
      <c r="F53" s="690" t="e">
        <f t="shared" si="15"/>
        <v>#DIV/0!</v>
      </c>
      <c r="G53" s="3253"/>
      <c r="H53" s="1103">
        <f>项目基本情况!B37</f>
        <v>0</v>
      </c>
      <c r="I53" s="941">
        <f>SUMIF(修正!A45:A56,H53,修正!C45:C56)</f>
        <v>0</v>
      </c>
      <c r="J53" s="942"/>
      <c r="K53" s="1144"/>
      <c r="L53" s="940"/>
      <c r="M53" s="940"/>
      <c r="N53" s="940"/>
      <c r="O53" s="940"/>
    </row>
    <row r="54" spans="1:17" s="691" customFormat="1">
      <c r="A54" s="692" t="s">
        <v>2770</v>
      </c>
      <c r="B54" s="261" t="e">
        <f t="shared" si="17"/>
        <v>#DIV/0!</v>
      </c>
      <c r="C54" s="199">
        <f t="shared" si="16"/>
        <v>0</v>
      </c>
      <c r="D54" s="1163">
        <v>0.25</v>
      </c>
      <c r="E54" s="693"/>
      <c r="F54" s="690" t="e">
        <f t="shared" si="15"/>
        <v>#DIV/0!</v>
      </c>
      <c r="G54" s="3253"/>
      <c r="H54" s="1103">
        <f>项目基本情况!B37</f>
        <v>0</v>
      </c>
      <c r="I54" s="941">
        <f>SUMIF(修正!A45:A56,H54,修正!D45:D56)</f>
        <v>0</v>
      </c>
      <c r="J54" s="942"/>
      <c r="K54" s="1143"/>
      <c r="L54" s="940"/>
      <c r="M54" s="940"/>
      <c r="N54" s="940"/>
      <c r="O54" s="940"/>
    </row>
    <row r="55" spans="1:17" s="691" customFormat="1">
      <c r="A55" s="692" t="s">
        <v>2771</v>
      </c>
      <c r="B55" s="261" t="e">
        <f t="shared" si="17"/>
        <v>#DIV/0!</v>
      </c>
      <c r="C55" s="199">
        <f t="shared" si="16"/>
        <v>0</v>
      </c>
      <c r="D55" s="1163">
        <v>0.25</v>
      </c>
      <c r="E55" s="693"/>
      <c r="F55" s="690" t="e">
        <f t="shared" si="15"/>
        <v>#DIV/0!</v>
      </c>
      <c r="G55" s="3253"/>
      <c r="H55" s="1103">
        <f>项目基本情况!B37</f>
        <v>0</v>
      </c>
      <c r="I55" s="941">
        <f>SUMIF(修正!A45:A56,H55,修正!E45:E56)</f>
        <v>0</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09"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v>
      </c>
      <c r="D59" s="1163">
        <v>0.25</v>
      </c>
      <c r="E59" s="260">
        <f>'数据-汇总表'!E14</f>
        <v>0</v>
      </c>
      <c r="F59" s="690" t="e">
        <f t="shared" si="15"/>
        <v>#DIV/0!</v>
      </c>
      <c r="G59" s="2709" t="s">
        <v>2768</v>
      </c>
      <c r="H59" s="1103">
        <f>项目基本情况!B37</f>
        <v>0</v>
      </c>
      <c r="I59" s="941">
        <f>SUMIF(修正!A45:A56,H59,修正!H45:H56)</f>
        <v>0</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10"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1026</v>
      </c>
      <c r="E61" s="695">
        <f>IF(B41="楼面地价",SUM(E51:E60),'数据-汇总表'!D3)</f>
        <v>3519.75</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11" t="s">
        <v>2781</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7" customFormat="1" ht="30.75" customHeight="1">
      <c r="A66" s="2716" t="s">
        <v>2801</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2803</v>
      </c>
      <c r="B1" s="240"/>
      <c r="C1" s="244" t="s">
        <v>2804</v>
      </c>
      <c r="D1" s="387">
        <f>SUM(D29:D30,D33:D39)</f>
        <v>0</v>
      </c>
      <c r="E1" s="2717"/>
      <c r="F1" s="2717"/>
      <c r="G1" s="2717"/>
      <c r="H1" s="2717"/>
      <c r="I1" s="2717"/>
      <c r="J1" s="2717"/>
      <c r="K1" s="1369"/>
      <c r="L1" s="2718" t="s">
        <v>2805</v>
      </c>
      <c r="M1" s="1079">
        <f>SUMPRODUCT((区片价!B5:B9=I2)*(区片价!C3:F3=E2)*(区片价!C5:F9))</f>
        <v>0</v>
      </c>
      <c r="N1" s="1082">
        <f>SUMPRODUCT((因素修正幅度!B5:B9=I2)*(因素修正幅度!C3:F3=E2)*(因素修正幅度!C5:F9))</f>
        <v>0</v>
      </c>
      <c r="O1" s="2719"/>
      <c r="P1" s="2719"/>
      <c r="Q1" s="1369"/>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4" t="s">
        <v>2811</v>
      </c>
      <c r="B2" s="247" t="e">
        <f>C26</f>
        <v>#DIV/0!</v>
      </c>
      <c r="C2" s="2721" t="s">
        <v>2812</v>
      </c>
      <c r="D2" s="2722" t="s">
        <v>2813</v>
      </c>
      <c r="E2" s="2723"/>
      <c r="F2" s="2722" t="s">
        <v>2814</v>
      </c>
      <c r="G2" s="2724">
        <f>IF(E2="商业",项目基本情况!B37,IF(E2="办公",项目基本情况!C37,IF(E2="住宅",项目基本情况!D37,项目基本情况!E37)))</f>
        <v>0</v>
      </c>
      <c r="H2" s="2722" t="s">
        <v>2815</v>
      </c>
      <c r="I2" s="2724">
        <f>IF(E2="商业",项目基本情况!B38,IF(E2="办公",项目基本情况!C38,IF(E2="住宅",项目基本情况!D38,项目基本情况!E38)))</f>
        <v>0</v>
      </c>
      <c r="J2" s="2725"/>
      <c r="K2" s="1369"/>
      <c r="L2" s="2726" t="s">
        <v>2816</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2817</v>
      </c>
      <c r="B3" s="247" t="e">
        <f>ROUND(B2*10000/D1,0)</f>
        <v>#DIV/0!</v>
      </c>
      <c r="C3" s="2721" t="s">
        <v>2818</v>
      </c>
      <c r="D3" s="2722" t="s">
        <v>2819</v>
      </c>
      <c r="E3" s="2727"/>
      <c r="F3" s="2728" t="s">
        <v>2820</v>
      </c>
      <c r="G3" s="915">
        <f>IF(F3="宗地容积率",'数据-汇总表'!I4,IF(F3="估价对象容积率",'数据-汇总表'!I6,'数据-汇总表'!I7))</f>
        <v>4.12</v>
      </c>
      <c r="H3" s="197" t="s">
        <v>2821</v>
      </c>
      <c r="I3" s="943"/>
      <c r="J3" s="2725" t="s">
        <v>2822</v>
      </c>
      <c r="K3" s="1369"/>
      <c r="L3" s="2726" t="s">
        <v>2823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26"/>
      <c r="B4" s="3327"/>
      <c r="C4" s="3327"/>
      <c r="D4" s="3328"/>
      <c r="E4" s="3328"/>
      <c r="F4" s="3328"/>
      <c r="G4" s="3328"/>
      <c r="H4" s="3328"/>
      <c r="I4" s="3328"/>
      <c r="J4" s="3329"/>
      <c r="K4" s="1369"/>
      <c r="L4" s="2726" t="s">
        <v>2824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2825</v>
      </c>
      <c r="C5" s="916" t="e">
        <f>ROUND(IF(E2="商业",C6*C7+C16,(IF(E2="住宅",C6*C12+C16,C6+C16))),0)</f>
        <v>#DIV/0!</v>
      </c>
      <c r="D5" s="1785" t="e">
        <f>ROUND(C6+C16,0)</f>
        <v>#DIV/0!</v>
      </c>
      <c r="E5" s="1785"/>
      <c r="F5" s="2731"/>
      <c r="G5" s="2732"/>
      <c r="H5" s="2732"/>
      <c r="I5" s="2732"/>
      <c r="J5" s="2733"/>
      <c r="K5" s="2734"/>
      <c r="L5" s="2726" t="s">
        <v>2826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5"/>
      <c r="AD5" s="2736"/>
      <c r="AE5" s="2736"/>
      <c r="AF5" s="2736"/>
      <c r="AG5" s="2736"/>
      <c r="AH5" s="2736"/>
      <c r="AI5" s="2736"/>
      <c r="AJ5" s="2737"/>
    </row>
    <row r="6" spans="1:36" ht="15.75" thickBot="1">
      <c r="A6" s="2739" t="s">
        <v>2827</v>
      </c>
      <c r="B6" s="2740" t="s">
        <v>2828</v>
      </c>
      <c r="C6" s="917">
        <f>SUMIF(L1:L12,G2,M1:M12)</f>
        <v>0</v>
      </c>
      <c r="D6" s="2741" t="s">
        <v>2829</v>
      </c>
      <c r="E6" s="2742"/>
      <c r="F6" s="2742"/>
      <c r="G6" s="2743"/>
      <c r="H6" s="2743"/>
      <c r="I6" s="2743"/>
      <c r="J6" s="2744"/>
      <c r="K6" s="1840"/>
      <c r="L6" s="2726" t="s">
        <v>2830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5"/>
      <c r="AD6" s="2736"/>
      <c r="AE6" s="2736"/>
      <c r="AF6" s="2736"/>
      <c r="AG6" s="2736"/>
      <c r="AH6" s="2736"/>
      <c r="AI6" s="2736"/>
      <c r="AJ6" s="2737"/>
    </row>
    <row r="7" spans="1:36" ht="24">
      <c r="A7" s="3310" t="str">
        <f>IF(E2="商业",IF(C8="不临58条商业街","",2),"")</f>
        <v/>
      </c>
      <c r="B7" s="2745" t="s">
        <v>2831</v>
      </c>
      <c r="C7" s="918" t="e">
        <f>IF(C8="不临58条商业街",1,ROUND(1+(1.6*E8+1.2*E9+0.8*E10+0.4*E11)*C9,4))</f>
        <v>#DIV/0!</v>
      </c>
      <c r="D7" s="2746" t="s">
        <v>2832</v>
      </c>
      <c r="E7" s="944"/>
      <c r="F7" s="2747"/>
      <c r="G7" s="2748"/>
      <c r="H7" s="2748"/>
      <c r="I7" s="2748"/>
      <c r="J7" s="2749"/>
      <c r="K7" s="1840"/>
      <c r="L7" s="2726" t="s">
        <v>2833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2834</v>
      </c>
      <c r="X7" s="1602">
        <f>G2</f>
        <v>0</v>
      </c>
      <c r="Y7" s="1602" t="s">
        <v>2835</v>
      </c>
      <c r="Z7" s="1603">
        <f>G3</f>
        <v>4.12</v>
      </c>
      <c r="AA7" s="1604"/>
      <c r="AB7" s="1604"/>
      <c r="AC7" s="1605"/>
      <c r="AD7" s="1606"/>
      <c r="AE7" s="1606"/>
      <c r="AF7" s="1606"/>
      <c r="AG7" s="1606"/>
      <c r="AH7" s="1606"/>
      <c r="AI7" s="1606"/>
      <c r="AJ7" s="1607"/>
    </row>
    <row r="8" spans="1:36" ht="15">
      <c r="A8" s="3330"/>
      <c r="B8" s="197" t="s">
        <v>2836</v>
      </c>
      <c r="C8" s="2750"/>
      <c r="D8" s="919" t="s">
        <v>139</v>
      </c>
      <c r="E8" s="920" t="e">
        <f>ROUND(C11/E7,4)</f>
        <v>#DIV/0!</v>
      </c>
      <c r="F8" s="2751" t="s">
        <v>2837</v>
      </c>
      <c r="G8" s="2752"/>
      <c r="H8" s="2752"/>
      <c r="I8" s="2752"/>
      <c r="J8" s="2753"/>
      <c r="K8" s="1369"/>
      <c r="L8" s="2726" t="s">
        <v>2838</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23" t="s">
        <v>2839</v>
      </c>
      <c r="X8" s="3324"/>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330"/>
      <c r="B9" s="197" t="s">
        <v>2852</v>
      </c>
      <c r="C9" s="921">
        <f>SUMIF(修正!C59:C119,C8,修正!E59:E119)</f>
        <v>0</v>
      </c>
      <c r="D9" s="199" t="s">
        <v>140</v>
      </c>
      <c r="E9" s="199" t="e">
        <f>ROUND(C11/E7,4)</f>
        <v>#DIV/0!</v>
      </c>
      <c r="F9" s="2751" t="s">
        <v>2853</v>
      </c>
      <c r="G9" s="2752"/>
      <c r="H9" s="2752"/>
      <c r="I9" s="2752"/>
      <c r="J9" s="2753"/>
      <c r="K9" s="1369"/>
      <c r="L9" s="2726" t="s">
        <v>2854</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25"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30"/>
      <c r="B10" s="197" t="s">
        <v>2857</v>
      </c>
      <c r="C10" s="199">
        <f>SUMIF(修正!C59:C119,C8,修正!F59:F119)</f>
        <v>0</v>
      </c>
      <c r="D10" s="199" t="s">
        <v>141</v>
      </c>
      <c r="E10" s="199" t="e">
        <f>ROUND(C11/E7,4)</f>
        <v>#DIV/0!</v>
      </c>
      <c r="F10" s="2751" t="s">
        <v>2858</v>
      </c>
      <c r="G10" s="2752"/>
      <c r="H10" s="2752"/>
      <c r="I10" s="2752"/>
      <c r="J10" s="2753"/>
      <c r="K10" s="1369"/>
      <c r="L10" s="2726" t="s">
        <v>2859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2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30"/>
      <c r="B11" s="2754" t="s">
        <v>2860</v>
      </c>
      <c r="C11" s="922">
        <f>C10/4</f>
        <v>0</v>
      </c>
      <c r="D11" s="922" t="s">
        <v>142</v>
      </c>
      <c r="E11" s="922" t="e">
        <f>ROUND(C11/E7,4)</f>
        <v>#DIV/0!</v>
      </c>
      <c r="F11" s="2755" t="s">
        <v>2861</v>
      </c>
      <c r="G11" s="2756"/>
      <c r="H11" s="2756"/>
      <c r="I11" s="2756"/>
      <c r="J11" s="2757"/>
      <c r="K11" s="1369"/>
      <c r="L11" s="2726" t="s">
        <v>2862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25" t="s">
        <v>2863</v>
      </c>
      <c r="X11" s="1612" t="s">
        <v>2864</v>
      </c>
      <c r="Y11" s="1613">
        <f>$G$3</f>
        <v>4.12</v>
      </c>
      <c r="Z11" s="1613">
        <f t="shared" ref="Z11:AJ11" si="3">$G$3</f>
        <v>4.12</v>
      </c>
      <c r="AA11" s="1613">
        <f t="shared" si="3"/>
        <v>4.12</v>
      </c>
      <c r="AB11" s="1613">
        <f t="shared" si="3"/>
        <v>4.12</v>
      </c>
      <c r="AC11" s="1613">
        <f t="shared" si="3"/>
        <v>4.12</v>
      </c>
      <c r="AD11" s="1613">
        <f t="shared" si="3"/>
        <v>4.12</v>
      </c>
      <c r="AE11" s="1613">
        <f t="shared" si="3"/>
        <v>4.12</v>
      </c>
      <c r="AF11" s="1613">
        <f t="shared" si="3"/>
        <v>4.12</v>
      </c>
      <c r="AG11" s="1613">
        <f t="shared" si="3"/>
        <v>4.12</v>
      </c>
      <c r="AH11" s="1613">
        <f t="shared" si="3"/>
        <v>4.12</v>
      </c>
      <c r="AI11" s="1613">
        <f t="shared" si="3"/>
        <v>4.12</v>
      </c>
      <c r="AJ11" s="1613">
        <f t="shared" si="3"/>
        <v>4.12</v>
      </c>
    </row>
    <row r="12" spans="1:36" ht="25.5" thickBot="1">
      <c r="A12" s="3310" t="s">
        <v>2865</v>
      </c>
      <c r="B12" s="2758" t="s">
        <v>2866</v>
      </c>
      <c r="C12" s="918">
        <f>ROUND(C15*D15*E15*F15*G15*H15*I15*J15,4)</f>
        <v>1</v>
      </c>
      <c r="D12" s="2759" t="s">
        <v>2867</v>
      </c>
      <c r="E12" s="2760"/>
      <c r="F12" s="2760"/>
      <c r="G12" s="2761"/>
      <c r="H12" s="2761"/>
      <c r="I12" s="2761"/>
      <c r="J12" s="2762"/>
      <c r="K12" s="1369"/>
      <c r="L12" s="2763" t="s">
        <v>2868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25"/>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31"/>
      <c r="B13" s="2764" t="s">
        <v>2870</v>
      </c>
      <c r="C13" s="2765" t="s">
        <v>2871</v>
      </c>
      <c r="D13" s="1806" t="s">
        <v>2872</v>
      </c>
      <c r="E13" s="1806" t="s">
        <v>2873</v>
      </c>
      <c r="F13" s="30" t="s">
        <v>2874</v>
      </c>
      <c r="G13" s="2766" t="s">
        <v>2875</v>
      </c>
      <c r="H13" s="2766" t="s">
        <v>2875</v>
      </c>
      <c r="I13" s="2766" t="s">
        <v>2875</v>
      </c>
      <c r="J13" s="2767" t="s">
        <v>2875</v>
      </c>
      <c r="K13" s="1369"/>
      <c r="L13" s="1369"/>
      <c r="M13" s="1369"/>
      <c r="N13" s="1369"/>
      <c r="O13" s="1369"/>
      <c r="P13" s="1369"/>
      <c r="Q13" s="1369"/>
      <c r="R13" s="1600">
        <v>12</v>
      </c>
      <c r="S13" s="1601"/>
      <c r="T13" s="1600" t="e">
        <f t="shared" si="0"/>
        <v>#DIV/0!</v>
      </c>
      <c r="U13" s="1601"/>
      <c r="V13" s="1600" t="e">
        <f t="shared" si="1"/>
        <v>#DIV/0!</v>
      </c>
      <c r="W13" s="3325"/>
      <c r="X13" s="1614"/>
      <c r="Y13" s="1611">
        <f>(-0.163*(Y12^2)-0.59*Y12+7617)*(10^(-4))/Y11</f>
        <v>0.18487864077669902</v>
      </c>
      <c r="Z13" s="1611">
        <f t="shared" ref="Z13:AJ13" si="5">(-0.163*(Z12^2)-0.59*Z12+7617)*(10^(-4))/Z11</f>
        <v>0.18487864077669902</v>
      </c>
      <c r="AA13" s="1611">
        <f t="shared" si="5"/>
        <v>0.18487864077669902</v>
      </c>
      <c r="AB13" s="1611">
        <f t="shared" si="5"/>
        <v>0.18487864077669902</v>
      </c>
      <c r="AC13" s="1611">
        <f t="shared" si="5"/>
        <v>0.18487864077669902</v>
      </c>
      <c r="AD13" s="1611">
        <f t="shared" si="5"/>
        <v>0.18487864077669902</v>
      </c>
      <c r="AE13" s="1611">
        <f t="shared" si="5"/>
        <v>0.18487864077669902</v>
      </c>
      <c r="AF13" s="1611">
        <f t="shared" si="5"/>
        <v>0.18487864077669902</v>
      </c>
      <c r="AG13" s="1611">
        <f t="shared" si="5"/>
        <v>0.18487864077669902</v>
      </c>
      <c r="AH13" s="1611">
        <f t="shared" si="5"/>
        <v>0.18487864077669902</v>
      </c>
      <c r="AI13" s="1611">
        <f t="shared" si="5"/>
        <v>0.18487864077669902</v>
      </c>
      <c r="AJ13" s="1611">
        <f t="shared" si="5"/>
        <v>0.18487864077669902</v>
      </c>
    </row>
    <row r="14" spans="1:36" ht="15">
      <c r="A14" s="3331"/>
      <c r="B14" s="2768"/>
      <c r="C14" s="2769"/>
      <c r="D14" s="2770"/>
      <c r="E14" s="2770"/>
      <c r="F14" s="2771"/>
      <c r="G14" s="2772" t="s">
        <v>2876</v>
      </c>
      <c r="H14" s="2773"/>
      <c r="I14" s="2774"/>
      <c r="J14" s="2775"/>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32"/>
      <c r="B15" s="2776" t="s">
        <v>2877</v>
      </c>
      <c r="C15" s="228">
        <f>IF(C14="有",1.1,1)</f>
        <v>1</v>
      </c>
      <c r="D15" s="228">
        <f>IF(D14="有",1.1,1)</f>
        <v>1</v>
      </c>
      <c r="E15" s="228">
        <f>IF(E14="有",1.1,1)</f>
        <v>1</v>
      </c>
      <c r="F15" s="228">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10" t="s">
        <v>2882</v>
      </c>
      <c r="B16" s="2745" t="s">
        <v>2883</v>
      </c>
      <c r="C16" s="2932" t="e">
        <f>ROUND(IF(F17="与级别开发程度一致",0,(G17-E17)/C17),0)</f>
        <v>#DIV/0!</v>
      </c>
      <c r="D16" s="3321" t="s">
        <v>2887</v>
      </c>
      <c r="E16" s="3322"/>
      <c r="F16" s="3321" t="s">
        <v>2884</v>
      </c>
      <c r="G16" s="3322"/>
      <c r="H16" s="2779"/>
      <c r="I16" s="2779"/>
      <c r="J16" s="2936"/>
      <c r="K16" s="2779"/>
      <c r="L16" s="2779"/>
      <c r="M16" s="2779"/>
      <c r="N16" s="2779"/>
      <c r="O16" s="2780"/>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1"/>
      <c r="B17" s="2943" t="s">
        <v>2886</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2889</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2890</v>
      </c>
      <c r="C19" s="923" t="e">
        <f>ROUND(IF(H19="按公示增长率计算",SUMPRODUCT((地价!A3:A27=YEAR(G19)&amp;"-"&amp;ROUNDUP(MONTH(G19)/3,0))*(地价!X2:AB2=E2)*(地价!X3:AB27)),IF(H19="地价指数",M20/M19,(1+I19)^O19)),4)</f>
        <v>#VALUE!</v>
      </c>
      <c r="D19" s="2789" t="s">
        <v>2891</v>
      </c>
      <c r="E19" s="924">
        <v>41640</v>
      </c>
      <c r="F19" s="2789" t="s">
        <v>2892</v>
      </c>
      <c r="G19" s="925">
        <f>'数据-取费表'!B2</f>
        <v>43714</v>
      </c>
      <c r="H19" s="2790"/>
      <c r="I19" s="926" t="str">
        <f>IF(H19="季度增幅（自定义）",SUMIF(N21:N24,E2,O21:O24),"")</f>
        <v/>
      </c>
      <c r="J19" s="2787"/>
      <c r="K19" s="1376"/>
      <c r="L19" s="2791" t="s">
        <v>2893</v>
      </c>
      <c r="M19" s="1732">
        <f>ROUND(SUMIF(地价!B2:F2,E2,地价!B27:F27),0)</f>
        <v>0</v>
      </c>
      <c r="N19" s="2792" t="s">
        <v>2894</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2895</v>
      </c>
      <c r="C20" s="928" t="e">
        <f>ROUND(POWER(1+G20,J20-I20)*(POWER(1+G20,I20)-1)/(POWER(1+G20,J20)-1),4)</f>
        <v>#DIV/0!</v>
      </c>
      <c r="D20" s="2798" t="s">
        <v>2896</v>
      </c>
      <c r="E20" s="1766">
        <f ca="1">存贷款利率!D4/100</f>
        <v>4.3499999999999997E-2</v>
      </c>
      <c r="F20" s="2798" t="s">
        <v>2888</v>
      </c>
      <c r="G20" s="933">
        <f>SUMIF(M26:P26,E2,M28:P28)</f>
        <v>0</v>
      </c>
      <c r="H20" s="2798" t="s">
        <v>2897</v>
      </c>
      <c r="I20" s="934" t="e">
        <f>SUMIF('数据-取费表'!C6:C15,E2,'数据-取费表'!F6:F15)/COUNTIF('数据-取费表'!C6:C15,E2)</f>
        <v>#DIV/0!</v>
      </c>
      <c r="J20" s="935">
        <f>IF(E2="住宅",70,IF(E2="商业",40,50))</f>
        <v>50</v>
      </c>
      <c r="K20" s="1376"/>
      <c r="L20" s="2799" t="s">
        <v>2898</v>
      </c>
      <c r="M20" s="1733">
        <f>ROUND(SUMPRODUCT((地价!A4:A27=YEAR(G19)&amp;"-"&amp;ROUNDUP(MONTH(G19)/3,0))*(地价!B2:F2=E2)*(地价!B4:F27)),0)</f>
        <v>0</v>
      </c>
      <c r="N20" s="2800" t="s">
        <v>2899</v>
      </c>
      <c r="O20" s="2801" t="s">
        <v>2900</v>
      </c>
      <c r="P20" s="2802" t="s">
        <v>2901</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2902</v>
      </c>
      <c r="C21" s="936">
        <f>IF(B21="容积率修正",IF(G3&lt;=10,D22,J22),C23)</f>
        <v>0</v>
      </c>
      <c r="D21" s="2805"/>
      <c r="E21" s="2805"/>
      <c r="F21" s="2805"/>
      <c r="G21" s="2805"/>
      <c r="H21" s="2805"/>
      <c r="I21" s="2805"/>
      <c r="J21" s="2806"/>
      <c r="K21" s="1376"/>
      <c r="N21" s="2807" t="s">
        <v>2903</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2904</v>
      </c>
      <c r="B22" s="2808" t="s">
        <v>2905</v>
      </c>
      <c r="C22" s="1808" t="s">
        <v>2906</v>
      </c>
      <c r="D22" s="1808">
        <f>IF(E22=G22,F22,IF(G3&lt;=10,ROUND(F22+(H22-F22)*(G3-E22)/(G22-E22),4),"——"))</f>
        <v>0</v>
      </c>
      <c r="E22" s="915">
        <f>ROUNDDOWN(G3,1)</f>
        <v>4.0999999999999996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4.1999999999999993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7" t="s">
        <v>2907</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2908</v>
      </c>
      <c r="B23" s="2809" t="s">
        <v>2909</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2910</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2911</v>
      </c>
      <c r="C24" s="923">
        <f>SUMIF(A45:A88,E2,B45:B88)</f>
        <v>0</v>
      </c>
      <c r="D24" s="2786"/>
      <c r="E24" s="2815"/>
      <c r="F24" s="2815"/>
      <c r="G24" s="2815"/>
      <c r="H24" s="2815"/>
      <c r="I24" s="2815"/>
      <c r="J24" s="2816"/>
      <c r="K24" s="1376"/>
      <c r="N24" s="2817" t="s">
        <v>2912</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2913</v>
      </c>
      <c r="C25" s="929"/>
      <c r="D25" s="2748"/>
      <c r="E25" s="2748"/>
      <c r="F25" s="2819"/>
      <c r="G25" s="2748"/>
      <c r="H25" s="2748"/>
      <c r="I25" s="2748"/>
      <c r="J25" s="2749"/>
      <c r="K25" s="1369"/>
      <c r="N25" s="2820" t="s">
        <v>2914</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2915</v>
      </c>
      <c r="C26" s="205" t="e">
        <f>E29+SUM(E33:E39)</f>
        <v>#DIV/0!</v>
      </c>
      <c r="D26" s="2822"/>
      <c r="E26" s="2773"/>
      <c r="F26" s="2823"/>
      <c r="G26" s="2773"/>
      <c r="H26" s="2773"/>
      <c r="I26" s="2773"/>
      <c r="J26" s="2824"/>
      <c r="K26" s="1369"/>
      <c r="L26" s="2777" t="s">
        <v>2813</v>
      </c>
      <c r="M26" s="919" t="s">
        <v>2878</v>
      </c>
      <c r="N26" s="919" t="s">
        <v>2879</v>
      </c>
      <c r="O26" s="919" t="s">
        <v>2880</v>
      </c>
      <c r="P26" s="2778" t="s">
        <v>2881</v>
      </c>
      <c r="R26" s="1375"/>
      <c r="S26" s="1375"/>
      <c r="T26" s="1370"/>
      <c r="U26" s="1370"/>
      <c r="V26" s="1370"/>
      <c r="W26" s="1369"/>
      <c r="X26" s="1369"/>
      <c r="Y26" s="1369"/>
      <c r="Z26" s="1376"/>
      <c r="AA26" s="1377"/>
      <c r="AB26" s="1377"/>
      <c r="AC26" s="1377"/>
      <c r="AD26" s="1377"/>
    </row>
    <row r="27" spans="1:37" ht="15.75" thickBot="1">
      <c r="A27" s="2821"/>
      <c r="B27" s="2825" t="s">
        <v>2916</v>
      </c>
      <c r="C27" s="930" t="e">
        <f>E30+SUM(I33:I39)</f>
        <v>#DIV/0!</v>
      </c>
      <c r="D27" s="2826"/>
      <c r="E27" s="2827"/>
      <c r="F27" s="2828"/>
      <c r="G27" s="2827"/>
      <c r="H27" s="2827"/>
      <c r="I27" s="2827"/>
      <c r="J27" s="2829"/>
      <c r="K27" s="1369"/>
      <c r="L27" s="2781"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2917</v>
      </c>
      <c r="C28" s="2832" t="s">
        <v>2918</v>
      </c>
      <c r="D28" s="2832" t="s">
        <v>2919</v>
      </c>
      <c r="E28" s="2833" t="s">
        <v>2920</v>
      </c>
      <c r="F28" s="2834"/>
      <c r="G28" s="2761"/>
      <c r="H28" s="2761"/>
      <c r="I28" s="2761"/>
      <c r="J28" s="2762"/>
      <c r="K28" s="1369"/>
      <c r="L28" s="2782" t="s">
        <v>2888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2921</v>
      </c>
      <c r="C29" s="205" t="e">
        <f>ROUND(C5*C18*C19*C20*C21*C24,0)</f>
        <v>#DIV/0!</v>
      </c>
      <c r="D29" s="2837"/>
      <c r="E29" s="941" t="e">
        <f>ROUND(C29*D29/10000,0)</f>
        <v>#DIV/0!</v>
      </c>
      <c r="F29" s="2838" t="s">
        <v>2922</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2923</v>
      </c>
      <c r="C30" s="228" t="e">
        <f>ROUND(IF(E2="工业",C29*M39,C29*M38),0)</f>
        <v>#DIV/0!</v>
      </c>
      <c r="D30" s="2843"/>
      <c r="E30" s="941" t="e">
        <f>ROUND(C30*D30/10000,0)</f>
        <v>#DIV/0!</v>
      </c>
      <c r="F30" s="2844" t="s">
        <v>2924</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2925</v>
      </c>
      <c r="C31" s="2849" t="s">
        <v>2926</v>
      </c>
      <c r="D31" s="2761"/>
      <c r="E31" s="2849"/>
      <c r="F31" s="2849"/>
      <c r="G31" s="2759" t="s">
        <v>2927</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2918</v>
      </c>
      <c r="D32" s="497" t="s">
        <v>2919</v>
      </c>
      <c r="E32" s="497" t="s">
        <v>2920</v>
      </c>
      <c r="F32" s="387" t="s">
        <v>2928</v>
      </c>
      <c r="G32" s="2852" t="s">
        <v>2918</v>
      </c>
      <c r="H32" s="2852" t="s">
        <v>2919</v>
      </c>
      <c r="I32" s="2852" t="s">
        <v>2920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18" t="s">
        <v>2929</v>
      </c>
      <c r="B33" s="2853" t="s">
        <v>2930</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9"/>
      <c r="B34" s="2765" t="s">
        <v>2931</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9"/>
      <c r="B35" s="2765" t="s">
        <v>2932</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20"/>
      <c r="B36" s="2765" t="s">
        <v>2933</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2934</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2935</v>
      </c>
      <c r="M37" s="2857"/>
      <c r="N37" s="1369"/>
      <c r="O37" s="1369"/>
      <c r="P37" s="1369"/>
      <c r="Q37" s="1369"/>
      <c r="R37" s="1369"/>
      <c r="S37" s="1369"/>
      <c r="T37" s="1369"/>
      <c r="U37" s="1369"/>
      <c r="V37" s="1369"/>
      <c r="W37" s="1369"/>
      <c r="X37" s="1369"/>
      <c r="Y37" s="1369"/>
      <c r="Z37" s="1370"/>
    </row>
    <row r="38" spans="1:37">
      <c r="A38" s="2855"/>
      <c r="B38" s="2765" t="s">
        <v>2936</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5" t="s">
        <v>2937</v>
      </c>
      <c r="M38" s="2858">
        <v>0.25</v>
      </c>
      <c r="N38" s="1369"/>
      <c r="O38" s="1369"/>
      <c r="P38" s="1369"/>
      <c r="Q38" s="1369"/>
      <c r="R38" s="1369"/>
      <c r="S38" s="1369"/>
      <c r="T38" s="1369"/>
      <c r="U38" s="1369"/>
      <c r="V38" s="1369"/>
      <c r="W38" s="1369"/>
      <c r="X38" s="1369"/>
      <c r="Y38" s="1369"/>
      <c r="Z38" s="1370"/>
    </row>
    <row r="39" spans="1:37" ht="13.5" thickBot="1">
      <c r="A39" s="2841"/>
      <c r="B39" s="2859" t="s">
        <v>2938</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2881</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3049</v>
      </c>
      <c r="C41" s="387" t="e">
        <f>ROUND(POWER(1+E41,H41-G41)*(POWER(1+E41,G41)-1)/(POWER(1+E41,H41)-1),4)</f>
        <v>#DIV/0!</v>
      </c>
      <c r="D41" s="199" t="s">
        <v>2888</v>
      </c>
      <c r="E41" s="2929">
        <f>G20</f>
        <v>0</v>
      </c>
      <c r="F41" s="199" t="s">
        <v>2897</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2939</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2940</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2941</v>
      </c>
      <c r="B47" s="1807" t="s">
        <v>2942</v>
      </c>
      <c r="C47" s="1807" t="s">
        <v>2943</v>
      </c>
      <c r="D47" s="1807" t="s">
        <v>2944</v>
      </c>
      <c r="E47" s="818" t="s">
        <v>2945</v>
      </c>
      <c r="F47" s="2871" t="s">
        <v>2946</v>
      </c>
      <c r="G47" s="1807" t="s">
        <v>754</v>
      </c>
      <c r="H47" s="2872" t="s">
        <v>2947</v>
      </c>
      <c r="I47" s="1807" t="s">
        <v>2948</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70" t="s">
        <v>2949</v>
      </c>
      <c r="B48" s="2873" t="str">
        <f>估价对象房地状况!C4</f>
        <v>估价对象位于XX商圈，周边商业氛围成熟，人流量大，商业繁华度好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2950</v>
      </c>
      <c r="B49" s="2874" t="str">
        <f>估价对象房地状况!C18</f>
        <v>估价对象周边道路状况、公共交通通达情况、停车便捷程度，综合评价交通便捷度较好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2951</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2952</v>
      </c>
      <c r="B51" s="2875" t="s">
        <v>2953</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2954</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2955</v>
      </c>
      <c r="B53" s="2876" t="s">
        <v>2956</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2957</v>
      </c>
      <c r="B54" s="1723" t="str">
        <f>估价对象房地状况!C21</f>
        <v>估价对象所在区域公共配套设施齐备情况</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2958</v>
      </c>
      <c r="B55" s="2874" t="str">
        <f>估价对象房地状况!C22</f>
        <v>估价对象所在区域基础设施水平</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2959</v>
      </c>
      <c r="B56" s="2879" t="str">
        <f>估价对象房地状况!C20</f>
        <v>区域自然环境：；人文环境；综合评价环境状况一般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2960</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2941</v>
      </c>
      <c r="B58" s="1807"/>
      <c r="C58" s="1807" t="s">
        <v>2943</v>
      </c>
      <c r="D58" s="1807" t="s">
        <v>2944</v>
      </c>
      <c r="E58" s="818" t="s">
        <v>2945</v>
      </c>
      <c r="F58" s="2871" t="s">
        <v>2961</v>
      </c>
      <c r="G58" s="1807" t="s">
        <v>754</v>
      </c>
      <c r="H58" s="2872" t="s">
        <v>2947</v>
      </c>
      <c r="I58" s="1807" t="s">
        <v>2948</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70" t="s">
        <v>2962</v>
      </c>
      <c r="B59" s="2873" t="str">
        <f>估价对象房地状况!C17</f>
        <v>估价对象位于XX商圈，周边办公楼项目较多，入驻率高，办公集聚程度较好</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2950</v>
      </c>
      <c r="B60" s="2874" t="str">
        <f>估价对象房地状况!C18</f>
        <v>估价对象周边道路状况、公共交通通达情况、停车便捷程度，综合评价交通便捷度较好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2951</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2952</v>
      </c>
      <c r="B62" s="2875" t="s">
        <v>2953</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2954</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2955</v>
      </c>
      <c r="B64" s="2876" t="s">
        <v>2956</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2957</v>
      </c>
      <c r="B65" s="1723" t="str">
        <f>估价对象房地状况!C21</f>
        <v>估价对象所在区域公共配套设施齐备情况</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2958</v>
      </c>
      <c r="B66" s="1723" t="str">
        <f>估价对象房地状况!C22</f>
        <v>估价对象所在区域基础设施水平</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2959</v>
      </c>
      <c r="B67" s="2880" t="str">
        <f>估价对象房地状况!C20</f>
        <v>区域自然环境：；人文环境；综合评价环境状况一般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2963</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2941</v>
      </c>
      <c r="B69" s="1807"/>
      <c r="C69" s="1807" t="s">
        <v>2943</v>
      </c>
      <c r="D69" s="1807" t="s">
        <v>2944</v>
      </c>
      <c r="E69" s="818" t="s">
        <v>2945</v>
      </c>
      <c r="F69" s="2871" t="s">
        <v>2961</v>
      </c>
      <c r="G69" s="1807" t="s">
        <v>754</v>
      </c>
      <c r="H69" s="2872" t="s">
        <v>2947</v>
      </c>
      <c r="I69" s="1807" t="s">
        <v>2948</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70" t="s">
        <v>2964</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2950</v>
      </c>
      <c r="B71" s="2874" t="str">
        <f>估价对象房地状况!C18</f>
        <v>估价对象周边道路状况、公共交通通达情况、停车便捷程度，综合评价交通便捷度较好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2951</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2965</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2957</v>
      </c>
      <c r="B74" s="1723" t="str">
        <f>估价对象房地状况!C21</f>
        <v>估价对象所在区域公共配套设施齐备情况</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2958</v>
      </c>
      <c r="B75" s="1723" t="str">
        <f>估价对象房地状况!C22</f>
        <v>估价对象所在区域基础设施水平</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2955</v>
      </c>
      <c r="B76" s="2876" t="s">
        <v>2956</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2959</v>
      </c>
      <c r="B77" s="2873" t="str">
        <f>估价对象房地状况!C20</f>
        <v>区域自然环境：；人文环境；综合评价环境状况一般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2966</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2967</v>
      </c>
      <c r="B79" s="2867">
        <f>1+E81</f>
        <v>1</v>
      </c>
      <c r="C79" s="813"/>
      <c r="D79" s="813"/>
      <c r="E79" s="814"/>
      <c r="F79" s="2869"/>
      <c r="G79" s="6"/>
      <c r="H79" s="6"/>
      <c r="I79" s="6"/>
      <c r="J79" s="7"/>
      <c r="K79" s="7"/>
      <c r="L79" s="7"/>
      <c r="M79" s="7"/>
      <c r="N79" s="7"/>
      <c r="Z79" s="2720"/>
      <c r="AA79" s="2788"/>
      <c r="AG79" s="1371"/>
      <c r="AK79" s="2788"/>
    </row>
    <row r="80" spans="1:37" ht="24.75">
      <c r="A80" s="2870" t="s">
        <v>2941</v>
      </c>
      <c r="B80" s="1807"/>
      <c r="C80" s="1807" t="s">
        <v>2943</v>
      </c>
      <c r="D80" s="1807" t="s">
        <v>2944</v>
      </c>
      <c r="E80" s="818" t="s">
        <v>2945</v>
      </c>
      <c r="F80" s="2871" t="s">
        <v>2961</v>
      </c>
      <c r="G80" s="1807" t="s">
        <v>754</v>
      </c>
      <c r="H80" s="2872" t="s">
        <v>2947</v>
      </c>
      <c r="I80" s="1807" t="s">
        <v>2948</v>
      </c>
      <c r="J80" s="602" t="s">
        <v>2596</v>
      </c>
      <c r="K80" s="602" t="s">
        <v>2597</v>
      </c>
      <c r="L80" s="602" t="s">
        <v>2598</v>
      </c>
      <c r="M80" s="602" t="s">
        <v>2599</v>
      </c>
      <c r="N80" s="602" t="s">
        <v>2600</v>
      </c>
      <c r="Z80" s="2720"/>
      <c r="AA80" s="2788"/>
      <c r="AG80" s="1371"/>
      <c r="AK80" s="2788"/>
    </row>
    <row r="81" spans="1:37" ht="38.25">
      <c r="A81" s="2870" t="s">
        <v>2968</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2950</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2951</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2965</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2957</v>
      </c>
      <c r="B85" s="1723"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2958</v>
      </c>
      <c r="B86" s="1723"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2955</v>
      </c>
      <c r="B87" s="2876" t="s">
        <v>2969</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2970</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12" t="s">
        <v>2971</v>
      </c>
      <c r="B90" s="3312"/>
      <c r="C90" s="3312"/>
      <c r="D90" s="3312"/>
      <c r="E90" s="3312"/>
      <c r="F90" s="3312"/>
      <c r="G90" s="3312"/>
      <c r="H90" s="3312"/>
      <c r="I90" s="3312"/>
      <c r="J90" s="3312"/>
      <c r="K90" s="2884"/>
      <c r="L90" s="2884"/>
      <c r="M90" s="2884"/>
      <c r="N90" s="2884"/>
    </row>
    <row r="91" spans="1:37">
      <c r="A91" s="3314" t="s">
        <v>2972</v>
      </c>
      <c r="B91" s="3314" t="s">
        <v>2973</v>
      </c>
      <c r="C91" s="2838" t="s">
        <v>2974</v>
      </c>
      <c r="D91" s="2839"/>
      <c r="E91" s="2839"/>
      <c r="F91" s="2839"/>
      <c r="G91" s="2839"/>
      <c r="H91" s="2839"/>
      <c r="I91" s="2839"/>
      <c r="J91" s="2885"/>
      <c r="K91" s="2886"/>
      <c r="L91" s="2886"/>
      <c r="M91" s="2886"/>
      <c r="N91" s="2886"/>
    </row>
    <row r="92" spans="1:37">
      <c r="A92" s="3314"/>
      <c r="B92" s="3314"/>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315" t="s">
        <v>2975</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6"/>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6"/>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6"/>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6"/>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6"/>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6"/>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7"/>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5" t="s">
        <v>2976</v>
      </c>
      <c r="B101" s="2891" t="s">
        <v>2977</v>
      </c>
      <c r="C101" s="2892">
        <f>$G$3</f>
        <v>4.12</v>
      </c>
      <c r="D101" s="2892">
        <f t="shared" ref="D101:N101" si="31">$G$3</f>
        <v>4.12</v>
      </c>
      <c r="E101" s="2892">
        <f t="shared" si="31"/>
        <v>4.12</v>
      </c>
      <c r="F101" s="2892">
        <f t="shared" si="31"/>
        <v>4.12</v>
      </c>
      <c r="G101" s="2892">
        <f t="shared" si="31"/>
        <v>4.12</v>
      </c>
      <c r="H101" s="2892">
        <f t="shared" si="31"/>
        <v>4.12</v>
      </c>
      <c r="I101" s="2892">
        <f t="shared" si="31"/>
        <v>4.12</v>
      </c>
      <c r="J101" s="2892">
        <f t="shared" si="31"/>
        <v>4.12</v>
      </c>
      <c r="K101" s="2892">
        <f t="shared" si="31"/>
        <v>4.12</v>
      </c>
      <c r="L101" s="2892">
        <f t="shared" si="31"/>
        <v>4.12</v>
      </c>
      <c r="M101" s="2892">
        <f t="shared" si="31"/>
        <v>4.12</v>
      </c>
      <c r="N101" s="2892">
        <f t="shared" si="31"/>
        <v>4.12</v>
      </c>
    </row>
    <row r="102" spans="1:14">
      <c r="A102" s="3316"/>
      <c r="B102" s="2887">
        <v>1</v>
      </c>
      <c r="C102" s="2888">
        <f>1.9362/C101</f>
        <v>0.46995145631067958</v>
      </c>
      <c r="D102" s="2888">
        <f>1.9362/D101</f>
        <v>0.46995145631067958</v>
      </c>
      <c r="E102" s="2888">
        <f>1.8629/E101</f>
        <v>0.45216019417475728</v>
      </c>
      <c r="F102" s="2888">
        <f>1.8629/F101</f>
        <v>0.45216019417475728</v>
      </c>
      <c r="G102" s="2888">
        <f>1.8629/G101</f>
        <v>0.45216019417475728</v>
      </c>
      <c r="H102" s="2888">
        <f>1.8629/H101</f>
        <v>0.45216019417475728</v>
      </c>
      <c r="I102" s="2888">
        <f>1.8629/I101</f>
        <v>0.45216019417475728</v>
      </c>
      <c r="J102" s="2888">
        <f>1.942/J101</f>
        <v>0.47135922330097085</v>
      </c>
      <c r="K102" s="2888">
        <f>1.942/K101</f>
        <v>0.47135922330097085</v>
      </c>
      <c r="L102" s="2888">
        <f>1.942/L101</f>
        <v>0.47135922330097085</v>
      </c>
      <c r="M102" s="2888">
        <f>1.942/M101</f>
        <v>0.47135922330097085</v>
      </c>
      <c r="N102" s="2888">
        <f>1.942/N101</f>
        <v>0.47135922330097085</v>
      </c>
    </row>
    <row r="103" spans="1:14">
      <c r="A103" s="3316"/>
      <c r="B103" s="2887">
        <v>2</v>
      </c>
      <c r="C103" s="2888">
        <f>1.4198/C101</f>
        <v>0.34461165048543685</v>
      </c>
      <c r="D103" s="2888">
        <f>1.4198/D101</f>
        <v>0.34461165048543685</v>
      </c>
      <c r="E103" s="2888">
        <f>1.3372/E101</f>
        <v>0.3245631067961165</v>
      </c>
      <c r="F103" s="2888">
        <f>1.3372/F101</f>
        <v>0.3245631067961165</v>
      </c>
      <c r="G103" s="2888">
        <f>1.3372/G101</f>
        <v>0.3245631067961165</v>
      </c>
      <c r="H103" s="2888">
        <f>1.3372/H101</f>
        <v>0.3245631067961165</v>
      </c>
      <c r="I103" s="2888">
        <f>1.3372/I101</f>
        <v>0.3245631067961165</v>
      </c>
      <c r="J103" s="2888">
        <f>1.2799/J101</f>
        <v>0.31065533980582527</v>
      </c>
      <c r="K103" s="2888">
        <f>1.2799/K101</f>
        <v>0.31065533980582527</v>
      </c>
      <c r="L103" s="2888">
        <f>1.2799/L101</f>
        <v>0.31065533980582527</v>
      </c>
      <c r="M103" s="2888">
        <f>1.2799/M101</f>
        <v>0.31065533980582527</v>
      </c>
      <c r="N103" s="2888">
        <f>1.2799/N101</f>
        <v>0.31065533980582527</v>
      </c>
    </row>
    <row r="104" spans="1:14">
      <c r="A104" s="3316"/>
      <c r="B104" s="2887">
        <v>3</v>
      </c>
      <c r="C104" s="2888">
        <f>1.1594/C101</f>
        <v>0.28140776699029124</v>
      </c>
      <c r="D104" s="2888">
        <f>1.1594/D101</f>
        <v>0.28140776699029124</v>
      </c>
      <c r="E104" s="2888">
        <f>1.0788/E101</f>
        <v>0.26184466019417474</v>
      </c>
      <c r="F104" s="2888">
        <f>1.0788/F101</f>
        <v>0.26184466019417474</v>
      </c>
      <c r="G104" s="2888">
        <f>1.0788/G101</f>
        <v>0.26184466019417474</v>
      </c>
      <c r="H104" s="2888">
        <f>1.0788/H101</f>
        <v>0.26184466019417474</v>
      </c>
      <c r="I104" s="2888">
        <f>1.0788/I101</f>
        <v>0.26184466019417474</v>
      </c>
      <c r="J104" s="2888">
        <f>1.0072/J101</f>
        <v>0.24446601941747576</v>
      </c>
      <c r="K104" s="2888">
        <f>1.0072/K101</f>
        <v>0.24446601941747576</v>
      </c>
      <c r="L104" s="2888">
        <f>1.0072/L101</f>
        <v>0.24446601941747576</v>
      </c>
      <c r="M104" s="2888">
        <f>1.0072/M101</f>
        <v>0.24446601941747576</v>
      </c>
      <c r="N104" s="2888">
        <f>1.0072/N101</f>
        <v>0.24446601941747576</v>
      </c>
    </row>
    <row r="105" spans="1:14">
      <c r="A105" s="3316"/>
      <c r="B105" s="2887">
        <v>4</v>
      </c>
      <c r="C105" s="2888">
        <f>0.9622/C101</f>
        <v>0.23354368932038835</v>
      </c>
      <c r="D105" s="2888">
        <f>0.9622/D101</f>
        <v>0.23354368932038835</v>
      </c>
      <c r="E105" s="2888">
        <f>0.8656/E101</f>
        <v>0.21009708737864077</v>
      </c>
      <c r="F105" s="2888">
        <f>0.8656/F101</f>
        <v>0.21009708737864077</v>
      </c>
      <c r="G105" s="2888">
        <f>0.8656/G101</f>
        <v>0.21009708737864077</v>
      </c>
      <c r="H105" s="2888">
        <f>0.8656/H101</f>
        <v>0.21009708737864077</v>
      </c>
      <c r="I105" s="2888">
        <f>0.8656/I101</f>
        <v>0.21009708737864077</v>
      </c>
      <c r="J105" s="2888">
        <f>0.7525/J101</f>
        <v>0.18264563106796114</v>
      </c>
      <c r="K105" s="2888">
        <f>0.7525/K101</f>
        <v>0.18264563106796114</v>
      </c>
      <c r="L105" s="2888">
        <f>0.7525/L101</f>
        <v>0.18264563106796114</v>
      </c>
      <c r="M105" s="2888">
        <f>0.7525/M101</f>
        <v>0.18264563106796114</v>
      </c>
      <c r="N105" s="2888">
        <f>0.7525/N101</f>
        <v>0.18264563106796114</v>
      </c>
    </row>
    <row r="106" spans="1:14">
      <c r="A106" s="3316"/>
      <c r="B106" s="2887">
        <v>5</v>
      </c>
      <c r="C106" s="2888">
        <f>0.8417/C101</f>
        <v>0.20429611650485435</v>
      </c>
      <c r="D106" s="2888">
        <f>0.8417/D101</f>
        <v>0.20429611650485435</v>
      </c>
      <c r="E106" s="2888">
        <f>0.7371/E101</f>
        <v>0.17890776699029126</v>
      </c>
      <c r="F106" s="2888">
        <f>0.7371/F101</f>
        <v>0.17890776699029126</v>
      </c>
      <c r="G106" s="2888">
        <f>0.7371/G101</f>
        <v>0.17890776699029126</v>
      </c>
      <c r="H106" s="2888">
        <f>0.7371/H101</f>
        <v>0.17890776699029126</v>
      </c>
      <c r="I106" s="2888">
        <f>0.7371/I101</f>
        <v>0.17890776699029126</v>
      </c>
      <c r="J106" s="2888">
        <f>0.5659/J101</f>
        <v>0.13735436893203881</v>
      </c>
      <c r="K106" s="2888">
        <f>0.5659/K101</f>
        <v>0.13735436893203881</v>
      </c>
      <c r="L106" s="2888">
        <f>0.5659/L101</f>
        <v>0.13735436893203881</v>
      </c>
      <c r="M106" s="2888">
        <f>0.5659/M101</f>
        <v>0.13735436893203881</v>
      </c>
      <c r="N106" s="2888">
        <f>0.5659/N101</f>
        <v>0.13735436893203881</v>
      </c>
    </row>
    <row r="107" spans="1:14">
      <c r="A107" s="3316"/>
      <c r="B107" s="2887">
        <v>6</v>
      </c>
      <c r="C107" s="2888">
        <f>0.7608/C101</f>
        <v>0.18466019417475729</v>
      </c>
      <c r="D107" s="2888">
        <f>0.7608/D101</f>
        <v>0.18466019417475729</v>
      </c>
      <c r="E107" s="2888">
        <f>0.6482/E101</f>
        <v>0.15733009708737863</v>
      </c>
      <c r="F107" s="2888">
        <f>0.6482/F101</f>
        <v>0.15733009708737863</v>
      </c>
      <c r="G107" s="2888">
        <f>0.6482/G101</f>
        <v>0.15733009708737863</v>
      </c>
      <c r="H107" s="2888">
        <f>0.6482/H101</f>
        <v>0.15733009708737863</v>
      </c>
      <c r="I107" s="2888">
        <f>0.6482/I101</f>
        <v>0.15733009708737863</v>
      </c>
      <c r="J107" s="2888">
        <f>0.4525/J101</f>
        <v>0.10983009708737865</v>
      </c>
      <c r="K107" s="2888">
        <f>0.4525/K101</f>
        <v>0.10983009708737865</v>
      </c>
      <c r="L107" s="2888">
        <f>0.4525/L101</f>
        <v>0.10983009708737865</v>
      </c>
      <c r="M107" s="2888">
        <f>0.4525/M101</f>
        <v>0.10983009708737865</v>
      </c>
      <c r="N107" s="2888">
        <f>0.4525/N101</f>
        <v>0.10983009708737865</v>
      </c>
    </row>
    <row r="108" spans="1:14">
      <c r="A108" s="3316"/>
      <c r="B108" s="3138" t="s">
        <v>2978</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7"/>
      <c r="B109" s="3139"/>
      <c r="C109" s="2890">
        <f>(-0.163*(C108^2)-0.59*C108+7617)*(10^(-4))/C101</f>
        <v>0.18487864077669902</v>
      </c>
      <c r="D109" s="2890">
        <f>(-0.163*(D108^2)-0.59*D108+7617)*(10^(-4))/D101</f>
        <v>0.18487864077669902</v>
      </c>
      <c r="E109" s="2890">
        <f>(-0.161*(E108^2)-7.509*E108+6533)*(10^(-4))/E101</f>
        <v>0.15856796116504854</v>
      </c>
      <c r="F109" s="2890">
        <f>(-0.161*(F108^2)-7.509*F108+6533)*(10^(-4))/F101</f>
        <v>0.15856796116504854</v>
      </c>
      <c r="G109" s="2890">
        <f>(-0.161*(G108^2)-7.509*G108+6533)*(10^(-4))/G101</f>
        <v>0.15856796116504854</v>
      </c>
      <c r="H109" s="2890">
        <f>(-0.161*(H108^2)-7.509*H108+6533)*(10^(-4))/H101</f>
        <v>0.15856796116504854</v>
      </c>
      <c r="I109" s="2890">
        <f>(-0.161*(I108^2)-7.509*I108+6533)*(10^(-4))/I101</f>
        <v>0.15856796116504854</v>
      </c>
      <c r="J109" s="2890">
        <f>(-0.214*(J108^2)-21.991*J108+4665)*(10^(-4))/J101</f>
        <v>0.11322815533980583</v>
      </c>
      <c r="K109" s="2890">
        <f>(-0.214*(K108^2)-21.991*K108+4665)*(10^(-4))/K101</f>
        <v>0.11322815533980583</v>
      </c>
      <c r="L109" s="2890">
        <f>(-0.214*(L108^2)-21.991*L108+4665)*(10^(-4))/L101</f>
        <v>0.11322815533980583</v>
      </c>
      <c r="M109" s="2890">
        <f>(-0.214*(M108^2)-21.991*M108+4665)*(10^(-4))/M101</f>
        <v>0.11322815533980583</v>
      </c>
      <c r="N109" s="2890">
        <f>(-0.214*(N108^2)-21.991*N108+4665)*(10^(-4))/N101</f>
        <v>0.11322815533980583</v>
      </c>
    </row>
    <row r="110" spans="1:14">
      <c r="A110" s="3313" t="s">
        <v>2979</v>
      </c>
      <c r="B110" s="3313"/>
      <c r="C110" s="3313"/>
      <c r="D110" s="3313"/>
      <c r="E110" s="3313"/>
      <c r="F110" s="3313"/>
      <c r="G110" s="3313"/>
      <c r="H110" s="3313"/>
      <c r="I110" s="3313"/>
      <c r="J110" s="3313"/>
      <c r="K110" s="2893"/>
      <c r="L110" s="2893"/>
      <c r="M110" s="2893"/>
      <c r="N110" s="2893"/>
    </row>
    <row r="112" spans="1:14" ht="13.5" thickBot="1"/>
    <row r="113" spans="1:13" ht="25.5" thickBot="1">
      <c r="A113" s="902" t="s">
        <v>2980</v>
      </c>
      <c r="B113" s="1286">
        <f>G3</f>
        <v>4.12</v>
      </c>
      <c r="C113" s="903" t="s">
        <v>2981</v>
      </c>
      <c r="D113" s="904">
        <f>SUMPRODUCT((A115:A118=F113)*(B114:M114=H113)*B115:M118)</f>
        <v>0</v>
      </c>
      <c r="E113" s="2724" t="s">
        <v>2813</v>
      </c>
      <c r="F113" s="2895">
        <f>E2</f>
        <v>0</v>
      </c>
      <c r="G113" s="2724" t="s">
        <v>2814</v>
      </c>
      <c r="H113" s="2895">
        <f>G2</f>
        <v>0</v>
      </c>
      <c r="I113" s="2724"/>
      <c r="J113" s="2896"/>
      <c r="K113" s="2896"/>
      <c r="L113" s="2896"/>
      <c r="M113" s="2896"/>
    </row>
    <row r="114" spans="1:13">
      <c r="A114" s="907"/>
      <c r="B114" s="2897" t="s">
        <v>2982</v>
      </c>
      <c r="C114" s="2897" t="s">
        <v>2983</v>
      </c>
      <c r="D114" s="2897" t="s">
        <v>2984</v>
      </c>
      <c r="E114" s="2898" t="s">
        <v>2985</v>
      </c>
      <c r="F114" s="2898" t="s">
        <v>2986</v>
      </c>
      <c r="G114" s="2898" t="s">
        <v>2987</v>
      </c>
      <c r="H114" s="2899" t="s">
        <v>2988</v>
      </c>
      <c r="I114" s="2899" t="s">
        <v>2989</v>
      </c>
      <c r="J114" s="2900" t="s">
        <v>2990</v>
      </c>
      <c r="K114" s="2900" t="s">
        <v>2991</v>
      </c>
      <c r="L114" s="2900" t="s">
        <v>2992</v>
      </c>
      <c r="M114" s="2901" t="s">
        <v>2993</v>
      </c>
    </row>
    <row r="115" spans="1:13">
      <c r="A115" s="908" t="s">
        <v>2878</v>
      </c>
      <c r="B115" s="909">
        <f>ROUND(0.9335-0.0094*B113,4)</f>
        <v>0.89480000000000004</v>
      </c>
      <c r="C115" s="909">
        <f>B115</f>
        <v>0.89480000000000004</v>
      </c>
      <c r="D115" s="909">
        <f>ROUND(0.8331-0.0109*B113,4)</f>
        <v>0.78820000000000001</v>
      </c>
      <c r="E115" s="909">
        <f>D115</f>
        <v>0.78820000000000001</v>
      </c>
      <c r="F115" s="909">
        <f>E115</f>
        <v>0.78820000000000001</v>
      </c>
      <c r="G115" s="909">
        <f>F115</f>
        <v>0.78820000000000001</v>
      </c>
      <c r="H115" s="909">
        <f>G115</f>
        <v>0.78820000000000001</v>
      </c>
      <c r="I115" s="909">
        <f>ROUND(0.689-0.0155*B113,4)</f>
        <v>0.62509999999999999</v>
      </c>
      <c r="J115" s="909">
        <f t="shared" ref="J115:M118" si="33">I115</f>
        <v>0.62509999999999999</v>
      </c>
      <c r="K115" s="909">
        <f t="shared" si="33"/>
        <v>0.62509999999999999</v>
      </c>
      <c r="L115" s="909">
        <f t="shared" si="33"/>
        <v>0.62509999999999999</v>
      </c>
      <c r="M115" s="910">
        <f t="shared" si="33"/>
        <v>0.62509999999999999</v>
      </c>
    </row>
    <row r="116" spans="1:13">
      <c r="A116" s="908" t="s">
        <v>2879</v>
      </c>
      <c r="B116" s="909">
        <f>ROUND(0.949-0.012*B113,4)</f>
        <v>0.89959999999999996</v>
      </c>
      <c r="C116" s="909">
        <f>B116</f>
        <v>0.89959999999999996</v>
      </c>
      <c r="D116" s="909">
        <f>ROUND(0.8567-0.013*B113,4)</f>
        <v>0.80310000000000004</v>
      </c>
      <c r="E116" s="909">
        <f t="shared" ref="E116:H117" si="34">D116</f>
        <v>0.80310000000000004</v>
      </c>
      <c r="F116" s="909">
        <f t="shared" si="34"/>
        <v>0.80310000000000004</v>
      </c>
      <c r="G116" s="909">
        <f t="shared" si="34"/>
        <v>0.80310000000000004</v>
      </c>
      <c r="H116" s="909">
        <f t="shared" si="34"/>
        <v>0.80310000000000004</v>
      </c>
      <c r="I116" s="909">
        <f>ROUND(0.7694-0.014*B113,4)</f>
        <v>0.7117</v>
      </c>
      <c r="J116" s="909">
        <f t="shared" si="33"/>
        <v>0.7117</v>
      </c>
      <c r="K116" s="909">
        <f t="shared" si="33"/>
        <v>0.7117</v>
      </c>
      <c r="L116" s="909">
        <f t="shared" si="33"/>
        <v>0.7117</v>
      </c>
      <c r="M116" s="910">
        <f t="shared" si="33"/>
        <v>0.7117</v>
      </c>
    </row>
    <row r="117" spans="1:13">
      <c r="A117" s="908" t="s">
        <v>2880</v>
      </c>
      <c r="B117" s="909">
        <f>ROUND(0.8808-0.006*B113,4)</f>
        <v>0.85609999999999997</v>
      </c>
      <c r="C117" s="909">
        <f>B117</f>
        <v>0.85609999999999997</v>
      </c>
      <c r="D117" s="909">
        <f>ROUND(0.8748-0.008*B113,4)</f>
        <v>0.84179999999999999</v>
      </c>
      <c r="E117" s="909">
        <f t="shared" si="34"/>
        <v>0.84179999999999999</v>
      </c>
      <c r="F117" s="909">
        <f t="shared" si="34"/>
        <v>0.84179999999999999</v>
      </c>
      <c r="G117" s="909">
        <f t="shared" si="34"/>
        <v>0.84179999999999999</v>
      </c>
      <c r="H117" s="909">
        <f t="shared" si="34"/>
        <v>0.84179999999999999</v>
      </c>
      <c r="I117" s="909">
        <f>ROUND(0.7412-0.0095*B113,4)</f>
        <v>0.70209999999999995</v>
      </c>
      <c r="J117" s="909">
        <f t="shared" si="33"/>
        <v>0.70209999999999995</v>
      </c>
      <c r="K117" s="909">
        <f t="shared" si="33"/>
        <v>0.70209999999999995</v>
      </c>
      <c r="L117" s="909">
        <f t="shared" si="33"/>
        <v>0.70209999999999995</v>
      </c>
      <c r="M117" s="910">
        <f t="shared" si="33"/>
        <v>0.70209999999999995</v>
      </c>
    </row>
    <row r="118" spans="1:13" ht="13.5" thickBot="1">
      <c r="A118" s="713" t="s">
        <v>2881</v>
      </c>
      <c r="B118" s="911">
        <f>ROUND(0.7275-0.01*B113,4)</f>
        <v>0.68630000000000002</v>
      </c>
      <c r="C118" s="911">
        <f>B118</f>
        <v>0.68630000000000002</v>
      </c>
      <c r="D118" s="911">
        <f>ROUND(0.7043-0.012*B113,4)</f>
        <v>0.65490000000000004</v>
      </c>
      <c r="E118" s="911">
        <f>D118</f>
        <v>0.65490000000000004</v>
      </c>
      <c r="F118" s="911">
        <f>E118</f>
        <v>0.65490000000000004</v>
      </c>
      <c r="G118" s="911">
        <f>ROUND(0.6299-0.0122*B113,4)</f>
        <v>0.5796</v>
      </c>
      <c r="H118" s="911">
        <f>G118</f>
        <v>0.5796</v>
      </c>
      <c r="I118" s="911">
        <f>ROUND(0.5667-0.0136*B113,4)</f>
        <v>0.51070000000000004</v>
      </c>
      <c r="J118" s="911">
        <f t="shared" si="33"/>
        <v>0.51070000000000004</v>
      </c>
      <c r="K118" s="911">
        <f t="shared" si="33"/>
        <v>0.51070000000000004</v>
      </c>
      <c r="L118" s="911">
        <f t="shared" si="33"/>
        <v>0.51070000000000004</v>
      </c>
      <c r="M118" s="912">
        <f t="shared" si="33"/>
        <v>0.51070000000000004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3" t="s">
        <v>183</v>
      </c>
      <c r="B18" s="881" t="s">
        <v>560</v>
      </c>
      <c r="C18" s="882" t="s">
        <v>561</v>
      </c>
      <c r="D18" s="883"/>
      <c r="E18" s="881">
        <v>1</v>
      </c>
      <c r="F18" s="884" t="s">
        <v>562</v>
      </c>
      <c r="G18" s="885"/>
      <c r="H18" s="877"/>
      <c r="I18" s="877"/>
    </row>
    <row r="19" spans="1:9" s="886" customFormat="1" ht="19.5" customHeight="1">
      <c r="A19" s="3333"/>
      <c r="B19" s="3333" t="s">
        <v>563</v>
      </c>
      <c r="C19" s="882" t="s">
        <v>564</v>
      </c>
      <c r="D19" s="883"/>
      <c r="E19" s="881">
        <v>0.9</v>
      </c>
      <c r="F19" s="884" t="s">
        <v>565</v>
      </c>
      <c r="G19" s="885"/>
      <c r="H19" s="877"/>
      <c r="I19" s="877"/>
    </row>
    <row r="20" spans="1:9" s="886" customFormat="1" ht="19.5" customHeight="1">
      <c r="A20" s="3333"/>
      <c r="B20" s="3333"/>
      <c r="C20" s="882" t="s">
        <v>566</v>
      </c>
      <c r="D20" s="883"/>
      <c r="E20" s="881">
        <v>1.1000000000000001</v>
      </c>
      <c r="F20" s="884" t="s">
        <v>567</v>
      </c>
      <c r="G20" s="885"/>
      <c r="H20" s="877"/>
      <c r="I20" s="877"/>
    </row>
    <row r="21" spans="1:9" s="886" customFormat="1" ht="19.5" customHeight="1">
      <c r="A21" s="3333"/>
      <c r="B21" s="3333"/>
      <c r="C21" s="882" t="s">
        <v>568</v>
      </c>
      <c r="D21" s="883"/>
      <c r="E21" s="881">
        <v>0.8</v>
      </c>
      <c r="F21" s="884" t="s">
        <v>569</v>
      </c>
      <c r="G21" s="885"/>
      <c r="H21" s="877"/>
      <c r="I21" s="877"/>
    </row>
    <row r="22" spans="1:9" s="886" customFormat="1" ht="19.5" customHeight="1">
      <c r="A22" s="3333"/>
      <c r="B22" s="3333"/>
      <c r="C22" s="882" t="s">
        <v>570</v>
      </c>
      <c r="D22" s="883"/>
      <c r="E22" s="881">
        <v>0.5</v>
      </c>
      <c r="F22" s="884"/>
      <c r="G22" s="885"/>
      <c r="H22" s="877"/>
      <c r="I22" s="877"/>
    </row>
    <row r="23" spans="1:9" s="886" customFormat="1" ht="19.5" customHeight="1">
      <c r="A23" s="3333" t="s">
        <v>184</v>
      </c>
      <c r="B23" s="881" t="s">
        <v>560</v>
      </c>
      <c r="C23" s="882" t="s">
        <v>571</v>
      </c>
      <c r="D23" s="883"/>
      <c r="E23" s="881">
        <v>1</v>
      </c>
      <c r="F23" s="884" t="s">
        <v>572</v>
      </c>
      <c r="G23" s="885"/>
      <c r="H23" s="877"/>
      <c r="I23" s="877"/>
    </row>
    <row r="24" spans="1:9" s="886" customFormat="1" ht="19.5" customHeight="1">
      <c r="A24" s="3333"/>
      <c r="B24" s="3333" t="s">
        <v>563</v>
      </c>
      <c r="C24" s="882" t="s">
        <v>573</v>
      </c>
      <c r="D24" s="883"/>
      <c r="E24" s="881">
        <v>0.5</v>
      </c>
      <c r="F24" s="884"/>
      <c r="G24" s="885"/>
      <c r="H24" s="877"/>
      <c r="I24" s="877"/>
    </row>
    <row r="25" spans="1:9" s="886" customFormat="1" ht="19.5" customHeight="1">
      <c r="A25" s="3333"/>
      <c r="B25" s="3333"/>
      <c r="C25" s="882" t="s">
        <v>574</v>
      </c>
      <c r="D25" s="883"/>
      <c r="E25" s="881">
        <v>1.1000000000000001</v>
      </c>
      <c r="F25" s="884"/>
      <c r="G25" s="885"/>
      <c r="H25" s="877"/>
      <c r="I25" s="877"/>
    </row>
    <row r="26" spans="1:9" s="886" customFormat="1" ht="19.5" customHeight="1">
      <c r="A26" s="3333"/>
      <c r="B26" s="3333"/>
      <c r="C26" s="882" t="s">
        <v>575</v>
      </c>
      <c r="D26" s="883"/>
      <c r="E26" s="881">
        <v>1.1000000000000001</v>
      </c>
      <c r="F26" s="884"/>
      <c r="G26" s="885"/>
      <c r="H26" s="877"/>
      <c r="I26" s="877"/>
    </row>
    <row r="27" spans="1:9" s="886" customFormat="1" ht="19.5" customHeight="1">
      <c r="A27" s="3333"/>
      <c r="B27" s="3333"/>
      <c r="C27" s="882" t="s">
        <v>576</v>
      </c>
      <c r="D27" s="883"/>
      <c r="E27" s="881">
        <v>0.9</v>
      </c>
      <c r="F27" s="884" t="s">
        <v>577</v>
      </c>
      <c r="G27" s="885"/>
      <c r="H27" s="877"/>
      <c r="I27" s="877"/>
    </row>
    <row r="28" spans="1:9" s="886" customFormat="1" ht="19.5" customHeight="1">
      <c r="A28" s="3333"/>
      <c r="B28" s="3333"/>
      <c r="C28" s="882" t="s">
        <v>578</v>
      </c>
      <c r="D28" s="883"/>
      <c r="E28" s="881">
        <v>0.9</v>
      </c>
      <c r="F28" s="884" t="s">
        <v>579</v>
      </c>
      <c r="G28" s="885"/>
      <c r="H28" s="877"/>
      <c r="I28" s="877"/>
    </row>
    <row r="29" spans="1:9" s="886" customFormat="1" ht="19.5" customHeight="1">
      <c r="A29" s="3333"/>
      <c r="B29" s="3333"/>
      <c r="C29" s="882" t="s">
        <v>580</v>
      </c>
      <c r="D29" s="883"/>
      <c r="E29" s="881">
        <v>0.9</v>
      </c>
      <c r="F29" s="884" t="s">
        <v>581</v>
      </c>
      <c r="G29" s="885"/>
      <c r="H29" s="877"/>
      <c r="I29" s="877"/>
    </row>
    <row r="30" spans="1:9" s="886" customFormat="1" ht="19.5" customHeight="1">
      <c r="A30" s="3333"/>
      <c r="B30" s="3333"/>
      <c r="C30" s="882" t="s">
        <v>582</v>
      </c>
      <c r="D30" s="883"/>
      <c r="E30" s="881">
        <v>0.9</v>
      </c>
      <c r="F30" s="884" t="s">
        <v>583</v>
      </c>
      <c r="G30" s="885"/>
      <c r="H30" s="877"/>
      <c r="I30" s="877"/>
    </row>
    <row r="31" spans="1:9" s="886" customFormat="1" ht="19.5" customHeight="1">
      <c r="A31" s="3333"/>
      <c r="B31" s="3333"/>
      <c r="C31" s="882" t="s">
        <v>584</v>
      </c>
      <c r="D31" s="883"/>
      <c r="E31" s="881">
        <v>0.8</v>
      </c>
      <c r="F31" s="884" t="s">
        <v>585</v>
      </c>
      <c r="G31" s="885"/>
      <c r="H31" s="877"/>
      <c r="I31" s="877"/>
    </row>
    <row r="32" spans="1:9" s="886" customFormat="1" ht="19.5" customHeight="1">
      <c r="A32" s="3333"/>
      <c r="B32" s="3333"/>
      <c r="C32" s="882" t="s">
        <v>586</v>
      </c>
      <c r="D32" s="883"/>
      <c r="E32" s="881">
        <v>0.8</v>
      </c>
      <c r="F32" s="884" t="s">
        <v>587</v>
      </c>
      <c r="G32" s="885"/>
      <c r="H32" s="877"/>
      <c r="I32" s="877"/>
    </row>
    <row r="33" spans="1:9" s="886" customFormat="1" ht="19.5" customHeight="1">
      <c r="A33" s="3333" t="s">
        <v>185</v>
      </c>
      <c r="B33" s="881" t="s">
        <v>560</v>
      </c>
      <c r="C33" s="882" t="s">
        <v>588</v>
      </c>
      <c r="D33" s="883"/>
      <c r="E33" s="881">
        <v>1</v>
      </c>
      <c r="F33" s="884" t="s">
        <v>589</v>
      </c>
      <c r="G33" s="885"/>
      <c r="H33" s="877"/>
      <c r="I33" s="877"/>
    </row>
    <row r="34" spans="1:9" s="886" customFormat="1" ht="19.5" customHeight="1">
      <c r="A34" s="3333"/>
      <c r="B34" s="881" t="s">
        <v>563</v>
      </c>
      <c r="C34" s="882" t="s">
        <v>590</v>
      </c>
      <c r="D34" s="883"/>
      <c r="E34" s="881">
        <v>1.5</v>
      </c>
      <c r="F34" s="884" t="s">
        <v>591</v>
      </c>
      <c r="G34" s="885"/>
      <c r="H34" s="877"/>
      <c r="I34" s="877"/>
    </row>
    <row r="35" spans="1:9" s="886" customFormat="1" ht="19.5" customHeight="1">
      <c r="A35" s="3333" t="s">
        <v>186</v>
      </c>
      <c r="B35" s="881" t="s">
        <v>560</v>
      </c>
      <c r="C35" s="882" t="s">
        <v>592</v>
      </c>
      <c r="D35" s="883"/>
      <c r="E35" s="881">
        <v>1</v>
      </c>
      <c r="F35" s="884" t="s">
        <v>593</v>
      </c>
      <c r="G35" s="885"/>
      <c r="H35" s="877"/>
      <c r="I35" s="877"/>
    </row>
    <row r="36" spans="1:9" s="886" customFormat="1" ht="19.5" customHeight="1">
      <c r="A36" s="3333"/>
      <c r="B36" s="3333" t="s">
        <v>563</v>
      </c>
      <c r="C36" s="882" t="s">
        <v>594</v>
      </c>
      <c r="D36" s="883"/>
      <c r="E36" s="881">
        <v>1</v>
      </c>
      <c r="F36" s="884" t="s">
        <v>595</v>
      </c>
      <c r="G36" s="885"/>
      <c r="H36" s="877"/>
      <c r="I36" s="877"/>
    </row>
    <row r="37" spans="1:9" s="886" customFormat="1" ht="19.5" customHeight="1">
      <c r="A37" s="3333"/>
      <c r="B37" s="3333"/>
      <c r="C37" s="882" t="s">
        <v>596</v>
      </c>
      <c r="D37" s="883"/>
      <c r="E37" s="881">
        <v>1.5</v>
      </c>
      <c r="F37" s="884" t="s">
        <v>597</v>
      </c>
      <c r="G37" s="885"/>
      <c r="H37" s="877"/>
      <c r="I37" s="877"/>
    </row>
    <row r="38" spans="1:9" s="886" customFormat="1" ht="19.5" customHeight="1">
      <c r="A38" s="3333"/>
      <c r="B38" s="3333"/>
      <c r="C38" s="882" t="s">
        <v>598</v>
      </c>
      <c r="D38" s="883"/>
      <c r="E38" s="881">
        <v>1</v>
      </c>
      <c r="F38" s="884" t="s">
        <v>599</v>
      </c>
      <c r="G38" s="885"/>
      <c r="H38" s="877"/>
      <c r="I38" s="877"/>
    </row>
    <row r="39" spans="1:9" s="886" customFormat="1" ht="19.5" customHeight="1">
      <c r="A39" s="3333"/>
      <c r="B39" s="333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33" t="s">
        <v>614</v>
      </c>
      <c r="C61" s="817" t="s">
        <v>615</v>
      </c>
      <c r="D61" s="817" t="s">
        <v>616</v>
      </c>
      <c r="E61" s="894">
        <v>0.5</v>
      </c>
      <c r="F61" s="881">
        <v>80</v>
      </c>
    </row>
    <row r="62" spans="1:8" s="877" customFormat="1" ht="24">
      <c r="A62" s="881">
        <v>2</v>
      </c>
      <c r="B62" s="3333"/>
      <c r="C62" s="817" t="s">
        <v>617</v>
      </c>
      <c r="D62" s="817" t="s">
        <v>618</v>
      </c>
      <c r="E62" s="894">
        <v>0.5</v>
      </c>
      <c r="F62" s="881">
        <v>80</v>
      </c>
    </row>
    <row r="63" spans="1:8" s="877" customFormat="1" ht="36">
      <c r="A63" s="881">
        <v>3</v>
      </c>
      <c r="B63" s="3333"/>
      <c r="C63" s="817" t="s">
        <v>619</v>
      </c>
      <c r="D63" s="817" t="s">
        <v>620</v>
      </c>
      <c r="E63" s="894">
        <v>0.5</v>
      </c>
      <c r="F63" s="881">
        <v>80</v>
      </c>
    </row>
    <row r="64" spans="1:8" s="877" customFormat="1" ht="36">
      <c r="A64" s="881">
        <v>4</v>
      </c>
      <c r="B64" s="3333"/>
      <c r="C64" s="817" t="s">
        <v>621</v>
      </c>
      <c r="D64" s="817" t="s">
        <v>622</v>
      </c>
      <c r="E64" s="894">
        <v>0.4</v>
      </c>
      <c r="F64" s="881">
        <v>60</v>
      </c>
    </row>
    <row r="65" spans="1:6" s="877" customFormat="1" ht="36">
      <c r="A65" s="881">
        <v>5</v>
      </c>
      <c r="B65" s="3333"/>
      <c r="C65" s="817" t="s">
        <v>623</v>
      </c>
      <c r="D65" s="817" t="s">
        <v>624</v>
      </c>
      <c r="E65" s="894">
        <v>0.2</v>
      </c>
      <c r="F65" s="881">
        <v>30</v>
      </c>
    </row>
    <row r="66" spans="1:6" s="877" customFormat="1" ht="36">
      <c r="A66" s="881">
        <v>6</v>
      </c>
      <c r="B66" s="3333"/>
      <c r="C66" s="817" t="s">
        <v>625</v>
      </c>
      <c r="D66" s="817" t="s">
        <v>626</v>
      </c>
      <c r="E66" s="894">
        <v>0.3</v>
      </c>
      <c r="F66" s="881">
        <v>50</v>
      </c>
    </row>
    <row r="67" spans="1:6" s="877" customFormat="1" ht="36">
      <c r="A67" s="881">
        <v>7</v>
      </c>
      <c r="B67" s="3333"/>
      <c r="C67" s="817" t="s">
        <v>627</v>
      </c>
      <c r="D67" s="817" t="s">
        <v>628</v>
      </c>
      <c r="E67" s="894">
        <v>0.2</v>
      </c>
      <c r="F67" s="881">
        <v>30</v>
      </c>
    </row>
    <row r="68" spans="1:6" s="877" customFormat="1" ht="36">
      <c r="A68" s="881">
        <v>8</v>
      </c>
      <c r="B68" s="3333"/>
      <c r="C68" s="817" t="s">
        <v>629</v>
      </c>
      <c r="D68" s="817" t="s">
        <v>630</v>
      </c>
      <c r="E68" s="894">
        <v>0.2</v>
      </c>
      <c r="F68" s="881">
        <v>30</v>
      </c>
    </row>
    <row r="69" spans="1:6" s="877" customFormat="1" ht="36">
      <c r="A69" s="881">
        <v>9</v>
      </c>
      <c r="B69" s="3333"/>
      <c r="C69" s="817" t="s">
        <v>631</v>
      </c>
      <c r="D69" s="817" t="s">
        <v>632</v>
      </c>
      <c r="E69" s="894">
        <v>0.2</v>
      </c>
      <c r="F69" s="881">
        <v>30</v>
      </c>
    </row>
    <row r="70" spans="1:6" s="877" customFormat="1" ht="48">
      <c r="A70" s="881">
        <v>10</v>
      </c>
      <c r="B70" s="3333"/>
      <c r="C70" s="817" t="s">
        <v>633</v>
      </c>
      <c r="D70" s="817" t="s">
        <v>634</v>
      </c>
      <c r="E70" s="894">
        <v>0.2</v>
      </c>
      <c r="F70" s="881">
        <v>30</v>
      </c>
    </row>
    <row r="71" spans="1:6" s="877" customFormat="1" ht="48">
      <c r="A71" s="881">
        <v>11</v>
      </c>
      <c r="B71" s="3333"/>
      <c r="C71" s="817" t="s">
        <v>635</v>
      </c>
      <c r="D71" s="817" t="s">
        <v>636</v>
      </c>
      <c r="E71" s="894">
        <v>0.2</v>
      </c>
      <c r="F71" s="881">
        <v>30</v>
      </c>
    </row>
    <row r="72" spans="1:6" s="877" customFormat="1" ht="36">
      <c r="A72" s="881">
        <v>12</v>
      </c>
      <c r="B72" s="3333"/>
      <c r="C72" s="817" t="s">
        <v>637</v>
      </c>
      <c r="D72" s="817" t="s">
        <v>638</v>
      </c>
      <c r="E72" s="894">
        <v>0.5</v>
      </c>
      <c r="F72" s="881">
        <v>80</v>
      </c>
    </row>
    <row r="73" spans="1:6" s="877" customFormat="1" ht="24">
      <c r="A73" s="881">
        <v>13</v>
      </c>
      <c r="B73" s="3333"/>
      <c r="C73" s="817" t="s">
        <v>639</v>
      </c>
      <c r="D73" s="817" t="s">
        <v>640</v>
      </c>
      <c r="E73" s="894">
        <v>0.4</v>
      </c>
      <c r="F73" s="881">
        <v>60</v>
      </c>
    </row>
    <row r="74" spans="1:6" s="877" customFormat="1" ht="24">
      <c r="A74" s="881">
        <v>14</v>
      </c>
      <c r="B74" s="3333"/>
      <c r="C74" s="817" t="s">
        <v>641</v>
      </c>
      <c r="D74" s="817" t="s">
        <v>642</v>
      </c>
      <c r="E74" s="894">
        <v>0.2</v>
      </c>
      <c r="F74" s="881">
        <v>30</v>
      </c>
    </row>
    <row r="75" spans="1:6" s="877" customFormat="1" ht="24">
      <c r="A75" s="881">
        <v>15</v>
      </c>
      <c r="B75" s="3333"/>
      <c r="C75" s="817" t="s">
        <v>643</v>
      </c>
      <c r="D75" s="817" t="s">
        <v>644</v>
      </c>
      <c r="E75" s="894">
        <v>0.2</v>
      </c>
      <c r="F75" s="881">
        <v>30</v>
      </c>
    </row>
    <row r="76" spans="1:6" s="877" customFormat="1" ht="24">
      <c r="A76" s="881">
        <v>16</v>
      </c>
      <c r="B76" s="3333" t="s">
        <v>645</v>
      </c>
      <c r="C76" s="817" t="s">
        <v>646</v>
      </c>
      <c r="D76" s="817" t="s">
        <v>647</v>
      </c>
      <c r="E76" s="894">
        <v>0.5</v>
      </c>
      <c r="F76" s="881">
        <v>80</v>
      </c>
    </row>
    <row r="77" spans="1:6" s="877" customFormat="1" ht="24">
      <c r="A77" s="881">
        <v>17</v>
      </c>
      <c r="B77" s="3333"/>
      <c r="C77" s="817" t="s">
        <v>648</v>
      </c>
      <c r="D77" s="817" t="s">
        <v>649</v>
      </c>
      <c r="E77" s="894">
        <v>0.5</v>
      </c>
      <c r="F77" s="881">
        <v>80</v>
      </c>
    </row>
    <row r="78" spans="1:6" s="877" customFormat="1" ht="24">
      <c r="A78" s="881">
        <v>18</v>
      </c>
      <c r="B78" s="3333"/>
      <c r="C78" s="817" t="s">
        <v>650</v>
      </c>
      <c r="D78" s="817" t="s">
        <v>651</v>
      </c>
      <c r="E78" s="894">
        <v>0.2</v>
      </c>
      <c r="F78" s="881">
        <v>30</v>
      </c>
    </row>
    <row r="79" spans="1:6" s="877" customFormat="1" ht="24">
      <c r="A79" s="881">
        <v>19</v>
      </c>
      <c r="B79" s="3333"/>
      <c r="C79" s="817" t="s">
        <v>652</v>
      </c>
      <c r="D79" s="817" t="s">
        <v>653</v>
      </c>
      <c r="E79" s="894">
        <v>0.5</v>
      </c>
      <c r="F79" s="881">
        <v>80</v>
      </c>
    </row>
    <row r="80" spans="1:6" s="877" customFormat="1" ht="36">
      <c r="A80" s="881">
        <v>20</v>
      </c>
      <c r="B80" s="3333"/>
      <c r="C80" s="817" t="s">
        <v>654</v>
      </c>
      <c r="D80" s="817" t="s">
        <v>655</v>
      </c>
      <c r="E80" s="894">
        <v>0.2</v>
      </c>
      <c r="F80" s="881">
        <v>30</v>
      </c>
    </row>
    <row r="81" spans="1:6" s="877" customFormat="1" ht="36">
      <c r="A81" s="881">
        <v>21</v>
      </c>
      <c r="B81" s="3333"/>
      <c r="C81" s="817" t="s">
        <v>656</v>
      </c>
      <c r="D81" s="817" t="s">
        <v>657</v>
      </c>
      <c r="E81" s="894">
        <v>0.2</v>
      </c>
      <c r="F81" s="881">
        <v>30</v>
      </c>
    </row>
    <row r="82" spans="1:6" s="877" customFormat="1" ht="48">
      <c r="A82" s="881">
        <v>22</v>
      </c>
      <c r="B82" s="3333"/>
      <c r="C82" s="817" t="s">
        <v>658</v>
      </c>
      <c r="D82" s="817" t="s">
        <v>659</v>
      </c>
      <c r="E82" s="894">
        <v>0.2</v>
      </c>
      <c r="F82" s="881">
        <v>30</v>
      </c>
    </row>
    <row r="83" spans="1:6" s="877" customFormat="1" ht="48">
      <c r="A83" s="881">
        <v>23</v>
      </c>
      <c r="B83" s="3333"/>
      <c r="C83" s="817" t="s">
        <v>660</v>
      </c>
      <c r="D83" s="817" t="s">
        <v>661</v>
      </c>
      <c r="E83" s="894">
        <v>0.2</v>
      </c>
      <c r="F83" s="881">
        <v>30</v>
      </c>
    </row>
    <row r="84" spans="1:6" s="877" customFormat="1" ht="36">
      <c r="A84" s="881">
        <v>24</v>
      </c>
      <c r="B84" s="3333"/>
      <c r="C84" s="817" t="s">
        <v>662</v>
      </c>
      <c r="D84" s="817" t="s">
        <v>663</v>
      </c>
      <c r="E84" s="894">
        <v>0.2</v>
      </c>
      <c r="F84" s="881">
        <v>30</v>
      </c>
    </row>
    <row r="85" spans="1:6" s="877" customFormat="1" ht="36">
      <c r="A85" s="881">
        <v>25</v>
      </c>
      <c r="B85" s="3333"/>
      <c r="C85" s="817" t="s">
        <v>664</v>
      </c>
      <c r="D85" s="817" t="s">
        <v>665</v>
      </c>
      <c r="E85" s="894">
        <v>0.5</v>
      </c>
      <c r="F85" s="881">
        <v>80</v>
      </c>
    </row>
    <row r="86" spans="1:6" s="877" customFormat="1" ht="36">
      <c r="A86" s="881">
        <v>26</v>
      </c>
      <c r="B86" s="3333"/>
      <c r="C86" s="817" t="s">
        <v>666</v>
      </c>
      <c r="D86" s="817" t="s">
        <v>667</v>
      </c>
      <c r="E86" s="894">
        <v>0.2</v>
      </c>
      <c r="F86" s="881">
        <v>30</v>
      </c>
    </row>
    <row r="87" spans="1:6" s="877" customFormat="1" ht="36">
      <c r="A87" s="881">
        <v>27</v>
      </c>
      <c r="B87" s="3333"/>
      <c r="C87" s="817" t="s">
        <v>668</v>
      </c>
      <c r="D87" s="817" t="s">
        <v>669</v>
      </c>
      <c r="E87" s="894">
        <v>0.2</v>
      </c>
      <c r="F87" s="881">
        <v>30</v>
      </c>
    </row>
    <row r="88" spans="1:6" s="877" customFormat="1" ht="36">
      <c r="A88" s="881">
        <v>28</v>
      </c>
      <c r="B88" s="3333"/>
      <c r="C88" s="817" t="s">
        <v>670</v>
      </c>
      <c r="D88" s="817" t="s">
        <v>671</v>
      </c>
      <c r="E88" s="894">
        <v>0.2</v>
      </c>
      <c r="F88" s="881">
        <v>30</v>
      </c>
    </row>
    <row r="89" spans="1:6" s="877" customFormat="1" ht="24">
      <c r="A89" s="881">
        <v>29</v>
      </c>
      <c r="B89" s="3333"/>
      <c r="C89" s="817" t="s">
        <v>672</v>
      </c>
      <c r="D89" s="817" t="s">
        <v>673</v>
      </c>
      <c r="E89" s="894">
        <v>0.2</v>
      </c>
      <c r="F89" s="881">
        <v>30</v>
      </c>
    </row>
    <row r="90" spans="1:6" s="877" customFormat="1" ht="24">
      <c r="A90" s="881">
        <v>30</v>
      </c>
      <c r="B90" s="3333"/>
      <c r="C90" s="817" t="s">
        <v>674</v>
      </c>
      <c r="D90" s="817" t="s">
        <v>675</v>
      </c>
      <c r="E90" s="894">
        <v>0.2</v>
      </c>
      <c r="F90" s="881">
        <v>30</v>
      </c>
    </row>
    <row r="91" spans="1:6" s="877" customFormat="1" ht="36">
      <c r="A91" s="881">
        <v>31</v>
      </c>
      <c r="B91" s="3333"/>
      <c r="C91" s="817" t="s">
        <v>676</v>
      </c>
      <c r="D91" s="817" t="s">
        <v>677</v>
      </c>
      <c r="E91" s="894">
        <v>0.2</v>
      </c>
      <c r="F91" s="881">
        <v>30</v>
      </c>
    </row>
    <row r="92" spans="1:6" s="877" customFormat="1" ht="24">
      <c r="A92" s="881">
        <v>32</v>
      </c>
      <c r="B92" s="3333" t="s">
        <v>678</v>
      </c>
      <c r="C92" s="881" t="s">
        <v>679</v>
      </c>
      <c r="D92" s="817" t="s">
        <v>680</v>
      </c>
      <c r="E92" s="894">
        <v>0.2</v>
      </c>
      <c r="F92" s="881">
        <v>30</v>
      </c>
    </row>
    <row r="93" spans="1:6" s="877" customFormat="1" ht="36">
      <c r="A93" s="881">
        <v>33</v>
      </c>
      <c r="B93" s="3333"/>
      <c r="C93" s="881" t="s">
        <v>681</v>
      </c>
      <c r="D93" s="817" t="s">
        <v>682</v>
      </c>
      <c r="E93" s="894">
        <v>0.2</v>
      </c>
      <c r="F93" s="881">
        <v>30</v>
      </c>
    </row>
    <row r="94" spans="1:6" s="877" customFormat="1" ht="48">
      <c r="A94" s="881">
        <v>34</v>
      </c>
      <c r="B94" s="3333"/>
      <c r="C94" s="881" t="s">
        <v>683</v>
      </c>
      <c r="D94" s="817" t="s">
        <v>684</v>
      </c>
      <c r="E94" s="894">
        <v>0.2</v>
      </c>
      <c r="F94" s="881">
        <v>30</v>
      </c>
    </row>
    <row r="95" spans="1:6" s="877" customFormat="1" ht="36">
      <c r="A95" s="881">
        <v>35</v>
      </c>
      <c r="B95" s="3333"/>
      <c r="C95" s="881" t="s">
        <v>685</v>
      </c>
      <c r="D95" s="817" t="s">
        <v>686</v>
      </c>
      <c r="E95" s="894">
        <v>0.2</v>
      </c>
      <c r="F95" s="881">
        <v>30</v>
      </c>
    </row>
    <row r="96" spans="1:6" s="877" customFormat="1" ht="48">
      <c r="A96" s="881">
        <v>36</v>
      </c>
      <c r="B96" s="3333"/>
      <c r="C96" s="817" t="s">
        <v>687</v>
      </c>
      <c r="D96" s="817" t="s">
        <v>688</v>
      </c>
      <c r="E96" s="894">
        <v>0.2</v>
      </c>
      <c r="F96" s="881">
        <v>30</v>
      </c>
    </row>
    <row r="97" spans="1:6" s="877" customFormat="1" ht="36">
      <c r="A97" s="881">
        <v>37</v>
      </c>
      <c r="B97" s="3333"/>
      <c r="C97" s="881" t="s">
        <v>689</v>
      </c>
      <c r="D97" s="817" t="s">
        <v>690</v>
      </c>
      <c r="E97" s="894">
        <v>0.2</v>
      </c>
      <c r="F97" s="881">
        <v>30</v>
      </c>
    </row>
    <row r="98" spans="1:6" s="877" customFormat="1" ht="36">
      <c r="A98" s="881">
        <v>38</v>
      </c>
      <c r="B98" s="3333"/>
      <c r="C98" s="881" t="s">
        <v>691</v>
      </c>
      <c r="D98" s="817" t="s">
        <v>692</v>
      </c>
      <c r="E98" s="894">
        <v>0.2</v>
      </c>
      <c r="F98" s="881">
        <v>30</v>
      </c>
    </row>
    <row r="99" spans="1:6" s="877" customFormat="1" ht="36">
      <c r="A99" s="881">
        <v>39</v>
      </c>
      <c r="B99" s="3333" t="s">
        <v>693</v>
      </c>
      <c r="C99" s="881" t="s">
        <v>694</v>
      </c>
      <c r="D99" s="817" t="s">
        <v>695</v>
      </c>
      <c r="E99" s="894">
        <v>0.3</v>
      </c>
      <c r="F99" s="881">
        <v>50</v>
      </c>
    </row>
    <row r="100" spans="1:6" s="877" customFormat="1" ht="24">
      <c r="A100" s="881">
        <v>40</v>
      </c>
      <c r="B100" s="3333"/>
      <c r="C100" s="881" t="s">
        <v>696</v>
      </c>
      <c r="D100" s="817" t="s">
        <v>697</v>
      </c>
      <c r="E100" s="894">
        <v>0.2</v>
      </c>
      <c r="F100" s="881">
        <v>30</v>
      </c>
    </row>
    <row r="101" spans="1:6" s="877" customFormat="1" ht="36">
      <c r="A101" s="881">
        <v>41</v>
      </c>
      <c r="B101" s="333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3" t="s">
        <v>708</v>
      </c>
      <c r="C105" s="881" t="s">
        <v>709</v>
      </c>
      <c r="D105" s="817" t="s">
        <v>710</v>
      </c>
      <c r="E105" s="894">
        <v>0.2</v>
      </c>
      <c r="F105" s="881">
        <v>30</v>
      </c>
    </row>
    <row r="106" spans="1:6" s="877" customFormat="1" ht="36">
      <c r="A106" s="881">
        <v>46</v>
      </c>
      <c r="B106" s="3333"/>
      <c r="C106" s="881" t="s">
        <v>711</v>
      </c>
      <c r="D106" s="817" t="s">
        <v>712</v>
      </c>
      <c r="E106" s="894">
        <v>0.2</v>
      </c>
      <c r="F106" s="881">
        <v>30</v>
      </c>
    </row>
    <row r="107" spans="1:6" s="877" customFormat="1" ht="36">
      <c r="A107" s="881">
        <v>47</v>
      </c>
      <c r="B107" s="3333" t="s">
        <v>713</v>
      </c>
      <c r="C107" s="881" t="s">
        <v>714</v>
      </c>
      <c r="D107" s="817" t="s">
        <v>715</v>
      </c>
      <c r="E107" s="894">
        <v>0.3</v>
      </c>
      <c r="F107" s="881">
        <v>50</v>
      </c>
    </row>
    <row r="108" spans="1:6" s="877" customFormat="1" ht="36">
      <c r="A108" s="881">
        <v>48</v>
      </c>
      <c r="B108" s="333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3" t="s">
        <v>724</v>
      </c>
      <c r="C111" s="881" t="s">
        <v>725</v>
      </c>
      <c r="D111" s="817" t="s">
        <v>726</v>
      </c>
      <c r="E111" s="894">
        <v>0.2</v>
      </c>
      <c r="F111" s="881">
        <v>30</v>
      </c>
    </row>
    <row r="112" spans="1:6" s="877" customFormat="1" ht="24">
      <c r="A112" s="881">
        <v>52</v>
      </c>
      <c r="B112" s="3333"/>
      <c r="C112" s="881" t="s">
        <v>727</v>
      </c>
      <c r="D112" s="817" t="s">
        <v>728</v>
      </c>
      <c r="E112" s="894">
        <v>0.2</v>
      </c>
      <c r="F112" s="881">
        <v>30</v>
      </c>
    </row>
    <row r="113" spans="1:6" s="877" customFormat="1" ht="24">
      <c r="A113" s="881">
        <v>53</v>
      </c>
      <c r="B113" s="333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3" t="s">
        <v>737</v>
      </c>
      <c r="C116" s="881" t="s">
        <v>738</v>
      </c>
      <c r="D116" s="817" t="s">
        <v>739</v>
      </c>
      <c r="E116" s="894">
        <v>0.2</v>
      </c>
      <c r="F116" s="881">
        <v>30</v>
      </c>
    </row>
    <row r="117" spans="1:6" ht="36">
      <c r="A117" s="881">
        <v>57</v>
      </c>
      <c r="B117" s="333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3002</v>
      </c>
    </row>
    <row r="2" spans="1:5" ht="15.75">
      <c r="A2" s="2902" t="s">
        <v>2994</v>
      </c>
      <c r="B2" s="2903" t="e">
        <f ca="1">SUMIF(B6:B13,"&lt;&gt;#ref!",B6:B13)</f>
        <v>#DIV/0!</v>
      </c>
      <c r="C2" s="2902" t="s">
        <v>2995</v>
      </c>
      <c r="D2" s="2902" t="s">
        <v>2996</v>
      </c>
      <c r="E2" s="2903">
        <f ca="1">SUMIF(E6:E13,"&lt;&gt;#ref!",E6:E13)</f>
        <v>0</v>
      </c>
    </row>
    <row r="3" spans="1:5" ht="15.75">
      <c r="A3" s="2902" t="s">
        <v>2997</v>
      </c>
      <c r="B3" s="2903" t="e">
        <f ca="1">ROUND(B2*10000/E2,0)</f>
        <v>#DIV/0!</v>
      </c>
      <c r="C3" s="2902" t="s">
        <v>3003</v>
      </c>
      <c r="D3" s="2904"/>
      <c r="E3" s="2904"/>
    </row>
    <row r="4" spans="1:5" ht="15.75">
      <c r="A4" s="2905"/>
      <c r="B4" s="2904"/>
      <c r="C4" s="2904"/>
      <c r="D4" s="2904"/>
      <c r="E4" s="2904"/>
    </row>
    <row r="5" spans="1:5" ht="28.5">
      <c r="A5" s="2906" t="s">
        <v>2998</v>
      </c>
      <c r="B5" s="2902" t="s">
        <v>2999</v>
      </c>
      <c r="C5" s="2903"/>
      <c r="D5" s="2904"/>
      <c r="E5" s="2902" t="s">
        <v>3000</v>
      </c>
    </row>
    <row r="6" spans="1:5" ht="15.75">
      <c r="A6" s="2907" t="s">
        <v>3001</v>
      </c>
      <c r="B6" s="2903" t="e">
        <f ca="1">SUMIF(INDIRECT("'"&amp;A6&amp;"'"&amp;"!A:A"),"总价",INDIRECT("'"&amp;A6&amp;"'"&amp;"!B:B"))</f>
        <v>#DIV/0!</v>
      </c>
      <c r="C6" s="2902" t="s">
        <v>2995</v>
      </c>
      <c r="D6" s="2904"/>
      <c r="E6" s="2575">
        <f ca="1">SUMIF(INDIRECT("'"&amp;A6&amp;"'"&amp;"!C:C"),"建筑面积",INDIRECT("'"&amp;A6&amp;"'"&amp;"!D:D"))</f>
        <v>0</v>
      </c>
    </row>
    <row r="7" spans="1:5" ht="15.75">
      <c r="A7" s="2907"/>
      <c r="B7" s="2903" t="e">
        <f ca="1">SUMIF(INDIRECT("'"&amp;A7&amp;"'"&amp;"!A:A"),"总价",INDIRECT("'"&amp;A7&amp;"'"&amp;"!B:B"))</f>
        <v>#REF!</v>
      </c>
      <c r="C7" s="2902" t="s">
        <v>2995</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2995</v>
      </c>
      <c r="D8" s="2904"/>
      <c r="E8" s="2575" t="e">
        <f t="shared" ca="1" si="0"/>
        <v>#REF!</v>
      </c>
    </row>
    <row r="9" spans="1:5" ht="15.75">
      <c r="A9" s="2907"/>
      <c r="B9" s="2903" t="e">
        <f t="shared" ca="1" si="1"/>
        <v>#REF!</v>
      </c>
      <c r="C9" s="2902" t="s">
        <v>2995</v>
      </c>
      <c r="D9" s="2904"/>
      <c r="E9" s="2575" t="e">
        <f t="shared" ca="1" si="0"/>
        <v>#REF!</v>
      </c>
    </row>
    <row r="10" spans="1:5" ht="15.75">
      <c r="A10" s="2907"/>
      <c r="B10" s="2903" t="e">
        <f t="shared" ca="1" si="1"/>
        <v>#REF!</v>
      </c>
      <c r="C10" s="2902" t="s">
        <v>2995</v>
      </c>
      <c r="D10" s="2904"/>
      <c r="E10" s="2575" t="e">
        <f t="shared" ca="1" si="0"/>
        <v>#REF!</v>
      </c>
    </row>
    <row r="11" spans="1:5" ht="15.75">
      <c r="A11" s="2907"/>
      <c r="B11" s="2903" t="e">
        <f t="shared" ca="1" si="1"/>
        <v>#REF!</v>
      </c>
      <c r="C11" s="2902" t="s">
        <v>2995</v>
      </c>
      <c r="D11" s="2904"/>
      <c r="E11" s="2575" t="e">
        <f t="shared" ca="1" si="0"/>
        <v>#REF!</v>
      </c>
    </row>
    <row r="12" spans="1:5" ht="15.75">
      <c r="A12" s="2907"/>
      <c r="B12" s="2903" t="e">
        <f t="shared" ca="1" si="1"/>
        <v>#REF!</v>
      </c>
      <c r="C12" s="2902" t="s">
        <v>2995</v>
      </c>
      <c r="D12" s="2904"/>
      <c r="E12" s="2575" t="e">
        <f t="shared" ca="1" si="0"/>
        <v>#REF!</v>
      </c>
    </row>
    <row r="13" spans="1:5" ht="15.75">
      <c r="A13" s="2907"/>
      <c r="B13" s="2903" t="e">
        <f t="shared" ca="1" si="1"/>
        <v>#REF!</v>
      </c>
      <c r="C13" s="2902" t="s">
        <v>2995</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9" t="s">
        <v>1146</v>
      </c>
      <c r="C1" s="3339"/>
      <c r="D1" s="3339"/>
      <c r="E1" s="3339"/>
      <c r="F1" s="3339"/>
      <c r="G1" s="3335" t="s">
        <v>1147</v>
      </c>
      <c r="H1" s="3335"/>
      <c r="I1" s="3335"/>
      <c r="J1" s="3335"/>
      <c r="K1" s="3335"/>
      <c r="L1" s="3335"/>
      <c r="N1" s="3335" t="s">
        <v>1148</v>
      </c>
      <c r="O1" s="3335"/>
      <c r="P1" s="3335"/>
      <c r="Q1" s="3335"/>
      <c r="R1" s="1444"/>
      <c r="S1" s="3335" t="s">
        <v>1149</v>
      </c>
      <c r="T1" s="3335"/>
      <c r="U1" s="3335"/>
      <c r="V1" s="3335"/>
      <c r="X1" s="3334" t="s">
        <v>1150</v>
      </c>
      <c r="Y1" s="3335"/>
      <c r="Z1" s="3335"/>
      <c r="AA1" s="3335"/>
      <c r="AB1" s="3335"/>
      <c r="AD1" s="3334" t="s">
        <v>1151</v>
      </c>
      <c r="AE1" s="3335"/>
      <c r="AF1" s="3335"/>
      <c r="AG1" s="3335"/>
      <c r="AH1" s="333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8" customFormat="1" ht="14.25">
      <c r="A3" s="2927" t="s">
        <v>3037</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7">
        <v>2019</v>
      </c>
      <c r="H5" s="1728">
        <v>3</v>
      </c>
      <c r="I5" s="2914">
        <v>0</v>
      </c>
      <c r="J5" s="2914">
        <v>0</v>
      </c>
      <c r="K5" s="2914">
        <v>0</v>
      </c>
      <c r="L5" s="2914">
        <v>0</v>
      </c>
      <c r="N5" s="1465">
        <f>I5/100</f>
        <v>0</v>
      </c>
      <c r="O5" s="1465">
        <f t="shared" ref="O5" si="7">J5/100</f>
        <v>0</v>
      </c>
      <c r="P5" s="1465">
        <f t="shared" ref="P5" si="8">K5/100</f>
        <v>0</v>
      </c>
      <c r="Q5" s="1465">
        <f t="shared" ref="Q5" si="9">L5/100</f>
        <v>0</v>
      </c>
      <c r="R5" s="1730"/>
      <c r="S5" s="1731"/>
      <c r="T5" s="1730"/>
      <c r="U5" s="1730"/>
      <c r="V5" s="1730"/>
      <c r="W5" s="2917" t="s">
        <v>3038</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7">
        <v>2019</v>
      </c>
      <c r="H6" s="1460">
        <v>2</v>
      </c>
      <c r="I6" s="2951">
        <v>1.53</v>
      </c>
      <c r="J6" s="2951">
        <v>1.01</v>
      </c>
      <c r="K6" s="2951">
        <v>1.62</v>
      </c>
      <c r="L6" s="2952">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3050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1">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3055</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37">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37"/>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37"/>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3036</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44"/>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3033</v>
      </c>
      <c r="B12" s="1467">
        <v>439</v>
      </c>
      <c r="C12" s="1467">
        <v>327</v>
      </c>
      <c r="D12" s="1467">
        <f>C12</f>
        <v>327</v>
      </c>
      <c r="E12" s="1467">
        <v>627</v>
      </c>
      <c r="F12" s="1468">
        <v>283</v>
      </c>
      <c r="G12" s="3340">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3034</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37"/>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37"/>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44"/>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40">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37"/>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37"/>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38"/>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36">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37"/>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37"/>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38"/>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36">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37"/>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37"/>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38"/>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41">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42"/>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42"/>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43"/>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36">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37"/>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37"/>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38"/>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36">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37">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37">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38">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36">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37">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37">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38">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36">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37">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37">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38">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36">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37">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37">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38">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36">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37">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37">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38">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36">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37">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37">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38">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36">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37">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37">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38">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36">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37">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37">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38">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36">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37">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37">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38">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36">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37">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37">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38">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3004</v>
      </c>
      <c r="C1" s="3346" t="s">
        <v>3005</v>
      </c>
      <c r="D1" s="3347"/>
      <c r="E1" s="3347"/>
      <c r="F1" s="3347"/>
      <c r="G1" s="3347"/>
      <c r="H1" s="3347"/>
      <c r="I1" s="3347"/>
      <c r="J1" s="3347"/>
      <c r="K1" s="3347"/>
      <c r="L1" s="3347"/>
      <c r="M1" s="3347"/>
      <c r="N1" s="3347"/>
      <c r="O1" s="3347"/>
      <c r="P1" s="3347"/>
      <c r="Q1" s="3347"/>
      <c r="R1" s="3347"/>
      <c r="S1" s="3348"/>
      <c r="T1" s="1203" t="s">
        <v>3006</v>
      </c>
    </row>
    <row r="2" spans="1:45" s="706" customFormat="1">
      <c r="A2" s="1204"/>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3008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3009</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3010</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3014</v>
      </c>
      <c r="B17" s="2909"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3016</v>
      </c>
      <c r="E19" s="1790"/>
      <c r="F19" s="1790"/>
      <c r="G19" s="1790"/>
      <c r="H19" s="1279"/>
      <c r="I19" s="167"/>
      <c r="J19" s="167"/>
      <c r="K19" s="167"/>
      <c r="L19" s="167"/>
      <c r="M19" s="167"/>
      <c r="N19" s="167"/>
      <c r="O19" s="167"/>
      <c r="P19" s="167"/>
      <c r="Q19" s="167"/>
      <c r="R19" s="787"/>
      <c r="S19" s="137"/>
    </row>
    <row r="20" spans="1:45" ht="16.5" thickBot="1">
      <c r="A20" s="714" t="s">
        <v>3017</v>
      </c>
      <c r="B20" s="337" t="e">
        <f ca="1">IF(D20="——",S22,S22-F20)</f>
        <v>#REF!</v>
      </c>
      <c r="C20" s="167"/>
      <c r="D20" s="2911" t="s">
        <v>3018</v>
      </c>
      <c r="E20" s="1791"/>
      <c r="F20" s="1203" t="e">
        <f ca="1">SUMIF(INDIRECT("'"&amp;H20&amp;"'"&amp;"!A:A"),"承租人权益价值",INDIRECT("'"&amp;H20&amp;"'"&amp;"!c:c"))</f>
        <v>#REF!</v>
      </c>
      <c r="G20" s="1203" t="s">
        <v>3019</v>
      </c>
      <c r="H20" s="2912"/>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4">
        <f>SUM(B24:B10000)</f>
        <v>100</v>
      </c>
      <c r="C22" s="3119" t="s">
        <v>33</v>
      </c>
      <c r="D22" s="3120"/>
      <c r="E22" s="3120"/>
      <c r="F22" s="3120"/>
      <c r="G22" s="3120"/>
      <c r="H22" s="3120"/>
      <c r="I22" s="3120"/>
      <c r="J22" s="3120"/>
      <c r="K22" s="3120"/>
      <c r="L22" s="3120"/>
      <c r="M22" s="3120"/>
      <c r="N22" s="3120"/>
      <c r="O22" s="3120"/>
      <c r="P22" s="3120"/>
      <c r="Q22" s="3345"/>
      <c r="R22" s="715">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37140</v>
      </c>
      <c r="C2" s="2" t="s">
        <v>133</v>
      </c>
      <c r="D2" s="242"/>
      <c r="E2" s="242"/>
      <c r="F2" s="242"/>
      <c r="G2" s="242"/>
    </row>
    <row r="3" spans="1:7" s="243" customFormat="1" ht="18" customHeight="1" thickBot="1">
      <c r="A3" s="246" t="s">
        <v>85</v>
      </c>
      <c r="B3" s="247">
        <f ca="1">ROUND(B2*10000/'数据-汇总表'!E3,0)</f>
        <v>20108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29</v>
      </c>
      <c r="D9" s="1031">
        <f>'数据-汇总表'!E5</f>
        <v>1209.67</v>
      </c>
      <c r="E9" s="268">
        <f>'数据-取费表'!B27</f>
        <v>240</v>
      </c>
      <c r="F9" s="264"/>
      <c r="G9" s="269"/>
    </row>
    <row r="10" spans="1:7" s="257" customFormat="1" ht="13.5" customHeight="1">
      <c r="A10" s="949" t="s">
        <v>801</v>
      </c>
      <c r="B10" s="267" t="s">
        <v>94</v>
      </c>
      <c r="C10" s="268">
        <f>ROUND(D10*E10/10000,0)</f>
        <v>414</v>
      </c>
      <c r="D10" s="1031">
        <f>'数据-汇总表'!E6</f>
        <v>17260.72</v>
      </c>
      <c r="E10" s="268">
        <f>'数据-取费表'!B28</f>
        <v>240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369</v>
      </c>
      <c r="D19" s="1035">
        <f>'数据-汇总表'!E3</f>
        <v>18470.39</v>
      </c>
      <c r="E19" s="254">
        <f>'数据-取费表'!B31</f>
        <v>200</v>
      </c>
      <c r="F19" s="274"/>
      <c r="G19" s="1" t="s">
        <v>1071</v>
      </c>
    </row>
    <row r="20" spans="1:7" s="257" customFormat="1" ht="13.5" customHeight="1">
      <c r="A20" s="947" t="s">
        <v>1054</v>
      </c>
      <c r="B20" s="253" t="s">
        <v>104</v>
      </c>
      <c r="C20" s="275">
        <f>ROUND((C5+C19)*F20,0)</f>
        <v>420</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3505</v>
      </c>
      <c r="D22" s="278">
        <f ca="1">C26</f>
        <v>1.6000000000000001E-3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3411</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61</v>
      </c>
      <c r="D24" s="281"/>
      <c r="E24" s="281"/>
      <c r="F24" s="282"/>
      <c r="G24" s="283" t="s">
        <v>109</v>
      </c>
    </row>
    <row r="25" spans="1:7" s="257" customFormat="1" ht="24">
      <c r="A25" s="950" t="s">
        <v>793</v>
      </c>
      <c r="B25" s="258" t="s">
        <v>1055</v>
      </c>
      <c r="C25" s="1354">
        <f ca="1">ROUND(IF('数据-取费表'!B22&lt;=1,C20*F22*'数据-取费表'!B23/2,C20*(POWER((1+F22),'数据-取费表'!B23/2)-1)),0)</f>
        <v>33</v>
      </c>
      <c r="D25" s="281"/>
      <c r="E25" s="284"/>
      <c r="F25" s="282"/>
      <c r="G25" s="285" t="s">
        <v>110</v>
      </c>
    </row>
    <row r="26" spans="1:7" s="257" customFormat="1">
      <c r="A26" s="950" t="s">
        <v>795</v>
      </c>
      <c r="B26" s="258" t="s">
        <v>1057</v>
      </c>
      <c r="C26" s="281">
        <f ca="1">ROUND(IF('数据-取费表'!B22&lt;=1,F21*F22*'数据-取费表'!B23/2,F21*(POWER((1+F22),'数据-取费表'!B23/2)-1)),4)</f>
        <v>1.6000000000000001E-3</v>
      </c>
      <c r="D26" s="281"/>
      <c r="E26" s="284"/>
      <c r="F26" s="282"/>
      <c r="G26" s="286"/>
    </row>
    <row r="27" spans="1:7" s="257" customFormat="1" ht="24.75">
      <c r="A27" s="947" t="s">
        <v>787</v>
      </c>
      <c r="B27" s="287" t="s">
        <v>112</v>
      </c>
      <c r="C27" s="288">
        <f>C28</f>
        <v>4035</v>
      </c>
      <c r="D27" s="278">
        <f>C29</f>
        <v>3.8E-3</v>
      </c>
      <c r="E27" s="279" t="s">
        <v>126</v>
      </c>
      <c r="F27" s="289">
        <f>'数据-取费表'!Q16</f>
        <v>0.2</v>
      </c>
      <c r="G27" s="290" t="s">
        <v>1066</v>
      </c>
    </row>
    <row r="28" spans="1:7" s="257" customFormat="1" ht="13.5" customHeight="1">
      <c r="A28" s="950" t="s">
        <v>794</v>
      </c>
      <c r="B28" s="291" t="s">
        <v>1059</v>
      </c>
      <c r="C28" s="292">
        <f>ROUND((C5+C19+C20)*F27*'数据-取费表'!B21/'数据-取费表'!B20,0)</f>
        <v>4035</v>
      </c>
      <c r="D28" s="278"/>
      <c r="E28" s="279"/>
      <c r="F28" s="289"/>
      <c r="G28" s="290"/>
    </row>
    <row r="29" spans="1:7" s="257" customFormat="1" ht="13.5" customHeight="1">
      <c r="A29" s="950" t="s">
        <v>792</v>
      </c>
      <c r="B29" s="291" t="s">
        <v>1060</v>
      </c>
      <c r="C29" s="281">
        <f>ROUND(C21*F27*'数据-取费表'!B21/'数据-取费表'!B20,4)</f>
        <v>3.8E-3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31412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4042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3520</v>
      </c>
      <c r="D34" s="260"/>
      <c r="E34" s="263"/>
      <c r="F34" s="300">
        <f>IF('数据-取费表'!B24=0,1,'数据-取费表'!N16)</f>
        <v>0.95</v>
      </c>
      <c r="G34" s="262" t="s">
        <v>116</v>
      </c>
    </row>
    <row r="35" spans="1:7" ht="13.5" customHeight="1">
      <c r="A35" s="950" t="s">
        <v>796</v>
      </c>
      <c r="B35" s="258" t="s">
        <v>60</v>
      </c>
      <c r="C35" s="263">
        <f>ROUND(C34*F35,0)</f>
        <v>106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12</v>
      </c>
      <c r="D36" s="263"/>
      <c r="E36" s="263"/>
      <c r="F36" s="302">
        <f>'数据-取费表'!B34</f>
        <v>0.05</v>
      </c>
      <c r="G36" s="303" t="s">
        <v>62</v>
      </c>
    </row>
    <row r="37" spans="1:7" s="301" customFormat="1" ht="13.5" customHeight="1">
      <c r="A37" s="950" t="s">
        <v>798</v>
      </c>
      <c r="B37" s="258" t="s">
        <v>118</v>
      </c>
      <c r="C37" s="292">
        <f>ROUND(E37*D37*F34/10000,0)</f>
        <v>351</v>
      </c>
      <c r="D37" s="260">
        <f>'数据-汇总表'!E3</f>
        <v>18470.39</v>
      </c>
      <c r="E37" s="292">
        <f>'数据-取费表'!B35</f>
        <v>200</v>
      </c>
      <c r="F37" s="302"/>
      <c r="G37" s="304" t="s">
        <v>119</v>
      </c>
    </row>
    <row r="38" spans="1:7" ht="13.5" customHeight="1">
      <c r="A38" s="950" t="s">
        <v>799</v>
      </c>
      <c r="B38" s="258" t="s">
        <v>63</v>
      </c>
      <c r="C38" s="263">
        <f>ROUND(C34*F38,0)</f>
        <v>53</v>
      </c>
      <c r="D38" s="263"/>
      <c r="E38" s="263"/>
      <c r="F38" s="302">
        <f>'数据-取费表'!B36</f>
        <v>1.4999999999999999E-2</v>
      </c>
      <c r="G38" s="262" t="s">
        <v>117</v>
      </c>
    </row>
    <row r="39" spans="1:7" s="257" customFormat="1" ht="13.5" customHeight="1">
      <c r="A39" s="947" t="s">
        <v>783</v>
      </c>
      <c r="B39" s="253" t="s">
        <v>104</v>
      </c>
      <c r="C39" s="275">
        <f>ROUND(C33*F20,0)</f>
        <v>81</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328</v>
      </c>
      <c r="D41" s="278">
        <f ca="1">C44</f>
        <v>1.6000000000000001E-3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322</v>
      </c>
      <c r="D42" s="281"/>
      <c r="E42" s="281"/>
      <c r="F42" s="282"/>
      <c r="G42" s="3208" t="s">
        <v>121</v>
      </c>
    </row>
    <row r="43" spans="1:7" ht="13.5" customHeight="1">
      <c r="A43" s="950" t="s">
        <v>792</v>
      </c>
      <c r="B43" s="258" t="s">
        <v>1061</v>
      </c>
      <c r="C43" s="281">
        <f ca="1">ROUND(IF('数据-取费表'!B22&lt;=1,C39*F22*'数据-取费表'!B21/2,C39*(POWER((1+F22),'数据-取费表'!B21/2)-1)),0)</f>
        <v>6</v>
      </c>
      <c r="D43" s="281"/>
      <c r="E43" s="281"/>
      <c r="F43" s="282"/>
      <c r="G43" s="3209"/>
    </row>
    <row r="44" spans="1:7" ht="13.5" customHeight="1">
      <c r="A44" s="950" t="s">
        <v>793</v>
      </c>
      <c r="B44" s="258" t="s">
        <v>1063</v>
      </c>
      <c r="C44" s="281">
        <f ca="1">ROUND(IF('数据-取费表'!B22&lt;=1,C40*F22*'数据-取费表'!B21/2,C40*(POWER((1+F22),'数据-取费表'!B21/2)-1)),4)</f>
        <v>1.6000000000000001E-3</v>
      </c>
      <c r="D44" s="281"/>
      <c r="E44" s="281"/>
      <c r="F44" s="282"/>
      <c r="G44" s="3210"/>
    </row>
    <row r="45" spans="1:7" s="257" customFormat="1" ht="13.5" customHeight="1">
      <c r="A45" s="947" t="s">
        <v>786</v>
      </c>
      <c r="B45" s="287" t="s">
        <v>112</v>
      </c>
      <c r="C45" s="288">
        <f>C46</f>
        <v>825</v>
      </c>
      <c r="D45" s="278">
        <f>C47</f>
        <v>4.0000000000000001E-3</v>
      </c>
      <c r="E45" s="279" t="s">
        <v>129</v>
      </c>
      <c r="F45" s="289"/>
      <c r="G45" s="290" t="s">
        <v>1069</v>
      </c>
    </row>
    <row r="46" spans="1:7" s="257" customFormat="1" ht="13.5" customHeight="1">
      <c r="A46" s="950" t="s">
        <v>794</v>
      </c>
      <c r="B46" s="291" t="s">
        <v>1062</v>
      </c>
      <c r="C46" s="292">
        <f>ROUND((C33+C39)*F27,0)</f>
        <v>825</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5728</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5728</v>
      </c>
      <c r="D51" s="275"/>
      <c r="E51" s="275"/>
      <c r="F51" s="307"/>
      <c r="G51" s="277" t="s">
        <v>64</v>
      </c>
    </row>
    <row r="52" spans="1:7" s="251" customFormat="1" ht="16.5" thickBot="1">
      <c r="A52" s="308" t="s">
        <v>65</v>
      </c>
      <c r="B52" s="309"/>
      <c r="C52" s="310">
        <f ca="1">C31+C51</f>
        <v>37140</v>
      </c>
      <c r="D52" s="309"/>
      <c r="E52" s="309"/>
      <c r="F52" s="309"/>
      <c r="G52" s="311"/>
    </row>
    <row r="55" spans="1:7" ht="15">
      <c r="B55" s="313" t="s">
        <v>66</v>
      </c>
      <c r="C55" s="314"/>
    </row>
    <row r="56" spans="1:7">
      <c r="B56" s="316" t="s">
        <v>67</v>
      </c>
      <c r="C56" s="317">
        <f ca="1">ROUND(C51/C52,3)</f>
        <v>0.154</v>
      </c>
    </row>
    <row r="57" spans="1:7">
      <c r="B57" s="316" t="s">
        <v>68</v>
      </c>
      <c r="C57" s="318">
        <f ca="1">1-C56</f>
        <v>0.84599999999999997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9" t="s">
        <v>156</v>
      </c>
      <c r="B1" s="3349"/>
      <c r="C1" s="3349"/>
      <c r="D1" s="3349"/>
      <c r="E1" s="3349"/>
      <c r="F1" s="334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0" t="s">
        <v>169</v>
      </c>
      <c r="B2" s="3350"/>
      <c r="C2" s="3350"/>
      <c r="D2" s="3350"/>
      <c r="E2" s="3350"/>
      <c r="F2" s="335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9" t="s">
        <v>868</v>
      </c>
      <c r="B1" s="334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1636</v>
      </c>
      <c r="B2" s="3025" t="s">
        <v>1637</v>
      </c>
      <c r="C2" s="3025" t="s">
        <v>1638</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
      <c r="A3" s="3026"/>
      <c r="B3" s="3026"/>
      <c r="C3" s="3026"/>
      <c r="D3" s="1043" t="s">
        <v>1633</v>
      </c>
      <c r="E3" s="1043" t="s">
        <v>1639</v>
      </c>
      <c r="F3" s="1043" t="s">
        <v>1633</v>
      </c>
      <c r="G3" s="1043" t="s">
        <v>1634</v>
      </c>
      <c r="H3" s="1043" t="s">
        <v>1633</v>
      </c>
      <c r="I3" s="1043" t="s">
        <v>1634</v>
      </c>
    </row>
    <row r="4" spans="1:9" ht="30">
      <c r="A4" s="1970" t="str">
        <f>项目基本情况!S2</f>
        <v>出让国有建设用地使用权及在建建筑物房地产</v>
      </c>
      <c r="B4" s="1043">
        <f>项目基本情况!C17</f>
        <v>18470.39</v>
      </c>
      <c r="C4" s="1043">
        <f>项目基本情况!C18</f>
        <v>3519.75</v>
      </c>
      <c r="D4" s="1043" t="e">
        <f ca="1">结果表!D118</f>
        <v>#REF!</v>
      </c>
      <c r="E4" s="1043" t="e">
        <f ca="1">结果表!E118</f>
        <v>#REF!</v>
      </c>
      <c r="F4" s="1043" t="e">
        <f ca="1">结果表!F118</f>
        <v>#REF!</v>
      </c>
      <c r="G4" s="1043" t="e">
        <f ca="1">结果表!G118</f>
        <v>#REF!</v>
      </c>
      <c r="H4" s="1043">
        <f ca="1">结果表!H118</f>
        <v>23793</v>
      </c>
      <c r="I4" s="1043">
        <f ca="1">结果表!I118</f>
        <v>12882</v>
      </c>
    </row>
    <row r="5" spans="1:9" ht="30" customHeight="1">
      <c r="A5" s="3026" t="s">
        <v>1635</v>
      </c>
      <c r="B5" s="3026"/>
      <c r="C5" s="3026"/>
      <c r="D5" s="3027" t="e">
        <f ca="1">结果表!D119</f>
        <v>#REF!</v>
      </c>
      <c r="E5" s="3027"/>
      <c r="F5" s="3027" t="e">
        <f ca="1">结果表!F119</f>
        <v>#REF!</v>
      </c>
      <c r="G5" s="3027"/>
      <c r="H5" s="3027" t="str">
        <f ca="1">结果表!H119</f>
        <v>贰亿叁仟柒佰玖拾叁万元整</v>
      </c>
      <c r="I5" s="3027"/>
    </row>
    <row r="6" spans="1:9" ht="15.75">
      <c r="A6" s="3028" t="str">
        <f>结果表!A120</f>
        <v>估价师知悉的法定优先受偿款</v>
      </c>
      <c r="B6" s="3028"/>
      <c r="C6" s="3028"/>
      <c r="D6" s="3028">
        <f>结果表!D120</f>
        <v>0</v>
      </c>
      <c r="E6" s="3028"/>
      <c r="F6" s="3028"/>
      <c r="G6" s="3028"/>
      <c r="H6" s="3028"/>
      <c r="I6" s="3028"/>
    </row>
    <row r="7" spans="1:9" ht="15">
      <c r="A7" s="3026" t="s">
        <v>1635</v>
      </c>
      <c r="B7" s="3026"/>
      <c r="C7" s="3026"/>
      <c r="D7" s="3029" t="str">
        <f>结果表!D121</f>
        <v>零元整</v>
      </c>
      <c r="E7" s="3030"/>
      <c r="F7" s="3030"/>
      <c r="G7" s="3030"/>
      <c r="H7" s="3030"/>
      <c r="I7" s="3031"/>
    </row>
    <row r="8" spans="1:9" ht="15.75">
      <c r="A8" s="3028" t="str">
        <f>结果表!A122</f>
        <v>房地产抵押价值</v>
      </c>
      <c r="B8" s="3028"/>
      <c r="C8" s="3028"/>
      <c r="D8" s="3028">
        <f ca="1">结果表!D122</f>
        <v>23793</v>
      </c>
      <c r="E8" s="3028"/>
      <c r="F8" s="3028"/>
      <c r="G8" s="3028"/>
      <c r="H8" s="3028"/>
      <c r="I8" s="3028"/>
    </row>
    <row r="9" spans="1:9" ht="15">
      <c r="A9" s="3026" t="s">
        <v>1635</v>
      </c>
      <c r="B9" s="3026"/>
      <c r="C9" s="3026"/>
      <c r="D9" s="3027" t="str">
        <f ca="1">结果表!D123</f>
        <v>贰亿叁仟柒佰玖拾叁万元整</v>
      </c>
      <c r="E9" s="3027"/>
      <c r="F9" s="3027"/>
      <c r="G9" s="3027"/>
      <c r="H9" s="3027"/>
      <c r="I9" s="3027"/>
    </row>
    <row r="10" spans="1:9" ht="15.75">
      <c r="A10" s="3028" t="str">
        <f>结果表!A124</f>
        <v/>
      </c>
      <c r="B10" s="3028"/>
      <c r="C10" s="3028"/>
      <c r="D10" s="3028" t="str">
        <f>结果表!D124</f>
        <v>——</v>
      </c>
      <c r="E10" s="3028"/>
      <c r="F10" s="3028"/>
      <c r="G10" s="3028"/>
      <c r="H10" s="3028"/>
      <c r="I10" s="3028"/>
    </row>
    <row r="11" spans="1:9" ht="15">
      <c r="A11" s="3026" t="s">
        <v>1635</v>
      </c>
      <c r="B11" s="3026"/>
      <c r="C11" s="3026"/>
      <c r="D11" s="3027" t="e">
        <f>结果表!D125</f>
        <v>#VALUE!</v>
      </c>
      <c r="E11" s="3027"/>
      <c r="F11" s="3027"/>
      <c r="G11" s="3027"/>
      <c r="H11" s="3027"/>
      <c r="I11" s="3027"/>
    </row>
    <row r="12" spans="1:9" ht="15.75">
      <c r="A12" s="3028" t="str">
        <f>结果表!A126</f>
        <v/>
      </c>
      <c r="B12" s="3028"/>
      <c r="C12" s="3028"/>
      <c r="D12" s="3028" t="str">
        <f>结果表!D126</f>
        <v>——</v>
      </c>
      <c r="E12" s="3028"/>
      <c r="F12" s="3028"/>
      <c r="G12" s="3028"/>
      <c r="H12" s="3028"/>
      <c r="I12" s="3028"/>
    </row>
    <row r="13" spans="1:9" ht="15.75" thickBot="1">
      <c r="A13" s="3032" t="s">
        <v>1635</v>
      </c>
      <c r="B13" s="3032"/>
      <c r="C13" s="3032"/>
      <c r="D13" s="3033" t="e">
        <f>结果表!D127</f>
        <v>#VALUE!</v>
      </c>
      <c r="E13" s="3033"/>
      <c r="F13" s="3033"/>
      <c r="G13" s="3033"/>
      <c r="H13" s="3033"/>
      <c r="I13" s="3033"/>
    </row>
    <row r="14" spans="1:9" ht="15" thickTop="1">
      <c r="A14" s="3034" t="s">
        <v>1640</v>
      </c>
      <c r="B14" s="3034"/>
      <c r="C14" s="3034"/>
      <c r="D14" s="3034"/>
      <c r="E14" s="3034"/>
      <c r="F14" s="3034"/>
      <c r="G14" s="3034"/>
      <c r="H14" s="3034"/>
      <c r="I14" s="3034"/>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43714</v>
      </c>
      <c r="D1" s="1698" t="s">
        <v>1297</v>
      </c>
      <c r="E1" s="1693">
        <f>'数据-取费表'!B22</f>
        <v>3.5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6</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
  <sheetViews>
    <sheetView workbookViewId="0">
      <selection sqref="A1:A8"/>
    </sheetView>
  </sheetViews>
  <sheetFormatPr defaultRowHeight="13.5"/>
  <sheetData>
    <row r="9" spans="1:1">
      <c r="A9">
        <f>SUM(面积表!I14:I21)</f>
        <v>47369.18</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5" t="s">
        <v>1657</v>
      </c>
      <c r="B1" s="3035"/>
      <c r="C1" s="3035"/>
      <c r="D1" s="3035"/>
    </row>
    <row r="2" spans="1:4" ht="18">
      <c r="A2" s="3036" t="s">
        <v>1641</v>
      </c>
      <c r="B2" s="3036"/>
      <c r="C2" s="3036"/>
      <c r="D2" s="3036"/>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36" t="s">
        <v>1647</v>
      </c>
      <c r="B6" s="3036"/>
      <c r="C6" s="3036"/>
      <c r="D6" s="3036"/>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7" t="s">
        <v>1650</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8" t="str">
        <f>IF(项目基本情况!B8="抵押","4.本次评估估价师所知悉的法定优先受偿款情况说明如下：","——")</f>
        <v>4.本次评估估价师所知悉的法定优先受偿款情况说明如下：</v>
      </c>
      <c r="B14" s="3039"/>
      <c r="C14" s="3039"/>
      <c r="D14" s="3039"/>
    </row>
    <row r="15" spans="1:4" ht="42" customHeight="1">
      <c r="A15" s="30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8"/>
      <c r="C15" s="3038"/>
      <c r="D15" s="3038"/>
    </row>
    <row r="16" spans="1:4" ht="30" customHeight="1">
      <c r="A16" s="3041" t="s">
        <v>1651</v>
      </c>
      <c r="B16" s="3041"/>
      <c r="C16" s="3041"/>
      <c r="D16" s="3041"/>
    </row>
    <row r="17" spans="1:4" ht="144" customHeight="1">
      <c r="A17" s="3041" t="s">
        <v>1652</v>
      </c>
      <c r="B17" s="3041"/>
      <c r="C17" s="3041"/>
      <c r="D17" s="3041"/>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8"/>
      <c r="C20" s="3038"/>
      <c r="D20" s="3038"/>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2"/>
      <c r="C21" s="3042"/>
      <c r="D21" s="3042"/>
    </row>
    <row r="22" spans="1:4" ht="18.75" customHeight="1">
      <c r="A22" s="3043" t="s">
        <v>1653</v>
      </c>
      <c r="B22" s="3043"/>
      <c r="C22" s="3043"/>
      <c r="D22" s="3043"/>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40">
        <v>42551</v>
      </c>
      <c r="D31" s="30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9" t="s">
        <v>1664</v>
      </c>
      <c r="B15" s="3044" t="s">
        <v>136</v>
      </c>
      <c r="C15" s="3045"/>
    </row>
    <row r="16" spans="1:7" ht="13.5">
      <c r="A16" s="3050"/>
      <c r="B16" s="3044" t="s">
        <v>69</v>
      </c>
      <c r="C16" s="3045"/>
    </row>
    <row r="17" spans="1:3" ht="13.5">
      <c r="A17" s="3050"/>
      <c r="B17" s="3047" t="s">
        <v>1665</v>
      </c>
      <c r="C17" s="1997" t="s">
        <v>1664</v>
      </c>
    </row>
    <row r="18" spans="1:3" ht="13.5">
      <c r="A18" s="3050"/>
      <c r="B18" s="3047"/>
      <c r="C18" s="1997" t="s">
        <v>1666</v>
      </c>
    </row>
    <row r="19" spans="1:3" ht="13.5">
      <c r="A19" s="3050"/>
      <c r="B19" s="3047"/>
      <c r="C19" s="1997" t="s">
        <v>1667</v>
      </c>
    </row>
    <row r="20" spans="1:3" ht="13.5">
      <c r="A20" s="3051"/>
      <c r="B20" s="3046" t="s">
        <v>1668</v>
      </c>
      <c r="C20" s="3045"/>
    </row>
    <row r="21" spans="1:3" ht="13.5">
      <c r="A21" s="1998" t="s">
        <v>1669</v>
      </c>
      <c r="B21" s="1999"/>
      <c r="C21" s="2000"/>
    </row>
    <row r="22" spans="1:3" ht="13.5">
      <c r="A22" s="3048" t="s">
        <v>1670</v>
      </c>
      <c r="B22" s="3046" t="s">
        <v>1671</v>
      </c>
      <c r="C22" s="3045"/>
    </row>
    <row r="23" spans="1:3" ht="13.5">
      <c r="A23" s="3048"/>
      <c r="B23" s="3046" t="s">
        <v>1672</v>
      </c>
      <c r="C23" s="3045"/>
    </row>
    <row r="24" spans="1:3" ht="13.5">
      <c r="A24" s="3048"/>
      <c r="B24" s="3046" t="s">
        <v>1673</v>
      </c>
      <c r="C24" s="3045"/>
    </row>
    <row r="25" spans="1:3" ht="13.5">
      <c r="A25" s="3048"/>
      <c r="B25" s="3047" t="s">
        <v>1674</v>
      </c>
      <c r="C25" s="1997" t="s">
        <v>1675</v>
      </c>
    </row>
    <row r="26" spans="1:3" ht="13.5">
      <c r="A26" s="3048"/>
      <c r="B26" s="3047"/>
      <c r="C26" s="1997" t="s">
        <v>1676</v>
      </c>
    </row>
    <row r="27" spans="1:3" ht="13.5">
      <c r="A27" s="3048"/>
      <c r="B27" s="3047"/>
      <c r="C27" s="1997" t="s">
        <v>1677</v>
      </c>
    </row>
    <row r="28" spans="1:3" ht="13.5">
      <c r="A28" s="3048"/>
      <c r="B28" s="3047"/>
      <c r="C28" s="1997" t="s">
        <v>1678</v>
      </c>
    </row>
    <row r="29" spans="1:3" ht="13.5">
      <c r="A29" s="3048"/>
      <c r="B29" s="3047"/>
      <c r="C29" s="1997" t="s">
        <v>1679</v>
      </c>
    </row>
    <row r="30" spans="1:3" ht="13.5">
      <c r="A30" s="3048"/>
      <c r="B30" s="3047"/>
      <c r="C30" s="1997" t="s">
        <v>1680</v>
      </c>
    </row>
    <row r="31" spans="1:3" ht="13.5">
      <c r="A31" s="3048"/>
      <c r="B31" s="3047"/>
      <c r="C31" s="1997" t="s">
        <v>1681</v>
      </c>
    </row>
    <row r="32" spans="1:3" ht="13.5">
      <c r="A32" s="3048"/>
      <c r="B32" s="3047"/>
      <c r="C32" s="1997" t="s">
        <v>1682</v>
      </c>
    </row>
    <row r="33" spans="1:3" ht="13.5">
      <c r="A33" s="3048"/>
      <c r="B33" s="3047"/>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43724</v>
      </c>
      <c r="C2" s="1018" t="s">
        <v>826</v>
      </c>
      <c r="D2" s="1018"/>
    </row>
    <row r="3" spans="1:6" ht="24" customHeight="1">
      <c r="A3" s="1019" t="s">
        <v>827</v>
      </c>
      <c r="B3" s="1020" t="s">
        <v>828</v>
      </c>
      <c r="C3" s="2344" t="s">
        <v>829</v>
      </c>
      <c r="D3" s="2347" t="s">
        <v>830</v>
      </c>
      <c r="E3" s="1021" t="s">
        <v>831</v>
      </c>
      <c r="F3" s="1020" t="s">
        <v>829</v>
      </c>
    </row>
    <row r="4" spans="1:6" ht="24" customHeight="1">
      <c r="A4" s="1700" t="s">
        <v>832</v>
      </c>
      <c r="B4" s="1021">
        <f ca="1">IF(C4&lt;B2,"已过期",1119970066)</f>
        <v>1119970066</v>
      </c>
      <c r="C4" s="2345">
        <v>43849</v>
      </c>
      <c r="D4" s="2348" t="s">
        <v>832</v>
      </c>
      <c r="E4" s="1021">
        <f ca="1">IF(F4&lt;B2,"已过期",96010014)</f>
        <v>96010014</v>
      </c>
      <c r="F4" s="1029">
        <v>47118</v>
      </c>
    </row>
    <row r="5" spans="1:6" ht="24" customHeight="1">
      <c r="A5" s="1700" t="s">
        <v>833</v>
      </c>
      <c r="B5" s="1021">
        <f ca="1">IF(C5&lt;B2,"已过期",1119970074)</f>
        <v>1119970074</v>
      </c>
      <c r="C5" s="2345">
        <v>43849</v>
      </c>
      <c r="D5" s="2348" t="s">
        <v>833</v>
      </c>
      <c r="E5" s="1021">
        <f ca="1">IF(F5&lt;B2,"已过期",2002110027)</f>
        <v>2002110027</v>
      </c>
      <c r="F5" s="1029">
        <v>46752</v>
      </c>
    </row>
    <row r="6" spans="1:6" ht="24" customHeight="1">
      <c r="A6" s="1700" t="s">
        <v>834</v>
      </c>
      <c r="B6" s="1021">
        <f ca="1">IF(C6&lt;B2,"已过期",1119970111)</f>
        <v>1119970111</v>
      </c>
      <c r="C6" s="2345">
        <v>43849</v>
      </c>
      <c r="D6" s="2348" t="s">
        <v>834</v>
      </c>
      <c r="E6" s="1021">
        <f ca="1">IF(F6&lt;B2,"已过期",94010078)</f>
        <v>94010078</v>
      </c>
      <c r="F6" s="1029">
        <v>46387</v>
      </c>
    </row>
    <row r="7" spans="1:6" ht="24" customHeight="1">
      <c r="A7" s="1700" t="s">
        <v>835</v>
      </c>
      <c r="B7" s="1021">
        <f ca="1">IF(C7&lt;B2,"已过期",1120050019)</f>
        <v>1120050019</v>
      </c>
      <c r="C7" s="2345">
        <v>44395</v>
      </c>
      <c r="D7" s="2348" t="s">
        <v>835</v>
      </c>
      <c r="E7" s="1021">
        <f ca="1">IF(F7&lt;B2,"已过期",2002110030)</f>
        <v>2002110030</v>
      </c>
      <c r="F7" s="1029">
        <v>46387</v>
      </c>
    </row>
    <row r="8" spans="1:6" ht="24" customHeight="1">
      <c r="A8" s="1700" t="s">
        <v>836</v>
      </c>
      <c r="B8" s="1021">
        <f ca="1">IF(C8&lt;B2,"已过期",1120000080)</f>
        <v>1120000080</v>
      </c>
      <c r="C8" s="2345">
        <v>43849</v>
      </c>
      <c r="D8" s="2348" t="s">
        <v>836</v>
      </c>
      <c r="E8" s="1021">
        <f ca="1">IF(F8&lt;B2,"已过期",2000110082)</f>
        <v>2000110082</v>
      </c>
      <c r="F8" s="1029">
        <v>46387</v>
      </c>
    </row>
    <row r="9" spans="1:6" ht="24" customHeight="1">
      <c r="A9" s="1700" t="s">
        <v>837</v>
      </c>
      <c r="B9" s="1021">
        <f ca="1">IF(C9&lt;B2,"已过期",1419970001)</f>
        <v>1419970001</v>
      </c>
      <c r="C9" s="2345">
        <v>43867</v>
      </c>
      <c r="D9" s="2348" t="s">
        <v>837</v>
      </c>
      <c r="E9" s="1021">
        <f ca="1">IF(F9&lt;B2,"已过期",2002110125)</f>
        <v>2002110125</v>
      </c>
      <c r="F9" s="1029">
        <v>47118</v>
      </c>
    </row>
    <row r="10" spans="1:6" ht="24" customHeight="1">
      <c r="A10" s="1700" t="s">
        <v>838</v>
      </c>
      <c r="B10" s="1021">
        <f ca="1">IF(C10&lt;B2,"已过期",1120060040)</f>
        <v>1120060040</v>
      </c>
      <c r="C10" s="2345">
        <v>44554</v>
      </c>
      <c r="D10" s="2348" t="s">
        <v>838</v>
      </c>
      <c r="E10" s="1021">
        <f ca="1">IF(F10&lt;B2,"已过期",2004110096)</f>
        <v>2004110096</v>
      </c>
      <c r="F10" s="1029">
        <v>47118</v>
      </c>
    </row>
    <row r="11" spans="1:6" ht="24" customHeight="1">
      <c r="A11" s="1700" t="s">
        <v>839</v>
      </c>
      <c r="B11" s="1021">
        <f ca="1">IF(C11&lt;B2,"已过期",1120100036)</f>
        <v>1120100036</v>
      </c>
      <c r="C11" s="2345">
        <v>44675</v>
      </c>
      <c r="D11" s="2348" t="s">
        <v>839</v>
      </c>
      <c r="E11" s="1021">
        <f ca="1">IF(F11&lt;B2,"已过期",2010110070)</f>
        <v>2010110070</v>
      </c>
      <c r="F11" s="1029">
        <v>47907</v>
      </c>
    </row>
    <row r="12" spans="1:6" ht="24" customHeight="1">
      <c r="A12" s="1700"/>
      <c r="B12" s="1021"/>
      <c r="C12" s="2928"/>
      <c r="D12" s="1700"/>
      <c r="E12" s="1021"/>
      <c r="F12" s="1029"/>
    </row>
    <row r="13" spans="1:6" ht="24" customHeight="1">
      <c r="A13" s="1700" t="s">
        <v>840</v>
      </c>
      <c r="B13" s="1021">
        <f ca="1">IF(C13&lt;B2,"已过期",1120070131)</f>
        <v>1120070131</v>
      </c>
      <c r="C13" s="2345">
        <v>43814</v>
      </c>
      <c r="D13" s="2348" t="s">
        <v>840</v>
      </c>
      <c r="E13" s="1021">
        <f ca="1">IF(F13&lt;B2,"已过期",2014110011)</f>
        <v>2014110011</v>
      </c>
      <c r="F13" s="1029">
        <v>49302</v>
      </c>
    </row>
    <row r="14" spans="1:6" ht="24" customHeight="1">
      <c r="A14" s="1700" t="s">
        <v>3045</v>
      </c>
      <c r="B14" s="1021">
        <f ca="1">IF(C14&lt;B2,"已过期",1120040230)</f>
        <v>1120040230</v>
      </c>
      <c r="C14" s="2345">
        <v>43835</v>
      </c>
      <c r="D14" s="2348" t="s">
        <v>3045</v>
      </c>
      <c r="E14" s="1021">
        <f ca="1">IF(F14&lt;B2,"已过期",98030020)</f>
        <v>98030020</v>
      </c>
      <c r="F14" s="1029">
        <v>47118</v>
      </c>
    </row>
    <row r="15" spans="1:6" ht="24" customHeight="1">
      <c r="A15" s="1701" t="s">
        <v>3046</v>
      </c>
      <c r="B15" s="1021">
        <f ca="1">IF(C15&lt;B2,"已过期",1120070085)</f>
        <v>1120070085</v>
      </c>
      <c r="C15" s="2345">
        <v>43814</v>
      </c>
      <c r="D15" s="2349" t="s">
        <v>3046</v>
      </c>
      <c r="E15" s="1021">
        <f ca="1">IF(F15&lt;B2,"已过期",2004110128)</f>
        <v>2004110128</v>
      </c>
      <c r="F15" s="1022">
        <v>47118</v>
      </c>
    </row>
    <row r="16" spans="1:6" ht="24" customHeight="1">
      <c r="A16" s="1700" t="s">
        <v>3047</v>
      </c>
      <c r="B16" s="1021">
        <f ca="1">IF(C16&lt;B2,"已过期",1120140022)</f>
        <v>1120140022</v>
      </c>
      <c r="C16" s="2928">
        <v>44029</v>
      </c>
      <c r="D16" s="2348" t="s">
        <v>3047</v>
      </c>
      <c r="E16" s="1021">
        <f ca="1">IF(F16&lt;B2,"已过期",2008110059)</f>
        <v>2008110059</v>
      </c>
      <c r="F16" s="1029">
        <v>47177</v>
      </c>
    </row>
    <row r="17" spans="1:7" ht="24" customHeight="1">
      <c r="A17" s="1700"/>
      <c r="B17" s="1021"/>
      <c r="C17" s="2345"/>
      <c r="D17" s="2348" t="s">
        <v>3048</v>
      </c>
      <c r="E17" s="1021">
        <f ca="1">IF(F17&lt;B2,"已过期",2014110076)</f>
        <v>2014110076</v>
      </c>
      <c r="F17" s="1029">
        <v>49302</v>
      </c>
    </row>
    <row r="18" spans="1:7" ht="24" customHeight="1">
      <c r="A18" s="1700"/>
      <c r="B18" s="1021"/>
      <c r="C18" s="2345"/>
      <c r="D18" s="2348"/>
      <c r="E18" s="1021"/>
      <c r="F18" s="1029"/>
    </row>
    <row r="19" spans="1:7" ht="24" customHeight="1">
      <c r="A19" s="1700"/>
      <c r="B19" s="1021"/>
      <c r="C19" s="2345"/>
      <c r="D19" s="2348"/>
      <c r="E19" s="1021"/>
      <c r="F19" s="1021"/>
    </row>
    <row r="20" spans="1:7" ht="24" customHeight="1">
      <c r="A20" s="1700"/>
      <c r="B20" s="1021"/>
      <c r="C20" s="2345"/>
      <c r="D20" s="2348"/>
      <c r="E20" s="1021"/>
      <c r="F20" s="1021"/>
    </row>
    <row r="21" spans="1:7" ht="24" customHeight="1">
      <c r="A21" s="1700"/>
      <c r="B21" s="1021"/>
      <c r="C21" s="2345"/>
      <c r="D21" s="2348" t="s">
        <v>841</v>
      </c>
      <c r="E21" s="1021">
        <f ca="1">IF(F21&lt;B2,"已过期",2011110090)</f>
        <v>2011110090</v>
      </c>
      <c r="F21" s="1029">
        <v>48302</v>
      </c>
    </row>
    <row r="22" spans="1:7" ht="24" customHeight="1">
      <c r="A22" s="1700" t="s">
        <v>842</v>
      </c>
      <c r="B22" s="1021">
        <f ca="1">IF(C22&lt;B2,"已过期",1120020033)</f>
        <v>1120020033</v>
      </c>
      <c r="C22" s="2928">
        <v>44339</v>
      </c>
      <c r="D22" s="2348" t="s">
        <v>842</v>
      </c>
      <c r="E22" s="1021">
        <f ca="1">IF(F22&lt;B2,"已过期",2000110137)</f>
        <v>2000110137</v>
      </c>
      <c r="F22" s="1029">
        <v>46387</v>
      </c>
    </row>
    <row r="23" spans="1:7" ht="24" customHeight="1">
      <c r="A23" s="1700"/>
      <c r="B23" s="1021"/>
      <c r="C23" s="2345"/>
      <c r="D23" s="2348"/>
      <c r="E23" s="1021"/>
      <c r="F23" s="1021"/>
    </row>
    <row r="24" spans="1:7" s="1023" customFormat="1" ht="24" customHeight="1">
      <c r="A24" s="1701" t="s">
        <v>1329</v>
      </c>
      <c r="B24" s="1701" t="s">
        <v>1329</v>
      </c>
      <c r="C24" s="2346" t="s">
        <v>1329</v>
      </c>
      <c r="D24" s="2349" t="s">
        <v>1329</v>
      </c>
      <c r="E24" s="1701" t="s">
        <v>1329</v>
      </c>
      <c r="F24" s="1701" t="s">
        <v>1329</v>
      </c>
    </row>
    <row r="25" spans="1:7" ht="24" customHeight="1">
      <c r="A25" s="3052" t="s">
        <v>843</v>
      </c>
      <c r="B25" s="3052"/>
      <c r="C25" s="3052"/>
      <c r="D25" s="3052"/>
      <c r="E25" s="3052"/>
      <c r="F25" s="3052"/>
      <c r="G25" s="3052"/>
    </row>
    <row r="26" spans="1:7" s="1024" customFormat="1" ht="24" customHeight="1">
      <c r="A26" s="3053" t="s">
        <v>844</v>
      </c>
      <c r="B26" s="3053"/>
      <c r="C26" s="3054"/>
      <c r="D26" s="3055" t="s">
        <v>845</v>
      </c>
      <c r="E26" s="3053"/>
      <c r="F26" s="3053"/>
    </row>
    <row r="27" spans="1:7" s="1026" customFormat="1" ht="24" customHeight="1">
      <c r="A27" s="1025" t="s">
        <v>846</v>
      </c>
      <c r="B27" s="1020" t="s">
        <v>847</v>
      </c>
      <c r="C27" s="2344" t="s">
        <v>848</v>
      </c>
      <c r="D27" s="2352" t="s">
        <v>846</v>
      </c>
      <c r="E27" s="1020" t="s">
        <v>847</v>
      </c>
      <c r="F27" s="1020" t="s">
        <v>848</v>
      </c>
    </row>
    <row r="28" spans="1:7" s="1026" customFormat="1" ht="24" customHeight="1">
      <c r="A28" s="1027" t="s">
        <v>849</v>
      </c>
      <c r="B28" s="1028" t="s">
        <v>850</v>
      </c>
      <c r="C28" s="2350">
        <v>43725</v>
      </c>
      <c r="D28" s="2353" t="s">
        <v>851</v>
      </c>
      <c r="E28" s="1027" t="s">
        <v>852</v>
      </c>
      <c r="F28" s="1057">
        <v>44377</v>
      </c>
    </row>
    <row r="29" spans="1:7" s="1026" customFormat="1" ht="24" customHeight="1">
      <c r="A29" s="1027"/>
      <c r="B29" s="1027"/>
      <c r="C29" s="2351"/>
      <c r="D29" s="2353" t="s">
        <v>853</v>
      </c>
      <c r="E29" s="1201" t="s">
        <v>3052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8" priority="88">
      <formula>AND($C28-TODAY()&lt;30,TODAY()&lt;$C28)</formula>
    </cfRule>
  </conditionalFormatting>
  <conditionalFormatting sqref="C28 F4">
    <cfRule type="cellIs" dxfId="227" priority="90" stopIfTrue="1" operator="lessThan">
      <formula>$B$2</formula>
    </cfRule>
  </conditionalFormatting>
  <conditionalFormatting sqref="C5">
    <cfRule type="expression" dxfId="226" priority="85">
      <formula>AND($C5-TODAY()&lt;30,TODAY()&lt;$C5)</formula>
    </cfRule>
  </conditionalFormatting>
  <conditionalFormatting sqref="C5 F5">
    <cfRule type="cellIs" dxfId="225" priority="86" stopIfTrue="1" operator="lessThan">
      <formula>$B$2</formula>
    </cfRule>
  </conditionalFormatting>
  <conditionalFormatting sqref="F6 F8 F10">
    <cfRule type="cellIs" dxfId="224" priority="84" stopIfTrue="1" operator="lessThan">
      <formula>$B$2</formula>
    </cfRule>
  </conditionalFormatting>
  <conditionalFormatting sqref="C4:C11 C13 C23 C17:C21">
    <cfRule type="expression" dxfId="223" priority="82">
      <formula>AND($C4-TODAY()&lt;30,TODAY()&lt;$C4)</formula>
    </cfRule>
  </conditionalFormatting>
  <conditionalFormatting sqref="F7 F9 F11 C4:C11 C13 C23 C17:C21">
    <cfRule type="cellIs" dxfId="222" priority="83" stopIfTrue="1" operator="lessThan">
      <formula>$B$2</formula>
    </cfRule>
  </conditionalFormatting>
  <conditionalFormatting sqref="C18">
    <cfRule type="expression" dxfId="221" priority="72">
      <formula>AND($C18-TODAY()&lt;30,TODAY()&lt;$C18)</formula>
    </cfRule>
  </conditionalFormatting>
  <conditionalFormatting sqref="C18">
    <cfRule type="cellIs" dxfId="220" priority="73" stopIfTrue="1" operator="lessThan">
      <formula>$B$2</formula>
    </cfRule>
  </conditionalFormatting>
  <conditionalFormatting sqref="C20">
    <cfRule type="expression" dxfId="219" priority="70">
      <formula>AND($C20-TODAY()&lt;30,TODAY()&lt;$C20)</formula>
    </cfRule>
  </conditionalFormatting>
  <conditionalFormatting sqref="C20">
    <cfRule type="cellIs" dxfId="218" priority="71" stopIfTrue="1" operator="lessThan">
      <formula>$B$2</formula>
    </cfRule>
  </conditionalFormatting>
  <conditionalFormatting sqref="C17">
    <cfRule type="expression" dxfId="217" priority="64">
      <formula>AND($C17-TODAY()&lt;30,TODAY()&lt;$C17)</formula>
    </cfRule>
  </conditionalFormatting>
  <conditionalFormatting sqref="C17">
    <cfRule type="cellIs" dxfId="216" priority="65" stopIfTrue="1" operator="lessThan">
      <formula>$B$2</formula>
    </cfRule>
  </conditionalFormatting>
  <conditionalFormatting sqref="C19">
    <cfRule type="expression" dxfId="215" priority="62">
      <formula>AND($C19-TODAY()&lt;30,TODAY()&lt;$C19)</formula>
    </cfRule>
  </conditionalFormatting>
  <conditionalFormatting sqref="C19">
    <cfRule type="cellIs" dxfId="214" priority="63" stopIfTrue="1" operator="lessThan">
      <formula>$B$2</formula>
    </cfRule>
  </conditionalFormatting>
  <conditionalFormatting sqref="C21">
    <cfRule type="expression" dxfId="213" priority="60">
      <formula>AND($C21-TODAY()&lt;30,TODAY()&lt;$C21)</formula>
    </cfRule>
  </conditionalFormatting>
  <conditionalFormatting sqref="C21">
    <cfRule type="cellIs" dxfId="212" priority="61" stopIfTrue="1" operator="lessThan">
      <formula>$B$2</formula>
    </cfRule>
  </conditionalFormatting>
  <conditionalFormatting sqref="C23">
    <cfRule type="expression" dxfId="211" priority="58">
      <formula>AND($C23-TODAY()&lt;30,TODAY()&lt;$C23)</formula>
    </cfRule>
  </conditionalFormatting>
  <conditionalFormatting sqref="C23">
    <cfRule type="cellIs" dxfId="210" priority="59" stopIfTrue="1" operator="lessThan">
      <formula>$B$2</formula>
    </cfRule>
  </conditionalFormatting>
  <conditionalFormatting sqref="F18">
    <cfRule type="cellIs" dxfId="209" priority="55" stopIfTrue="1" operator="lessThan">
      <formula>$B$2</formula>
    </cfRule>
  </conditionalFormatting>
  <conditionalFormatting sqref="F22">
    <cfRule type="cellIs" dxfId="208" priority="54" stopIfTrue="1" operator="lessThan">
      <formula>$B$2</formula>
    </cfRule>
  </conditionalFormatting>
  <conditionalFormatting sqref="F21">
    <cfRule type="cellIs" dxfId="207" priority="53" stopIfTrue="1" operator="lessThan">
      <formula>$B$2</formula>
    </cfRule>
  </conditionalFormatting>
  <conditionalFormatting sqref="B4:B11 E4:E11 B17:B23 E18:E23 B13 E13">
    <cfRule type="cellIs" dxfId="206" priority="51" stopIfTrue="1" operator="equal">
      <formula>"已过期"</formula>
    </cfRule>
  </conditionalFormatting>
  <conditionalFormatting sqref="A24:F24">
    <cfRule type="cellIs" dxfId="205" priority="47" stopIfTrue="1" operator="equal">
      <formula>"已过期"</formula>
    </cfRule>
  </conditionalFormatting>
  <conditionalFormatting sqref="F28">
    <cfRule type="expression" dxfId="204" priority="45">
      <formula>AND($E28-TODAY()&lt;30,TODAY()&lt;$E28)</formula>
    </cfRule>
  </conditionalFormatting>
  <conditionalFormatting sqref="F28">
    <cfRule type="cellIs" dxfId="203" priority="46" stopIfTrue="1" operator="lessThan">
      <formula>$B$2</formula>
    </cfRule>
  </conditionalFormatting>
  <conditionalFormatting sqref="F29">
    <cfRule type="expression" dxfId="202" priority="41" stopIfTrue="1">
      <formula>AND($E29-TODAY()&lt;30,TODAY()&lt;$E29)</formula>
    </cfRule>
  </conditionalFormatting>
  <conditionalFormatting sqref="F29">
    <cfRule type="cellIs" dxfId="201" priority="42" stopIfTrue="1" operator="lessThan">
      <formula>$B$2</formula>
    </cfRule>
  </conditionalFormatting>
  <conditionalFormatting sqref="F13">
    <cfRule type="cellIs" dxfId="200" priority="34" stopIfTrue="1" operator="lessThan">
      <formula>$B$2</formula>
    </cfRule>
  </conditionalFormatting>
  <conditionalFormatting sqref="C12">
    <cfRule type="expression" dxfId="199" priority="32">
      <formula>AND($C12-TODAY()&lt;30,TODAY()&lt;$C12)</formula>
    </cfRule>
  </conditionalFormatting>
  <conditionalFormatting sqref="C12">
    <cfRule type="cellIs" dxfId="198" priority="33" stopIfTrue="1" operator="lessThan">
      <formula>$B$2</formula>
    </cfRule>
  </conditionalFormatting>
  <conditionalFormatting sqref="C12">
    <cfRule type="expression" dxfId="197" priority="30">
      <formula>AND($C12-TODAY()&lt;30,TODAY()&lt;$C12)</formula>
    </cfRule>
  </conditionalFormatting>
  <conditionalFormatting sqref="C12">
    <cfRule type="cellIs" dxfId="196" priority="31" stopIfTrue="1" operator="lessThan">
      <formula>$B$2</formula>
    </cfRule>
  </conditionalFormatting>
  <conditionalFormatting sqref="B12">
    <cfRule type="cellIs" dxfId="195" priority="29" stopIfTrue="1" operator="equal">
      <formula>"已过期"</formula>
    </cfRule>
  </conditionalFormatting>
  <conditionalFormatting sqref="E12">
    <cfRule type="cellIs" dxfId="194" priority="28" stopIfTrue="1" operator="equal">
      <formula>"已过期"</formula>
    </cfRule>
  </conditionalFormatting>
  <conditionalFormatting sqref="F12">
    <cfRule type="cellIs" dxfId="193" priority="27" stopIfTrue="1" operator="lessThan">
      <formula>$B$2</formula>
    </cfRule>
  </conditionalFormatting>
  <conditionalFormatting sqref="C22">
    <cfRule type="expression" dxfId="192" priority="25">
      <formula>AND($C22-TODAY()&lt;30,TODAY()&lt;$C22)</formula>
    </cfRule>
  </conditionalFormatting>
  <conditionalFormatting sqref="C22">
    <cfRule type="cellIs" dxfId="191" priority="26" stopIfTrue="1" operator="lessThan">
      <formula>$B$2</formula>
    </cfRule>
  </conditionalFormatting>
  <conditionalFormatting sqref="C22">
    <cfRule type="expression" dxfId="190" priority="23">
      <formula>AND($C22-TODAY()&lt;30,TODAY()&lt;$C22)</formula>
    </cfRule>
  </conditionalFormatting>
  <conditionalFormatting sqref="C22">
    <cfRule type="cellIs" dxfId="189" priority="24" stopIfTrue="1" operator="lessThan">
      <formula>$B$2</formula>
    </cfRule>
  </conditionalFormatting>
  <conditionalFormatting sqref="C16">
    <cfRule type="expression" dxfId="188" priority="21">
      <formula>AND($C16-TODAY()&lt;30,TODAY()&lt;$C16)</formula>
    </cfRule>
  </conditionalFormatting>
  <conditionalFormatting sqref="C16">
    <cfRule type="cellIs" dxfId="187" priority="22" stopIfTrue="1" operator="lessThan">
      <formula>$B$2</formula>
    </cfRule>
  </conditionalFormatting>
  <conditionalFormatting sqref="C16">
    <cfRule type="expression" dxfId="186" priority="19">
      <formula>AND($C16-TODAY()&lt;30,TODAY()&lt;$C16)</formula>
    </cfRule>
  </conditionalFormatting>
  <conditionalFormatting sqref="C16">
    <cfRule type="cellIs" dxfId="185" priority="20" stopIfTrue="1" operator="lessThan">
      <formula>$B$2</formula>
    </cfRule>
  </conditionalFormatting>
  <conditionalFormatting sqref="B16">
    <cfRule type="cellIs" dxfId="184" priority="18" stopIfTrue="1" operator="equal">
      <formula>"已过期"</formula>
    </cfRule>
  </conditionalFormatting>
  <conditionalFormatting sqref="C14:C15">
    <cfRule type="expression" dxfId="183" priority="16">
      <formula>AND($C14-TODAY()&lt;30,TODAY()&lt;$C14)</formula>
    </cfRule>
  </conditionalFormatting>
  <conditionalFormatting sqref="C14:C15">
    <cfRule type="cellIs" dxfId="182" priority="17" stopIfTrue="1" operator="lessThan">
      <formula>$B$2</formula>
    </cfRule>
  </conditionalFormatting>
  <conditionalFormatting sqref="C14">
    <cfRule type="expression" dxfId="181" priority="14">
      <formula>AND($C14-TODAY()&lt;30,TODAY()&lt;$C14)</formula>
    </cfRule>
  </conditionalFormatting>
  <conditionalFormatting sqref="C14">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B14">
    <cfRule type="cellIs" dxfId="177" priority="11" stopIfTrue="1" operator="equal">
      <formula>"已过期"</formula>
    </cfRule>
  </conditionalFormatting>
  <conditionalFormatting sqref="B15">
    <cfRule type="cellIs" dxfId="176" priority="10" stopIfTrue="1" operator="equal">
      <formula>"已过期"</formula>
    </cfRule>
  </conditionalFormatting>
  <conditionalFormatting sqref="A15">
    <cfRule type="cellIs" dxfId="175" priority="9" stopIfTrue="1" operator="equal">
      <formula>"已过期"</formula>
    </cfRule>
  </conditionalFormatting>
  <conditionalFormatting sqref="C15">
    <cfRule type="expression" dxfId="174" priority="8">
      <formula>AND($C15-TODAY()&lt;30,TODAY()&lt;$C15)</formula>
    </cfRule>
  </conditionalFormatting>
  <conditionalFormatting sqref="F16">
    <cfRule type="cellIs" dxfId="173" priority="7" stopIfTrue="1" operator="lessThan">
      <formula>$B$2</formula>
    </cfRule>
  </conditionalFormatting>
  <conditionalFormatting sqref="E16 E14">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D15">
    <cfRule type="cellIs" dxfId="170" priority="4" stopIfTrue="1" operator="equal">
      <formula>"已过期"</formula>
    </cfRule>
  </conditionalFormatting>
  <conditionalFormatting sqref="F17">
    <cfRule type="cellIs" dxfId="169" priority="3" stopIfTrue="1" operator="lessThan">
      <formula>$B$2</formula>
    </cfRule>
  </conditionalFormatting>
  <conditionalFormatting sqref="E17">
    <cfRule type="cellIs" dxfId="168" priority="2" stopIfTrue="1" operator="equal">
      <formula>"已过期"</formula>
    </cfRule>
  </conditionalFormatting>
  <conditionalFormatting sqref="F14">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住宅案例</vt:lpstr>
      <vt:lpstr>比较法-商业</vt:lpstr>
      <vt:lpstr>比较法-办公</vt:lpstr>
      <vt:lpstr>比较法-工业</vt:lpstr>
      <vt:lpstr>比较法-车位</vt:lpstr>
      <vt:lpstr>比较法-仓储</vt:lpstr>
      <vt:lpstr>商业案例</vt:lpstr>
      <vt:lpstr>比较法-公寓</vt:lpstr>
      <vt:lpstr>公寓案例</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'比较法-公寓'!商业层高</vt:lpstr>
      <vt:lpstr>商业层高</vt:lpstr>
      <vt:lpstr>'比较法-公寓'!商业成新度</vt:lpstr>
      <vt:lpstr>商业成新度</vt:lpstr>
      <vt:lpstr>商业繁华度</vt:lpstr>
      <vt:lpstr>'比较法-公寓'!商业公共部分装修</vt:lpstr>
      <vt:lpstr>商业公共部分装修</vt:lpstr>
      <vt:lpstr>'比较法-公寓'!商业基础设施水平</vt:lpstr>
      <vt:lpstr>商业基础设施水平</vt:lpstr>
      <vt:lpstr>'比较法-公寓'!商业建筑结构</vt:lpstr>
      <vt:lpstr>商业建筑结构</vt:lpstr>
      <vt:lpstr>'比较法-公寓'!商业交易情况</vt:lpstr>
      <vt:lpstr>商业交易情况</vt:lpstr>
      <vt:lpstr>商业街名称</vt:lpstr>
      <vt:lpstr>'比较法-公寓'!商业进深比</vt:lpstr>
      <vt:lpstr>商业进深比</vt:lpstr>
      <vt:lpstr>'比较法-公寓'!商业类型</vt:lpstr>
      <vt:lpstr>商业类型</vt:lpstr>
      <vt:lpstr>'比较法-公寓'!商业临街状况</vt:lpstr>
      <vt:lpstr>商业临街状况</vt:lpstr>
      <vt:lpstr>'比较法-公寓'!商业楼层</vt:lpstr>
      <vt:lpstr>商业楼层</vt:lpstr>
      <vt:lpstr>'比较法-公寓'!商业内部装修</vt:lpstr>
      <vt:lpstr>商业内部装修</vt:lpstr>
      <vt:lpstr>'比较法-公寓'!商业人流量</vt:lpstr>
      <vt:lpstr>商业人流量</vt:lpstr>
      <vt:lpstr>'比较法-公寓'!商业业态</vt:lpstr>
      <vt:lpstr>商业业态</vt:lpstr>
      <vt:lpstr>'比较法-公寓'!商业用途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2019-09-16T10:57:06Z</dcterms:modified>
</cp:coreProperties>
</file>