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120" windowWidth="11565" windowHeight="9525" tabRatio="875" firstSheet="9"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高值）" sheetId="69" r:id="rId18"/>
    <sheet name="比较法-住宅、综合" sheetId="39" state="hidden"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Sheet1" sheetId="68" r:id="rId42"/>
    <sheet name="土地案例" sheetId="70" r:id="rId43"/>
    <sheet name="Sheet2" sheetId="71" r:id="rId44"/>
  </sheets>
  <definedNames>
    <definedName name="_xlnm._FilterDatabase" localSheetId="21" hidden="1">'比较法-工业'!$A$1:$L$45</definedName>
    <definedName name="_xlnm._FilterDatabase" localSheetId="18" hidden="1">'比较法-住宅、综合'!$A$1:$L$50</definedName>
    <definedName name="_xlnm._FilterDatabase" localSheetId="17" hidden="1">'比较法-住宅、综合（高值）'!$A$1:$L$50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7">'比较法-住宅、综合（高值）'!$A$75:$M$75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7">'比较法-住宅、综合（高值）'!$B$108:$M$108</definedName>
    <definedName name="套综道路等级">'比较法-住宅、综合'!$B$108:$M$108</definedName>
    <definedName name="套综工程地质条件" localSheetId="17">'比较法-住宅、综合（高值）'!$B$127:$M$127</definedName>
    <definedName name="套综工程地质条件">'比较法-住宅、综合'!$B$127:$M$127</definedName>
    <definedName name="套综交易情况" localSheetId="17">'比较法-住宅、综合（高值）'!$A$75:$M$75</definedName>
    <definedName name="套综交易情况">'比较法-住宅、综合'!$A$75:$M$75</definedName>
    <definedName name="套综临街宽度及深度" localSheetId="17">'比较法-住宅、综合（高值）'!$B$123:$M$123</definedName>
    <definedName name="套综临街宽度及深度">'比较法-住宅、综合'!$B$123:$M$123</definedName>
    <definedName name="套综土地级别" localSheetId="17">'比较法-住宅、综合（高值）'!$B$110:$M$110</definedName>
    <definedName name="套综土地级别">'比较法-住宅、综合'!$B$110:$M$110</definedName>
    <definedName name="套综用途" localSheetId="17">'比较法-住宅、综合（高值）'!$B$77:$M$77</definedName>
    <definedName name="套综用途">'比较法-住宅、综合'!$B$77:$M$77</definedName>
    <definedName name="套综宗地内开发程度" localSheetId="17">'比较法-住宅、综合（高值）'!$B$125:$M$125</definedName>
    <definedName name="套综宗地内开发程度">'比较法-住宅、综合'!$B$125:$M$125</definedName>
    <definedName name="套综宗地形状" localSheetId="17">'比较法-住宅、综合（高值）'!$B$121:$M$121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66" l="1"/>
  <c r="B15" i="66"/>
  <c r="C106" i="9"/>
  <c r="D32" i="71"/>
  <c r="D25" i="71"/>
  <c r="D26" i="71"/>
  <c r="D27" i="71"/>
  <c r="D28" i="71"/>
  <c r="D29" i="71"/>
  <c r="D30" i="71"/>
  <c r="D31" i="71"/>
  <c r="D24" i="71"/>
  <c r="B30" i="31" l="1"/>
  <c r="E48" i="69"/>
  <c r="I13" i="3"/>
  <c r="B25" i="31"/>
  <c r="B26" i="31"/>
  <c r="B27" i="31"/>
  <c r="B28" i="31"/>
  <c r="B29" i="31"/>
  <c r="B31" i="31"/>
  <c r="B24" i="31"/>
  <c r="F9" i="71" l="1"/>
  <c r="F2" i="71"/>
  <c r="H10" i="71"/>
  <c r="I3" i="71"/>
  <c r="I4" i="71"/>
  <c r="I5" i="71"/>
  <c r="I6" i="71"/>
  <c r="I7" i="71"/>
  <c r="I8" i="71"/>
  <c r="I9" i="71"/>
  <c r="I2" i="71"/>
  <c r="F8" i="71"/>
  <c r="O2" i="70"/>
  <c r="E10" i="71"/>
  <c r="D10" i="71"/>
  <c r="F3" i="71"/>
  <c r="F4" i="71"/>
  <c r="F5" i="71"/>
  <c r="F6" i="71"/>
  <c r="F7" i="71"/>
  <c r="I9" i="69" l="1"/>
  <c r="I7" i="69"/>
  <c r="O3" i="70"/>
  <c r="O4" i="70"/>
  <c r="O5" i="70"/>
  <c r="O6" i="70"/>
  <c r="O7" i="70"/>
  <c r="O8" i="70"/>
  <c r="O9" i="70"/>
  <c r="O10" i="70"/>
  <c r="O11" i="70"/>
  <c r="O12" i="70"/>
  <c r="O13" i="70"/>
  <c r="O14" i="70"/>
  <c r="O15" i="70"/>
  <c r="O16" i="70"/>
  <c r="O17" i="70"/>
  <c r="O18" i="70"/>
  <c r="O19" i="70"/>
  <c r="O20" i="70"/>
  <c r="O21" i="70"/>
  <c r="O22" i="70"/>
  <c r="O23" i="70"/>
  <c r="O24" i="70"/>
  <c r="O25" i="70"/>
  <c r="O26" i="70"/>
  <c r="O27" i="70"/>
  <c r="O28" i="70"/>
  <c r="O29" i="70"/>
  <c r="O30" i="70"/>
  <c r="O31" i="70"/>
  <c r="O32" i="70"/>
  <c r="O33" i="70"/>
  <c r="O34" i="70"/>
  <c r="O35" i="70"/>
  <c r="O36" i="70"/>
  <c r="O37" i="70"/>
  <c r="O38" i="70"/>
  <c r="O39" i="70"/>
  <c r="O40" i="70"/>
  <c r="O41" i="70"/>
  <c r="O42" i="70"/>
  <c r="O43" i="70"/>
  <c r="O44" i="70"/>
  <c r="O45" i="70"/>
  <c r="O46" i="70"/>
  <c r="O47" i="70"/>
  <c r="O48" i="70"/>
  <c r="O49" i="70"/>
  <c r="O50" i="70"/>
  <c r="O51" i="70"/>
  <c r="O52" i="70"/>
  <c r="O53" i="70"/>
  <c r="O54" i="70"/>
  <c r="O55" i="70"/>
  <c r="O56" i="70"/>
  <c r="O57" i="70"/>
  <c r="O58" i="70"/>
  <c r="O59" i="70"/>
  <c r="O60" i="70"/>
  <c r="O61" i="70"/>
  <c r="O62" i="70"/>
  <c r="O63" i="70"/>
  <c r="O64" i="70"/>
  <c r="O65" i="70"/>
  <c r="O66" i="70"/>
  <c r="O67" i="70"/>
  <c r="O68" i="70"/>
  <c r="O69" i="70"/>
  <c r="O70" i="70"/>
  <c r="O71" i="70"/>
  <c r="O72" i="70"/>
  <c r="O73" i="70"/>
  <c r="O74" i="70"/>
  <c r="O75" i="70"/>
  <c r="O76" i="70"/>
  <c r="O77" i="70"/>
  <c r="O78" i="70"/>
  <c r="O79" i="70"/>
  <c r="O80" i="70"/>
  <c r="O81" i="70"/>
  <c r="O82" i="70"/>
  <c r="O83" i="70"/>
  <c r="O84" i="70"/>
  <c r="O85" i="70"/>
  <c r="O86" i="70"/>
  <c r="O87" i="70"/>
  <c r="O88" i="70"/>
  <c r="O89" i="70"/>
  <c r="O90" i="70"/>
  <c r="O91" i="70"/>
  <c r="O92" i="70"/>
  <c r="O93" i="70"/>
  <c r="O94" i="70"/>
  <c r="O95" i="70"/>
  <c r="O96" i="70"/>
  <c r="O97" i="70"/>
  <c r="O98" i="70"/>
  <c r="O99" i="70"/>
  <c r="O100" i="70"/>
  <c r="O101" i="70"/>
  <c r="O102" i="70"/>
  <c r="O103" i="70"/>
  <c r="O104" i="70"/>
  <c r="O105" i="70"/>
  <c r="O106" i="70"/>
  <c r="O107" i="70"/>
  <c r="O108" i="70"/>
  <c r="O109" i="70"/>
  <c r="O110" i="70"/>
  <c r="O111" i="70"/>
  <c r="O112" i="70"/>
  <c r="O113" i="70"/>
  <c r="O114" i="70"/>
  <c r="O115" i="70"/>
  <c r="O116" i="70"/>
  <c r="O117" i="70"/>
  <c r="O118" i="70"/>
  <c r="O119" i="70"/>
  <c r="O120" i="70"/>
  <c r="O121" i="70"/>
  <c r="O122" i="70"/>
  <c r="O123" i="70"/>
  <c r="O124" i="70"/>
  <c r="O125" i="70"/>
  <c r="O126" i="70"/>
  <c r="O127" i="70"/>
  <c r="O128" i="70"/>
  <c r="O129" i="70"/>
  <c r="O130" i="70"/>
  <c r="O131" i="70"/>
  <c r="O132" i="70"/>
  <c r="O133" i="70"/>
  <c r="O134" i="70"/>
  <c r="O135" i="70"/>
  <c r="O136" i="70"/>
  <c r="O137" i="70"/>
  <c r="O138" i="70"/>
  <c r="O139" i="70"/>
  <c r="O140" i="70"/>
  <c r="O141" i="70"/>
  <c r="O142" i="70"/>
  <c r="O143" i="70"/>
  <c r="O144" i="70"/>
  <c r="O145" i="70"/>
  <c r="O146" i="70"/>
  <c r="O147" i="70"/>
  <c r="O148" i="70"/>
  <c r="O149" i="70"/>
  <c r="O150" i="70"/>
  <c r="O151" i="70"/>
  <c r="O152" i="70"/>
  <c r="O153" i="70"/>
  <c r="O154" i="70"/>
  <c r="O155" i="70"/>
  <c r="O156" i="70"/>
  <c r="O157" i="70"/>
  <c r="O158" i="70"/>
  <c r="O159" i="70"/>
  <c r="O160" i="70"/>
  <c r="O161" i="70"/>
  <c r="O162" i="70"/>
  <c r="O163" i="70"/>
  <c r="O164" i="70"/>
  <c r="O165" i="70"/>
  <c r="O166" i="70"/>
  <c r="O167" i="70"/>
  <c r="O168" i="70"/>
  <c r="O169" i="70"/>
  <c r="O170" i="70"/>
  <c r="O171" i="70"/>
  <c r="O172" i="70"/>
  <c r="O173" i="70"/>
  <c r="O174" i="70"/>
  <c r="O175" i="70"/>
  <c r="O176" i="70"/>
  <c r="O177" i="70"/>
  <c r="O178" i="70"/>
  <c r="O179" i="70"/>
  <c r="O180" i="70"/>
  <c r="O181" i="70"/>
  <c r="O182" i="70"/>
  <c r="O183" i="70"/>
  <c r="O184" i="70"/>
  <c r="O185" i="70"/>
  <c r="O186" i="70"/>
  <c r="O187" i="70"/>
  <c r="O188" i="70"/>
  <c r="O189" i="70"/>
  <c r="O190" i="70"/>
  <c r="O191" i="70"/>
  <c r="O192" i="70"/>
  <c r="O193" i="70"/>
  <c r="O194" i="70"/>
  <c r="O195" i="70"/>
  <c r="O196" i="70"/>
  <c r="O197" i="70"/>
  <c r="O198" i="70"/>
  <c r="O199" i="70"/>
  <c r="O200" i="70"/>
  <c r="O262" i="68"/>
  <c r="O236" i="68"/>
  <c r="O237" i="68" s="1"/>
  <c r="B133" i="69" l="1"/>
  <c r="B131" i="69"/>
  <c r="J46" i="69" s="1"/>
  <c r="AC46" i="69" s="1"/>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J38" i="69" s="1"/>
  <c r="AC38" i="69" s="1"/>
  <c r="B112" i="69"/>
  <c r="E111" i="69"/>
  <c r="F111" i="69" s="1"/>
  <c r="G111" i="69" s="1"/>
  <c r="H111" i="69" s="1"/>
  <c r="I111" i="69" s="1"/>
  <c r="J111" i="69" s="1"/>
  <c r="K111" i="69" s="1"/>
  <c r="L111" i="69" s="1"/>
  <c r="M111" i="69" s="1"/>
  <c r="D111" i="69"/>
  <c r="E109" i="69"/>
  <c r="F109" i="69" s="1"/>
  <c r="G109" i="69" s="1"/>
  <c r="H109" i="69" s="1"/>
  <c r="I109" i="69" s="1"/>
  <c r="J109" i="69" s="1"/>
  <c r="K109" i="69" s="1"/>
  <c r="L109" i="69" s="1"/>
  <c r="M109" i="69" s="1"/>
  <c r="D109" i="69"/>
  <c r="E107" i="69"/>
  <c r="F107" i="69" s="1"/>
  <c r="G107" i="69" s="1"/>
  <c r="H107" i="69" s="1"/>
  <c r="I107" i="69" s="1"/>
  <c r="J107" i="69" s="1"/>
  <c r="K107" i="69" s="1"/>
  <c r="L107" i="69" s="1"/>
  <c r="M107" i="69" s="1"/>
  <c r="D107" i="69"/>
  <c r="B106" i="69"/>
  <c r="J33" i="69" s="1"/>
  <c r="AC33" i="69" s="1"/>
  <c r="D105" i="69"/>
  <c r="E105" i="69" s="1"/>
  <c r="F105" i="69" s="1"/>
  <c r="G105" i="69" s="1"/>
  <c r="D103" i="69"/>
  <c r="E103" i="69" s="1"/>
  <c r="F103" i="69" s="1"/>
  <c r="G103" i="69" s="1"/>
  <c r="D101" i="69"/>
  <c r="E101" i="69" s="1"/>
  <c r="F101" i="69" s="1"/>
  <c r="G101" i="69" s="1"/>
  <c r="D99" i="69"/>
  <c r="E99" i="69" s="1"/>
  <c r="F99" i="69" s="1"/>
  <c r="G99" i="69" s="1"/>
  <c r="D97" i="69"/>
  <c r="E97" i="69" s="1"/>
  <c r="F97" i="69" s="1"/>
  <c r="G97" i="69" s="1"/>
  <c r="D95" i="69"/>
  <c r="E95" i="69" s="1"/>
  <c r="F95" i="69" s="1"/>
  <c r="G95" i="69" s="1"/>
  <c r="D93" i="69"/>
  <c r="E93" i="69" s="1"/>
  <c r="F93" i="69" s="1"/>
  <c r="G93" i="69" s="1"/>
  <c r="D91" i="69"/>
  <c r="E91" i="69" s="1"/>
  <c r="F91" i="69" s="1"/>
  <c r="G91" i="69" s="1"/>
  <c r="B88" i="69"/>
  <c r="B86" i="69"/>
  <c r="H15" i="69" s="1"/>
  <c r="AB15" i="69" s="1"/>
  <c r="B84" i="69"/>
  <c r="D83" i="69"/>
  <c r="E83" i="69" s="1"/>
  <c r="F83" i="69" s="1"/>
  <c r="G83" i="69" s="1"/>
  <c r="H83" i="69" s="1"/>
  <c r="I83" i="69" s="1"/>
  <c r="J83" i="69" s="1"/>
  <c r="K83" i="69" s="1"/>
  <c r="L83" i="69" s="1"/>
  <c r="M83" i="69" s="1"/>
  <c r="M81" i="69"/>
  <c r="L81" i="69"/>
  <c r="K81" i="69"/>
  <c r="J81" i="69"/>
  <c r="I81" i="69"/>
  <c r="H81" i="69"/>
  <c r="G81" i="69"/>
  <c r="F81" i="69"/>
  <c r="E81" i="69"/>
  <c r="D81" i="69"/>
  <c r="C81" i="69"/>
  <c r="H67" i="69"/>
  <c r="I67" i="69" s="1"/>
  <c r="C67" i="69" s="1"/>
  <c r="H66" i="69"/>
  <c r="I66" i="69" s="1"/>
  <c r="C66" i="69" s="1"/>
  <c r="H65" i="69"/>
  <c r="I65" i="69" s="1"/>
  <c r="C65" i="69" s="1"/>
  <c r="H64" i="69"/>
  <c r="I64" i="69" s="1"/>
  <c r="C64" i="69" s="1"/>
  <c r="H63" i="69"/>
  <c r="I63" i="69" s="1"/>
  <c r="C63" i="69" s="1"/>
  <c r="H62" i="69"/>
  <c r="I62" i="69" s="1"/>
  <c r="C62" i="69"/>
  <c r="H61" i="69"/>
  <c r="I61" i="69" s="1"/>
  <c r="C61" i="69" s="1"/>
  <c r="H60" i="69"/>
  <c r="I60" i="69" s="1"/>
  <c r="C60" i="69" s="1"/>
  <c r="I59" i="69"/>
  <c r="C59" i="69" s="1"/>
  <c r="H59" i="69"/>
  <c r="I55" i="69"/>
  <c r="J55" i="69" s="1"/>
  <c r="G55" i="69"/>
  <c r="H55" i="69" s="1"/>
  <c r="E55" i="69"/>
  <c r="F55" i="69" s="1"/>
  <c r="P50" i="69"/>
  <c r="P49" i="69"/>
  <c r="V48" i="69"/>
  <c r="T48" i="69"/>
  <c r="R48" i="69"/>
  <c r="P48" i="69"/>
  <c r="Q47" i="69"/>
  <c r="Z47" i="69" s="1"/>
  <c r="J47" i="69"/>
  <c r="AC47" i="69" s="1"/>
  <c r="H47" i="69"/>
  <c r="AB47" i="69" s="1"/>
  <c r="F47" i="69"/>
  <c r="AA47" i="69" s="1"/>
  <c r="Q46" i="69"/>
  <c r="Z46" i="69" s="1"/>
  <c r="H46" i="69"/>
  <c r="AB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F40" i="69"/>
  <c r="AA40" i="69" s="1"/>
  <c r="C40" i="69"/>
  <c r="H40" i="69" s="1"/>
  <c r="Q39" i="69"/>
  <c r="Z39" i="69" s="1"/>
  <c r="J39" i="69"/>
  <c r="AC39" i="69" s="1"/>
  <c r="H39" i="69"/>
  <c r="AB39" i="69" s="1"/>
  <c r="F39" i="69"/>
  <c r="AA39" i="69" s="1"/>
  <c r="Q38" i="69"/>
  <c r="Z38" i="69" s="1"/>
  <c r="H38" i="69"/>
  <c r="AB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H33" i="69"/>
  <c r="AB33" i="69" s="1"/>
  <c r="Q31" i="69"/>
  <c r="Z31" i="69" s="1"/>
  <c r="J31" i="69"/>
  <c r="AC31" i="69" s="1"/>
  <c r="H31" i="69"/>
  <c r="AB31" i="69" s="1"/>
  <c r="F31" i="69"/>
  <c r="AA31" i="69" s="1"/>
  <c r="Q29" i="69"/>
  <c r="Z29" i="69" s="1"/>
  <c r="J29" i="69"/>
  <c r="AC29" i="69" s="1"/>
  <c r="F29" i="69"/>
  <c r="AA29" i="69" s="1"/>
  <c r="Q27" i="69"/>
  <c r="Z27" i="69" s="1"/>
  <c r="J27" i="69"/>
  <c r="AC27" i="69" s="1"/>
  <c r="H27" i="69"/>
  <c r="AB27" i="69" s="1"/>
  <c r="F27" i="69"/>
  <c r="AA27" i="69" s="1"/>
  <c r="Q25" i="69"/>
  <c r="Z25" i="69" s="1"/>
  <c r="J25" i="69"/>
  <c r="AC25" i="69" s="1"/>
  <c r="F25" i="69"/>
  <c r="AA25" i="69" s="1"/>
  <c r="C25" i="69"/>
  <c r="Q23" i="69"/>
  <c r="Z23" i="69" s="1"/>
  <c r="J23" i="69"/>
  <c r="AC23" i="69" s="1"/>
  <c r="H23" i="69"/>
  <c r="AB23" i="69" s="1"/>
  <c r="F23" i="69"/>
  <c r="AA23" i="69" s="1"/>
  <c r="Q21" i="69"/>
  <c r="Z21" i="69" s="1"/>
  <c r="J21" i="69"/>
  <c r="AC21" i="69" s="1"/>
  <c r="H21" i="69"/>
  <c r="AB21" i="69" s="1"/>
  <c r="F21" i="69"/>
  <c r="AA21" i="69" s="1"/>
  <c r="Q19" i="69"/>
  <c r="Z19" i="69" s="1"/>
  <c r="H19" i="69"/>
  <c r="AB19" i="69" s="1"/>
  <c r="F19" i="69"/>
  <c r="AA19" i="69" s="1"/>
  <c r="Q17" i="69"/>
  <c r="Z17" i="69" s="1"/>
  <c r="J17" i="69"/>
  <c r="AC17" i="69" s="1"/>
  <c r="H17" i="69"/>
  <c r="AB17" i="69" s="1"/>
  <c r="F17" i="69"/>
  <c r="AA17" i="69" s="1"/>
  <c r="Q16" i="69"/>
  <c r="Z16" i="69" s="1"/>
  <c r="J16" i="69"/>
  <c r="AC16" i="69" s="1"/>
  <c r="H16" i="69"/>
  <c r="AB16" i="69" s="1"/>
  <c r="F16" i="69"/>
  <c r="AA16" i="69" s="1"/>
  <c r="Q15" i="69"/>
  <c r="Z15" i="69" s="1"/>
  <c r="J15" i="69"/>
  <c r="AC15" i="69" s="1"/>
  <c r="F15" i="69"/>
  <c r="AA15" i="69" s="1"/>
  <c r="Q14" i="69"/>
  <c r="Z14" i="69" s="1"/>
  <c r="J14" i="69"/>
  <c r="AC14" i="69" s="1"/>
  <c r="H14" i="69"/>
  <c r="AB14" i="69" s="1"/>
  <c r="F14" i="69"/>
  <c r="AA14" i="69" s="1"/>
  <c r="Q13" i="69"/>
  <c r="Z13" i="69" s="1"/>
  <c r="Q12" i="69"/>
  <c r="Z12" i="69" s="1"/>
  <c r="Q11" i="69"/>
  <c r="Z11" i="69" s="1"/>
  <c r="J11" i="69"/>
  <c r="AC11" i="69" s="1"/>
  <c r="H11" i="69"/>
  <c r="AB11" i="69" s="1"/>
  <c r="F11" i="69"/>
  <c r="AA11" i="69" s="1"/>
  <c r="J10" i="69"/>
  <c r="W10" i="69" s="1"/>
  <c r="H10" i="69"/>
  <c r="AB10" i="69" s="1"/>
  <c r="F10" i="69"/>
  <c r="S10" i="69" s="1"/>
  <c r="X23" i="1"/>
  <c r="X27" i="1" s="1"/>
  <c r="X24" i="1"/>
  <c r="X25" i="1"/>
  <c r="X22" i="1"/>
  <c r="C40" i="39"/>
  <c r="U23" i="1"/>
  <c r="U24" i="1"/>
  <c r="U25" i="1"/>
  <c r="U22" i="1"/>
  <c r="F19" i="6"/>
  <c r="U27" i="1" l="1"/>
  <c r="U6" i="1" s="1"/>
  <c r="U10" i="69"/>
  <c r="H25" i="69"/>
  <c r="AB25" i="69" s="1"/>
  <c r="H29" i="69"/>
  <c r="AB29" i="69" s="1"/>
  <c r="F33" i="69"/>
  <c r="AA33" i="69" s="1"/>
  <c r="F38" i="69"/>
  <c r="AA38" i="69" s="1"/>
  <c r="J40" i="69"/>
  <c r="AC40" i="69" s="1"/>
  <c r="F46" i="69"/>
  <c r="AA46" i="69" s="1"/>
  <c r="W23" i="69"/>
  <c r="J19" i="69"/>
  <c r="AC19" i="69" s="1"/>
  <c r="AA10" i="69"/>
  <c r="AC10" i="69"/>
  <c r="S17" i="69"/>
  <c r="S21" i="69"/>
  <c r="S25" i="69"/>
  <c r="U11" i="69"/>
  <c r="S14" i="69"/>
  <c r="W14" i="69"/>
  <c r="U15" i="69"/>
  <c r="S16" i="69"/>
  <c r="W16" i="69"/>
  <c r="S11" i="69"/>
  <c r="W11" i="69"/>
  <c r="U14" i="69"/>
  <c r="S15" i="69"/>
  <c r="W15" i="69"/>
  <c r="U16" i="69"/>
  <c r="W17" i="69"/>
  <c r="S19" i="69"/>
  <c r="W21" i="69"/>
  <c r="S23" i="69"/>
  <c r="W25" i="69"/>
  <c r="AB40" i="69"/>
  <c r="U40" i="69"/>
  <c r="U17" i="69"/>
  <c r="U19" i="69"/>
  <c r="U21" i="69"/>
  <c r="U23" i="69"/>
  <c r="U25" i="69"/>
  <c r="U27" i="69"/>
  <c r="U31" i="69"/>
  <c r="S33" i="69"/>
  <c r="W33" i="69"/>
  <c r="U34" i="69"/>
  <c r="S36" i="69"/>
  <c r="W36" i="69"/>
  <c r="U37" i="69"/>
  <c r="W38" i="69"/>
  <c r="U39" i="69"/>
  <c r="S41" i="69"/>
  <c r="W41" i="69"/>
  <c r="U42" i="69"/>
  <c r="S43" i="69"/>
  <c r="W43" i="69"/>
  <c r="U44" i="69"/>
  <c r="S45" i="69"/>
  <c r="W45" i="69"/>
  <c r="U46" i="69"/>
  <c r="S47" i="69"/>
  <c r="W47" i="69"/>
  <c r="S27" i="69"/>
  <c r="W27" i="69"/>
  <c r="S29" i="69"/>
  <c r="W29" i="69"/>
  <c r="S31" i="69"/>
  <c r="W31" i="69"/>
  <c r="U33" i="69"/>
  <c r="S34" i="69"/>
  <c r="W34" i="69"/>
  <c r="U36" i="69"/>
  <c r="S37" i="69"/>
  <c r="W37" i="69"/>
  <c r="U38" i="69"/>
  <c r="S39" i="69"/>
  <c r="W39" i="69"/>
  <c r="S40" i="69"/>
  <c r="U41" i="69"/>
  <c r="S42" i="69"/>
  <c r="W42" i="69"/>
  <c r="U43" i="69"/>
  <c r="S44" i="69"/>
  <c r="W44" i="69"/>
  <c r="U45" i="69"/>
  <c r="W46" i="69"/>
  <c r="U47" i="69"/>
  <c r="AH5" i="59"/>
  <c r="AG5" i="59"/>
  <c r="AE5" i="59"/>
  <c r="AF5" i="59" s="1"/>
  <c r="AD5" i="59"/>
  <c r="Q5" i="59"/>
  <c r="P5" i="59"/>
  <c r="O5" i="59"/>
  <c r="N5" i="59"/>
  <c r="W40" i="69" l="1"/>
  <c r="S46" i="69"/>
  <c r="S38" i="69"/>
  <c r="U29" i="69"/>
  <c r="W19" i="69"/>
  <c r="M15" i="49"/>
  <c r="L15" i="49"/>
  <c r="K15" i="49"/>
  <c r="J15" i="49"/>
  <c r="I15" i="49"/>
  <c r="H15" i="49"/>
  <c r="G15" i="49"/>
  <c r="F15" i="49"/>
  <c r="E15" i="49"/>
  <c r="D15" i="49"/>
  <c r="C15" i="49"/>
  <c r="B15" i="4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AH8" i="59"/>
  <c r="AG8" i="59"/>
  <c r="AE8" i="59"/>
  <c r="AF8" i="59" s="1"/>
  <c r="AD8" i="59"/>
  <c r="Q9" i="59"/>
  <c r="P9" i="59"/>
  <c r="O9" i="59"/>
  <c r="N9" i="59"/>
  <c r="M19" i="46"/>
  <c r="J50" i="15"/>
  <c r="D11" i="59"/>
  <c r="AH9" i="59"/>
  <c r="AG9" i="59"/>
  <c r="AE9" i="59"/>
  <c r="AF9" i="59" s="1"/>
  <c r="AD9" i="59"/>
  <c r="AE10" i="59"/>
  <c r="AF10" i="59" s="1"/>
  <c r="AG10" i="59"/>
  <c r="AH10" i="59"/>
  <c r="AD10" i="59"/>
  <c r="Q10" i="59"/>
  <c r="P10" i="59"/>
  <c r="E10" i="59" s="1"/>
  <c r="O10" i="59"/>
  <c r="N10" i="59"/>
  <c r="N11" i="59"/>
  <c r="Q11" i="59"/>
  <c r="P11" i="59"/>
  <c r="O11" i="59"/>
  <c r="K59" i="15"/>
  <c r="P62" i="15"/>
  <c r="P75" i="15"/>
  <c r="Q74" i="44"/>
  <c r="Q61" i="44"/>
  <c r="Q60" i="44"/>
  <c r="Q53" i="44"/>
  <c r="J51" i="44"/>
  <c r="J52" i="44" s="1"/>
  <c r="M48" i="44"/>
  <c r="A16" i="55"/>
  <c r="B67" i="63" s="1"/>
  <c r="A15" i="55"/>
  <c r="A10" i="55"/>
  <c r="B61" i="63" s="1"/>
  <c r="A9" i="55"/>
  <c r="A8" i="55"/>
  <c r="B59" i="63" s="1"/>
  <c r="A6" i="54"/>
  <c r="B49" i="63" s="1"/>
  <c r="A8" i="54"/>
  <c r="A7" i="54"/>
  <c r="A27" i="51"/>
  <c r="B20" i="63" s="1"/>
  <c r="Q12" i="59"/>
  <c r="O12" i="59"/>
  <c r="N13" i="59"/>
  <c r="O13" i="59"/>
  <c r="P13" i="59"/>
  <c r="Q13" i="59"/>
  <c r="N12" i="59"/>
  <c r="P12" i="59"/>
  <c r="K75" i="9"/>
  <c r="K6" i="4"/>
  <c r="O76" i="9" s="1"/>
  <c r="B22" i="31"/>
  <c r="E16" i="66"/>
  <c r="F16" i="66"/>
  <c r="E17" i="66"/>
  <c r="F17" i="66"/>
  <c r="E18" i="66"/>
  <c r="F18" i="66"/>
  <c r="E19" i="66"/>
  <c r="F19" i="66"/>
  <c r="E20" i="66"/>
  <c r="F20" i="66"/>
  <c r="E21" i="66"/>
  <c r="F21" i="66"/>
  <c r="E22" i="66"/>
  <c r="F22" i="66"/>
  <c r="E23" i="66"/>
  <c r="F23" i="66"/>
  <c r="B3" i="66"/>
  <c r="B10" i="59"/>
  <c r="B9" i="59" s="1"/>
  <c r="B8" i="59" s="1"/>
  <c r="F10" i="59"/>
  <c r="F9" i="59" s="1"/>
  <c r="F8" i="59" s="1"/>
  <c r="F7" i="59" s="1"/>
  <c r="F6" i="59" s="1"/>
  <c r="S10" i="59"/>
  <c r="AG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F25" i="59" s="1"/>
  <c r="AD25" i="59"/>
  <c r="AD26" i="59"/>
  <c r="AE26" i="59"/>
  <c r="AF26" i="59" s="1"/>
  <c r="AG26" i="59"/>
  <c r="AH26" i="59"/>
  <c r="S2" i="31"/>
  <c r="M2" i="31"/>
  <c r="N2" i="31"/>
  <c r="O2" i="31"/>
  <c r="P2" i="31"/>
  <c r="Q2" i="31"/>
  <c r="R2" i="31"/>
  <c r="C10" i="59"/>
  <c r="C9" i="59" s="1"/>
  <c r="C3" i="65"/>
  <c r="C1" i="65"/>
  <c r="N1" i="65" s="1"/>
  <c r="T10" i="59"/>
  <c r="D10" i="59"/>
  <c r="B76" i="63"/>
  <c r="M5" i="54"/>
  <c r="B41" i="63" s="1"/>
  <c r="A23" i="51"/>
  <c r="Y12" i="46"/>
  <c r="AA9" i="46"/>
  <c r="AA12" i="46" s="1"/>
  <c r="AB9" i="46"/>
  <c r="AB10" i="46" s="1"/>
  <c r="AC9" i="46"/>
  <c r="AC10" i="46" s="1"/>
  <c r="AD9" i="46"/>
  <c r="AD10" i="46" s="1"/>
  <c r="AE9" i="46"/>
  <c r="AE12" i="46" s="1"/>
  <c r="AF9" i="46"/>
  <c r="AF10" i="46" s="1"/>
  <c r="AG9" i="46"/>
  <c r="AG10" i="46" s="1"/>
  <c r="AH9" i="46"/>
  <c r="AH10" i="46" s="1"/>
  <c r="AI9" i="46"/>
  <c r="AI12" i="46" s="1"/>
  <c r="AJ9" i="46"/>
  <c r="AJ10" i="46" s="1"/>
  <c r="Z9" i="46"/>
  <c r="Z10" i="46" s="1"/>
  <c r="AI10" i="46"/>
  <c r="AE10" i="46"/>
  <c r="AA10" i="46"/>
  <c r="Y10" i="46"/>
  <c r="Z12" i="46"/>
  <c r="AG12" i="46"/>
  <c r="AC12" i="46"/>
  <c r="B73" i="63"/>
  <c r="A21" i="64"/>
  <c r="B75" i="63" s="1"/>
  <c r="A27" i="64"/>
  <c r="A15" i="64"/>
  <c r="A14" i="64"/>
  <c r="A11" i="64"/>
  <c r="A3" i="64"/>
  <c r="A45" i="9"/>
  <c r="A44" i="9"/>
  <c r="C57" i="10"/>
  <c r="A28" i="51" s="1"/>
  <c r="N4" i="63" s="1"/>
  <c r="C56" i="10"/>
  <c r="C55" i="10"/>
  <c r="C54" i="10"/>
  <c r="A26" i="51" s="1"/>
  <c r="B19" i="63" s="1"/>
  <c r="B44" i="63"/>
  <c r="B40" i="63"/>
  <c r="B30" i="63"/>
  <c r="B27" i="63"/>
  <c r="B25" i="63"/>
  <c r="A11" i="51"/>
  <c r="B10" i="63" s="1"/>
  <c r="A26" i="64"/>
  <c r="K39" i="9"/>
  <c r="K40" i="9"/>
  <c r="B58" i="63"/>
  <c r="B53" i="63"/>
  <c r="B51" i="63"/>
  <c r="A46" i="9"/>
  <c r="K41" i="9" s="1"/>
  <c r="B8" i="63"/>
  <c r="A21" i="55"/>
  <c r="B71" i="63"/>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s="1"/>
  <c r="B40" i="50"/>
  <c r="B3" i="63" s="1"/>
  <c r="I19" i="46"/>
  <c r="Q14" i="59"/>
  <c r="P14" i="59"/>
  <c r="E14" i="59" s="1"/>
  <c r="O14" i="59"/>
  <c r="N14" i="59"/>
  <c r="B14" i="59" s="1"/>
  <c r="D75" i="59"/>
  <c r="F74" i="59"/>
  <c r="F73" i="59" s="1"/>
  <c r="F72" i="59" s="1"/>
  <c r="E74" i="59"/>
  <c r="E73" i="59"/>
  <c r="E72" i="59" s="1"/>
  <c r="C74" i="59"/>
  <c r="D74" i="59" s="1"/>
  <c r="B74" i="59"/>
  <c r="B73" i="59" s="1"/>
  <c r="B72" i="59" s="1"/>
  <c r="D71" i="59"/>
  <c r="F70" i="59"/>
  <c r="F69" i="59" s="1"/>
  <c r="F68" i="59" s="1"/>
  <c r="E70" i="59"/>
  <c r="E69" i="59" s="1"/>
  <c r="E68" i="59" s="1"/>
  <c r="C70" i="59"/>
  <c r="B70" i="59"/>
  <c r="B69" i="59" s="1"/>
  <c r="B68"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F54" i="59"/>
  <c r="V54" i="59"/>
  <c r="E54" i="59"/>
  <c r="E53" i="59"/>
  <c r="C54" i="59"/>
  <c r="B54" i="59"/>
  <c r="F53" i="59"/>
  <c r="F52" i="59" s="1"/>
  <c r="Q52" i="59" s="1"/>
  <c r="B53" i="59"/>
  <c r="B52" i="59" s="1"/>
  <c r="N51"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s="1"/>
  <c r="P43" i="59"/>
  <c r="E44" i="59" s="1"/>
  <c r="E45" i="59" s="1"/>
  <c r="E46" i="59" s="1"/>
  <c r="U46" i="59" s="1"/>
  <c r="O43" i="59"/>
  <c r="C44" i="59"/>
  <c r="D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O35" i="59"/>
  <c r="C36" i="59" s="1"/>
  <c r="C37" i="59" s="1"/>
  <c r="C38" i="59" s="1"/>
  <c r="N35" i="59"/>
  <c r="B36" i="59" s="1"/>
  <c r="D35" i="59"/>
  <c r="T34" i="59"/>
  <c r="Q34" i="59"/>
  <c r="P34" i="59"/>
  <c r="O34" i="59"/>
  <c r="N34" i="59"/>
  <c r="D34" i="59"/>
  <c r="Q33" i="59"/>
  <c r="P33" i="59"/>
  <c r="O33" i="59"/>
  <c r="N33" i="59"/>
  <c r="Q32" i="59"/>
  <c r="P32" i="59"/>
  <c r="O32" i="59"/>
  <c r="N32" i="59"/>
  <c r="Q31" i="59"/>
  <c r="F32" i="59" s="1"/>
  <c r="P31" i="59"/>
  <c r="E32" i="59" s="1"/>
  <c r="E33" i="59" s="1"/>
  <c r="E34" i="59" s="1"/>
  <c r="U34" i="59" s="1"/>
  <c r="O31" i="59"/>
  <c r="C32" i="59"/>
  <c r="N31" i="59"/>
  <c r="B32" i="59"/>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AB25" i="59" s="1"/>
  <c r="P25" i="59"/>
  <c r="AA25" i="59" s="1"/>
  <c r="O25" i="59"/>
  <c r="Y25" i="59"/>
  <c r="Z25" i="59" s="1"/>
  <c r="N25" i="59"/>
  <c r="X25" i="59" s="1"/>
  <c r="Q24" i="59"/>
  <c r="AB24" i="59" s="1"/>
  <c r="P24" i="59"/>
  <c r="O24" i="59"/>
  <c r="Y24" i="59" s="1"/>
  <c r="N24" i="59"/>
  <c r="Q23" i="59"/>
  <c r="P23" i="59"/>
  <c r="O23" i="59"/>
  <c r="C24" i="59" s="1"/>
  <c r="C25" i="59" s="1"/>
  <c r="C26" i="59" s="1"/>
  <c r="T26" i="59" s="1"/>
  <c r="N23" i="59"/>
  <c r="B24" i="59" s="1"/>
  <c r="B25" i="59" s="1"/>
  <c r="B26" i="59" s="1"/>
  <c r="S26" i="59" s="1"/>
  <c r="D23" i="59"/>
  <c r="Q22" i="59"/>
  <c r="P22" i="59"/>
  <c r="O22" i="59"/>
  <c r="N22" i="59"/>
  <c r="Q21" i="59"/>
  <c r="P21" i="59"/>
  <c r="O21" i="59"/>
  <c r="N21" i="59"/>
  <c r="Q20" i="59"/>
  <c r="P20" i="59"/>
  <c r="O20" i="59"/>
  <c r="N20" i="59"/>
  <c r="Q19" i="59"/>
  <c r="F20" i="59" s="1"/>
  <c r="P19" i="59"/>
  <c r="E20" i="59" s="1"/>
  <c r="E21" i="59" s="1"/>
  <c r="E22" i="59" s="1"/>
  <c r="U22" i="59" s="1"/>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B16" i="59" s="1"/>
  <c r="B17" i="59" s="1"/>
  <c r="D15" i="59"/>
  <c r="AA11" i="59"/>
  <c r="Y11" i="59"/>
  <c r="Z11" i="59" s="1"/>
  <c r="AB14" i="59"/>
  <c r="AB13" i="59"/>
  <c r="B18" i="59"/>
  <c r="S18" i="59" s="1"/>
  <c r="E16" i="59"/>
  <c r="E17" i="59" s="1"/>
  <c r="E18" i="59" s="1"/>
  <c r="U18" i="59" s="1"/>
  <c r="B37" i="59"/>
  <c r="B38" i="59" s="1"/>
  <c r="S38" i="59" s="1"/>
  <c r="E38" i="59"/>
  <c r="U38" i="59" s="1"/>
  <c r="Z24" i="59"/>
  <c r="F21" i="59"/>
  <c r="F22" i="59" s="1"/>
  <c r="V22" i="59" s="1"/>
  <c r="F33" i="59"/>
  <c r="F34" i="59" s="1"/>
  <c r="V34" i="59" s="1"/>
  <c r="F41" i="59"/>
  <c r="F42" i="59" s="1"/>
  <c r="V42" i="59" s="1"/>
  <c r="F45" i="59"/>
  <c r="F46" i="59"/>
  <c r="V46" i="59" s="1"/>
  <c r="D24" i="59"/>
  <c r="C33" i="59"/>
  <c r="D33" i="59" s="1"/>
  <c r="D32" i="59"/>
  <c r="D36" i="59"/>
  <c r="C45" i="59"/>
  <c r="D45" i="59" s="1"/>
  <c r="C49" i="59"/>
  <c r="N53" i="59"/>
  <c r="Q53" i="59"/>
  <c r="T54" i="59"/>
  <c r="O54" i="59"/>
  <c r="D54" i="59"/>
  <c r="C53" i="59"/>
  <c r="O53" i="59" s="1"/>
  <c r="P54" i="59"/>
  <c r="U54" i="59"/>
  <c r="Q54" i="59"/>
  <c r="C57" i="59"/>
  <c r="C56" i="59" s="1"/>
  <c r="D56" i="59" s="1"/>
  <c r="E57" i="59"/>
  <c r="E56" i="59" s="1"/>
  <c r="D58" i="59"/>
  <c r="C61" i="59"/>
  <c r="E61" i="59"/>
  <c r="E60" i="59" s="1"/>
  <c r="D62" i="59"/>
  <c r="C65" i="59"/>
  <c r="D65" i="59" s="1"/>
  <c r="E65" i="59"/>
  <c r="E64" i="59" s="1"/>
  <c r="D66" i="59"/>
  <c r="C73" i="59"/>
  <c r="D73" i="59" s="1"/>
  <c r="U16" i="4"/>
  <c r="S16" i="4"/>
  <c r="Q16" i="4"/>
  <c r="O16" i="4"/>
  <c r="M16" i="4"/>
  <c r="K16" i="4"/>
  <c r="L16" i="4" s="1"/>
  <c r="C72" i="59"/>
  <c r="D72" i="59" s="1"/>
  <c r="D57" i="59"/>
  <c r="C52" i="59"/>
  <c r="D53" i="59"/>
  <c r="D61" i="59"/>
  <c r="C60" i="59"/>
  <c r="D60" i="59" s="1"/>
  <c r="N52" i="59"/>
  <c r="C46" i="59"/>
  <c r="T46" i="59" s="1"/>
  <c r="D37" i="59"/>
  <c r="D25" i="59"/>
  <c r="D46" i="59"/>
  <c r="D26" i="59"/>
  <c r="O27" i="6"/>
  <c r="N27" i="6"/>
  <c r="P26" i="6"/>
  <c r="L26" i="6"/>
  <c r="P25" i="6"/>
  <c r="L25" i="6"/>
  <c r="P24" i="6"/>
  <c r="L24" i="6"/>
  <c r="P23" i="6"/>
  <c r="L23" i="6"/>
  <c r="P22" i="6"/>
  <c r="L22" i="6"/>
  <c r="P21" i="6"/>
  <c r="L21" i="6"/>
  <c r="P20" i="6"/>
  <c r="P19" i="6"/>
  <c r="P27" i="6"/>
  <c r="Q18" i="36"/>
  <c r="Z18" i="36" s="1"/>
  <c r="C18" i="36"/>
  <c r="D66" i="36"/>
  <c r="F18" i="36"/>
  <c r="Q18" i="35"/>
  <c r="Z18" i="35" s="1"/>
  <c r="F18" i="35"/>
  <c r="AA18" i="35" s="1"/>
  <c r="C18" i="35"/>
  <c r="D68" i="35"/>
  <c r="E68" i="35"/>
  <c r="F68" i="35" s="1"/>
  <c r="G68" i="35" s="1"/>
  <c r="Q21" i="37"/>
  <c r="Z21" i="37" s="1"/>
  <c r="F21" i="37"/>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27" i="40"/>
  <c r="AA27" i="40" s="1"/>
  <c r="Q31" i="39"/>
  <c r="Z31" i="39" s="1"/>
  <c r="D105" i="39"/>
  <c r="E105" i="39" s="1"/>
  <c r="F105" i="39" s="1"/>
  <c r="F31" i="39"/>
  <c r="AA31" i="39" s="1"/>
  <c r="G20" i="20"/>
  <c r="B85" i="46" s="1"/>
  <c r="C22" i="20"/>
  <c r="B74" i="46" s="1"/>
  <c r="S18" i="35"/>
  <c r="S21" i="34"/>
  <c r="S21" i="21"/>
  <c r="S31" i="39"/>
  <c r="E66" i="36"/>
  <c r="H18" i="35"/>
  <c r="J18" i="35"/>
  <c r="H21" i="37"/>
  <c r="J21" i="37"/>
  <c r="E84" i="34"/>
  <c r="F84" i="34" s="1"/>
  <c r="G84" i="34" s="1"/>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c r="C63" i="39" s="1"/>
  <c r="H59" i="39"/>
  <c r="I59" i="39" s="1"/>
  <c r="C59" i="39" s="1"/>
  <c r="H67" i="39"/>
  <c r="I67" i="39" s="1"/>
  <c r="C67" i="39" s="1"/>
  <c r="H66" i="39"/>
  <c r="I66" i="39" s="1"/>
  <c r="C66" i="39" s="1"/>
  <c r="H65" i="39"/>
  <c r="I65" i="39"/>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G19" i="46"/>
  <c r="R32" i="31"/>
  <c r="S32" i="31" s="1"/>
  <c r="R33" i="31"/>
  <c r="S33" i="31" s="1"/>
  <c r="R34" i="31"/>
  <c r="S34" i="31" s="1"/>
  <c r="R35" i="3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R227" i="31"/>
  <c r="S227" i="31" s="1"/>
  <c r="R228" i="31"/>
  <c r="S228" i="31" s="1"/>
  <c r="R229" i="31"/>
  <c r="S229" i="31" s="1"/>
  <c r="R230" i="31"/>
  <c r="R231" i="31"/>
  <c r="S231" i="31" s="1"/>
  <c r="R232" i="31"/>
  <c r="S232" i="31" s="1"/>
  <c r="R233" i="31"/>
  <c r="S233" i="31" s="1"/>
  <c r="R234" i="31"/>
  <c r="R235" i="31"/>
  <c r="S235" i="31" s="1"/>
  <c r="R236" i="31"/>
  <c r="S236" i="31" s="1"/>
  <c r="R237" i="31"/>
  <c r="S237" i="31" s="1"/>
  <c r="R238" i="31"/>
  <c r="R239" i="31"/>
  <c r="S239" i="31" s="1"/>
  <c r="R240" i="31"/>
  <c r="S240" i="31" s="1"/>
  <c r="R241" i="31"/>
  <c r="S241" i="31" s="1"/>
  <c r="R242" i="31"/>
  <c r="R243" i="31"/>
  <c r="S243" i="31" s="1"/>
  <c r="R244" i="31"/>
  <c r="S244" i="31" s="1"/>
  <c r="R245" i="31"/>
  <c r="S245" i="31" s="1"/>
  <c r="R246" i="31"/>
  <c r="R247" i="31"/>
  <c r="S247" i="31" s="1"/>
  <c r="R248" i="31"/>
  <c r="S248" i="31" s="1"/>
  <c r="R249" i="31"/>
  <c r="S249" i="31" s="1"/>
  <c r="R250" i="31"/>
  <c r="R251" i="31"/>
  <c r="S251" i="31" s="1"/>
  <c r="R252" i="31"/>
  <c r="S252" i="31" s="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R281" i="31"/>
  <c r="S281" i="31" s="1"/>
  <c r="R282" i="31"/>
  <c r="R283" i="31"/>
  <c r="R284" i="31"/>
  <c r="S284" i="31" s="1"/>
  <c r="R285" i="31"/>
  <c r="S285" i="31" s="1"/>
  <c r="R286" i="31"/>
  <c r="R287" i="31"/>
  <c r="R288" i="31"/>
  <c r="S288" i="31" s="1"/>
  <c r="R289" i="31"/>
  <c r="S289" i="31" s="1"/>
  <c r="R290" i="31"/>
  <c r="R291" i="31"/>
  <c r="R292" i="31"/>
  <c r="S292" i="31" s="1"/>
  <c r="R293" i="31"/>
  <c r="S293" i="31" s="1"/>
  <c r="R294" i="31"/>
  <c r="R295" i="31"/>
  <c r="R296" i="31"/>
  <c r="S296" i="31" s="1"/>
  <c r="R297" i="31"/>
  <c r="S297" i="31" s="1"/>
  <c r="R298" i="31"/>
  <c r="R299" i="31"/>
  <c r="R300" i="31"/>
  <c r="S300" i="31" s="1"/>
  <c r="R301" i="31"/>
  <c r="S301" i="31" s="1"/>
  <c r="R302" i="31"/>
  <c r="R303" i="31"/>
  <c r="R304" i="31"/>
  <c r="S304" i="31" s="1"/>
  <c r="R305" i="31"/>
  <c r="S305" i="31" s="1"/>
  <c r="R306" i="31"/>
  <c r="R307" i="31"/>
  <c r="R308" i="31"/>
  <c r="S308" i="31" s="1"/>
  <c r="R309" i="31"/>
  <c r="S309" i="31" s="1"/>
  <c r="R310" i="31"/>
  <c r="R311" i="31"/>
  <c r="R312" i="31"/>
  <c r="S312" i="31" s="1"/>
  <c r="R313" i="31"/>
  <c r="S313" i="31" s="1"/>
  <c r="R314" i="31"/>
  <c r="R315" i="31"/>
  <c r="R316" i="31"/>
  <c r="S316" i="31" s="1"/>
  <c r="R317" i="31"/>
  <c r="S317" i="31" s="1"/>
  <c r="R318" i="31"/>
  <c r="R319" i="3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7" i="69" s="1"/>
  <c r="H61" i="49"/>
  <c r="H39" i="46"/>
  <c r="H38" i="46"/>
  <c r="H37" i="46"/>
  <c r="H36" i="46"/>
  <c r="H35" i="46"/>
  <c r="H34" i="46"/>
  <c r="H33" i="46"/>
  <c r="J20" i="46"/>
  <c r="C18" i="46"/>
  <c r="H17" i="46"/>
  <c r="F15" i="46"/>
  <c r="E15" i="46"/>
  <c r="D15" i="46"/>
  <c r="C15" i="46"/>
  <c r="C10" i="46"/>
  <c r="C11" i="46" s="1"/>
  <c r="C9" i="46"/>
  <c r="E19" i="6"/>
  <c r="E32" i="6"/>
  <c r="E20" i="6"/>
  <c r="E21" i="6"/>
  <c r="K8" i="1"/>
  <c r="M8" i="1" s="1"/>
  <c r="O8" i="1" s="1"/>
  <c r="P8" i="1" s="1"/>
  <c r="E22" i="6"/>
  <c r="E23" i="6"/>
  <c r="E24" i="6"/>
  <c r="E25" i="6"/>
  <c r="E26" i="6"/>
  <c r="D38" i="4"/>
  <c r="C39" i="4"/>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s="1"/>
  <c r="H40" i="39"/>
  <c r="AB40" i="39" s="1"/>
  <c r="H42" i="39"/>
  <c r="AB42" i="39"/>
  <c r="J10" i="39"/>
  <c r="AC10" i="39"/>
  <c r="J11" i="39"/>
  <c r="AC11" i="39"/>
  <c r="J36" i="39"/>
  <c r="AC36" i="39"/>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9" i="31"/>
  <c r="S318" i="31"/>
  <c r="S315" i="31"/>
  <c r="S314" i="31"/>
  <c r="S311" i="31"/>
  <c r="S310" i="31"/>
  <c r="S307" i="31"/>
  <c r="S306" i="31"/>
  <c r="S303" i="31"/>
  <c r="S302" i="31"/>
  <c r="S299" i="31"/>
  <c r="S298" i="31"/>
  <c r="S295" i="31"/>
  <c r="S294" i="31"/>
  <c r="S291" i="31"/>
  <c r="S290" i="31"/>
  <c r="S287" i="31"/>
  <c r="S286" i="31"/>
  <c r="S283" i="31"/>
  <c r="S282" i="31"/>
  <c r="S280" i="31"/>
  <c r="S278" i="31"/>
  <c r="S274" i="31"/>
  <c r="S270" i="31"/>
  <c r="S266" i="31"/>
  <c r="S262" i="31"/>
  <c r="S258" i="31"/>
  <c r="S254" i="31"/>
  <c r="S250" i="31"/>
  <c r="S246" i="31"/>
  <c r="S242" i="31"/>
  <c r="S238" i="31"/>
  <c r="S234" i="31"/>
  <c r="S230" i="31"/>
  <c r="S226" i="31"/>
  <c r="S215" i="31"/>
  <c r="S205" i="31"/>
  <c r="S191" i="31"/>
  <c r="S175" i="31"/>
  <c r="S159" i="31"/>
  <c r="S143" i="31"/>
  <c r="S127" i="31"/>
  <c r="S494" i="31"/>
  <c r="S490" i="31"/>
  <c r="S486" i="31"/>
  <c r="S482" i="31"/>
  <c r="S478" i="31"/>
  <c r="S474" i="31"/>
  <c r="S439" i="31"/>
  <c r="S119" i="31"/>
  <c r="S459" i="31"/>
  <c r="S51" i="31"/>
  <c r="S35" i="31"/>
  <c r="S63" i="31"/>
  <c r="S91" i="31"/>
  <c r="S99" i="31"/>
  <c r="S447"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C20" i="36"/>
  <c r="C20" i="35"/>
  <c r="C16" i="36"/>
  <c r="C16" i="35"/>
  <c r="C14" i="36"/>
  <c r="C14" i="35"/>
  <c r="B80" i="37"/>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B57" i="35"/>
  <c r="B61" i="35"/>
  <c r="B59" i="35"/>
  <c r="H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AC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c r="G126" i="34" s="1"/>
  <c r="D124" i="34"/>
  <c r="E124" i="34" s="1"/>
  <c r="F124" i="34"/>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F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C20" i="20"/>
  <c r="C18" i="20"/>
  <c r="C17" i="20"/>
  <c r="C16" i="20"/>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D81" i="21"/>
  <c r="E81" i="21"/>
  <c r="F81" i="21" s="1"/>
  <c r="G81" i="21" s="1"/>
  <c r="D77" i="21"/>
  <c r="E77" i="21"/>
  <c r="B130" i="21"/>
  <c r="B128" i="21"/>
  <c r="J45" i="21" s="1"/>
  <c r="W45" i="21" s="1"/>
  <c r="B126" i="21"/>
  <c r="B98" i="21"/>
  <c r="H31" i="21" s="1"/>
  <c r="B96" i="21"/>
  <c r="B94" i="21"/>
  <c r="J29" i="21" s="1"/>
  <c r="AC29" i="21" s="1"/>
  <c r="B92" i="21"/>
  <c r="B90" i="21"/>
  <c r="J27" i="21" s="1"/>
  <c r="W27" i="21" s="1"/>
  <c r="B74" i="21"/>
  <c r="B72" i="21"/>
  <c r="H13" i="21" s="1"/>
  <c r="U13" i="21" s="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B36" i="21"/>
  <c r="C29" i="39"/>
  <c r="C23" i="39"/>
  <c r="U36" i="39"/>
  <c r="S42" i="39"/>
  <c r="H32" i="33"/>
  <c r="AB32" i="33" s="1"/>
  <c r="H11" i="21"/>
  <c r="U11" i="21" s="1"/>
  <c r="J11" i="21"/>
  <c r="W11" i="21" s="1"/>
  <c r="F100" i="40"/>
  <c r="F86" i="40"/>
  <c r="G86" i="40" s="1"/>
  <c r="AA12" i="33"/>
  <c r="U9" i="21"/>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S38" i="33"/>
  <c r="E113" i="33"/>
  <c r="F36" i="33"/>
  <c r="S36" i="33" s="1"/>
  <c r="F19" i="33"/>
  <c r="S19" i="33" s="1"/>
  <c r="J19" i="33"/>
  <c r="S10" i="21"/>
  <c r="W40" i="33"/>
  <c r="AB30" i="36"/>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S44" i="34" s="1"/>
  <c r="J10" i="35"/>
  <c r="W10" i="35" s="1"/>
  <c r="AL5" i="3"/>
  <c r="BQ13" i="3"/>
  <c r="BL13"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AA45" i="21" s="1"/>
  <c r="J27" i="33"/>
  <c r="AC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AC30" i="21"/>
  <c r="W30" i="21"/>
  <c r="AB30" i="21"/>
  <c r="AA28" i="21"/>
  <c r="S46" i="33"/>
  <c r="U36" i="37"/>
  <c r="AC13" i="36"/>
  <c r="AB45" i="33"/>
  <c r="AB31"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c r="BQ482" i="3"/>
  <c r="BL482" i="3"/>
  <c r="BQ20" i="3"/>
  <c r="BL20" i="3"/>
  <c r="AZ20" i="3" s="1"/>
  <c r="BQ18" i="3"/>
  <c r="AZ501" i="3"/>
  <c r="S503" i="31"/>
  <c r="O27" i="31"/>
  <c r="O28" i="31"/>
  <c r="O26" i="31"/>
  <c r="M27" i="31"/>
  <c r="M28" i="31"/>
  <c r="M26" i="31"/>
  <c r="I26" i="31"/>
  <c r="I25" i="31"/>
  <c r="Q26" i="31"/>
  <c r="K26" i="31"/>
  <c r="I27" i="31"/>
  <c r="Q27" i="31"/>
  <c r="K27" i="31"/>
  <c r="I28" i="31"/>
  <c r="Q28" i="31"/>
  <c r="K28" i="31"/>
  <c r="AA12" i="21"/>
  <c r="S12" i="21"/>
  <c r="H25" i="21"/>
  <c r="U25" i="21" s="1"/>
  <c r="F25" i="21"/>
  <c r="S25" i="21" s="1"/>
  <c r="J25" i="21"/>
  <c r="AC25" i="21" s="1"/>
  <c r="E125" i="33"/>
  <c r="F125" i="33" s="1"/>
  <c r="G125" i="33" s="1"/>
  <c r="H43" i="33"/>
  <c r="U43" i="33" s="1"/>
  <c r="H17" i="37"/>
  <c r="U17" i="37" s="1"/>
  <c r="F23" i="37"/>
  <c r="F79" i="37"/>
  <c r="G79" i="37" s="1"/>
  <c r="AB27" i="37"/>
  <c r="F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F17" i="37"/>
  <c r="AA17" i="37" s="1"/>
  <c r="D3" i="21"/>
  <c r="AC33" i="36"/>
  <c r="AC12" i="35"/>
  <c r="W23" i="35"/>
  <c r="U39" i="37"/>
  <c r="AC8" i="37"/>
  <c r="S25" i="37"/>
  <c r="AC36" i="34"/>
  <c r="AB8" i="34"/>
  <c r="AC37" i="33"/>
  <c r="AA13" i="33"/>
  <c r="AC45" i="33"/>
  <c r="U19" i="21"/>
  <c r="AC33" i="21"/>
  <c r="AA36" i="21"/>
  <c r="F43" i="33"/>
  <c r="AA43" i="33" s="1"/>
  <c r="AB44" i="33"/>
  <c r="G107" i="37"/>
  <c r="H107" i="37"/>
  <c r="I107" i="37" s="1"/>
  <c r="J107" i="37" s="1"/>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J15" i="37"/>
  <c r="W15" i="37" s="1"/>
  <c r="U12" i="37"/>
  <c r="AB10" i="37"/>
  <c r="J11" i="37"/>
  <c r="W11" i="37" s="1"/>
  <c r="E90" i="40"/>
  <c r="F90" i="40" s="1"/>
  <c r="G90" i="40" s="1"/>
  <c r="F21" i="40"/>
  <c r="S21" i="40" s="1"/>
  <c r="W36" i="40"/>
  <c r="J21" i="40"/>
  <c r="AC21" i="40" s="1"/>
  <c r="G483" i="3"/>
  <c r="G515" i="3"/>
  <c r="G507" i="3"/>
  <c r="G501"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AZ361" i="3" s="1"/>
  <c r="BL361" i="3"/>
  <c r="G362" i="3"/>
  <c r="BA363" i="3"/>
  <c r="G371" i="3"/>
  <c r="BL372" i="3"/>
  <c r="G373" i="3"/>
  <c r="BL374" i="3"/>
  <c r="BA376" i="3"/>
  <c r="AZ376" i="3" s="1"/>
  <c r="BA377" i="3"/>
  <c r="BL377" i="3"/>
  <c r="G378" i="3"/>
  <c r="BA379" i="3"/>
  <c r="BA114" i="3"/>
  <c r="AZ114" i="3" s="1"/>
  <c r="BL115" i="3"/>
  <c r="AZ115" i="3" s="1"/>
  <c r="G116" i="3"/>
  <c r="BA118" i="3"/>
  <c r="AZ118" i="3" s="1"/>
  <c r="BL119" i="3"/>
  <c r="AZ119" i="3" s="1"/>
  <c r="G120" i="3"/>
  <c r="BA122" i="3"/>
  <c r="AZ122" i="3" s="1"/>
  <c r="BL123" i="3"/>
  <c r="AZ123" i="3" s="1"/>
  <c r="G124" i="3"/>
  <c r="BA126" i="3"/>
  <c r="BL127" i="3"/>
  <c r="G128" i="3"/>
  <c r="BA130" i="3"/>
  <c r="AZ130" i="3" s="1"/>
  <c r="BL131" i="3"/>
  <c r="AZ131" i="3" s="1"/>
  <c r="G132" i="3"/>
  <c r="BA134" i="3"/>
  <c r="AZ134" i="3" s="1"/>
  <c r="BL135" i="3"/>
  <c r="AZ135" i="3" s="1"/>
  <c r="G136" i="3"/>
  <c r="BA138" i="3"/>
  <c r="AZ138" i="3" s="1"/>
  <c r="BL139" i="3"/>
  <c r="AZ139" i="3" s="1"/>
  <c r="G140" i="3"/>
  <c r="BA142" i="3"/>
  <c r="BL143" i="3"/>
  <c r="AZ143" i="3" s="1"/>
  <c r="G144" i="3"/>
  <c r="BA146" i="3"/>
  <c r="AZ146" i="3" s="1"/>
  <c r="BL147" i="3"/>
  <c r="AZ147" i="3" s="1"/>
  <c r="G148" i="3"/>
  <c r="BA150" i="3"/>
  <c r="AZ150" i="3"/>
  <c r="BL151" i="3"/>
  <c r="AZ151" i="3"/>
  <c r="BA153" i="3"/>
  <c r="AZ153" i="3"/>
  <c r="BL154" i="3"/>
  <c r="G155" i="3"/>
  <c r="BA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5" i="3"/>
  <c r="AZ43" i="3"/>
  <c r="AZ51" i="3"/>
  <c r="AZ59" i="3"/>
  <c r="G537" i="3"/>
  <c r="BL181" i="3"/>
  <c r="G182" i="3"/>
  <c r="BA184" i="3"/>
  <c r="AZ184" i="3" s="1"/>
  <c r="BL185" i="3"/>
  <c r="G186" i="3"/>
  <c r="BA188" i="3"/>
  <c r="AZ188" i="3" s="1"/>
  <c r="BL189" i="3"/>
  <c r="G190" i="3"/>
  <c r="BA192" i="3"/>
  <c r="AZ192" i="3" s="1"/>
  <c r="BL193" i="3"/>
  <c r="AZ193" i="3" s="1"/>
  <c r="G194" i="3"/>
  <c r="BA196" i="3"/>
  <c r="AZ196" i="3" s="1"/>
  <c r="BL197" i="3"/>
  <c r="G198" i="3"/>
  <c r="BA200" i="3"/>
  <c r="AZ200" i="3" s="1"/>
  <c r="BL201" i="3"/>
  <c r="AZ201" i="3" s="1"/>
  <c r="AZ66" i="3"/>
  <c r="AZ70" i="3"/>
  <c r="AZ74" i="3"/>
  <c r="AZ78" i="3"/>
  <c r="AZ82" i="3"/>
  <c r="AZ185" i="3"/>
  <c r="AZ84" i="3"/>
  <c r="AZ86"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BA381" i="3"/>
  <c r="BL381" i="3"/>
  <c r="G382" i="3"/>
  <c r="G385" i="3"/>
  <c r="AZ154" i="3"/>
  <c r="AZ158" i="3"/>
  <c r="AZ162" i="3"/>
  <c r="AZ174" i="3"/>
  <c r="AZ179" i="3"/>
  <c r="AZ183" i="3"/>
  <c r="AZ191" i="3"/>
  <c r="AZ199"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AZ357" i="3" s="1"/>
  <c r="G358" i="3"/>
  <c r="BA362" i="3"/>
  <c r="AZ362" i="3" s="1"/>
  <c r="BL363" i="3"/>
  <c r="G364" i="3"/>
  <c r="BA366" i="3"/>
  <c r="BL367" i="3"/>
  <c r="AZ367" i="3" s="1"/>
  <c r="AZ205" i="3"/>
  <c r="AZ209" i="3"/>
  <c r="AZ221" i="3"/>
  <c r="AZ225" i="3"/>
  <c r="AZ237" i="3"/>
  <c r="AZ241" i="3"/>
  <c r="AZ321" i="3"/>
  <c r="AZ341" i="3"/>
  <c r="AZ353"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303" i="3"/>
  <c r="AZ313" i="3"/>
  <c r="AZ319" i="3"/>
  <c r="AZ335" i="3"/>
  <c r="AZ351" i="3"/>
  <c r="AZ369" i="3"/>
  <c r="AZ394" i="3"/>
  <c r="AZ410" i="3"/>
  <c r="AZ418" i="3"/>
  <c r="AZ426" i="3"/>
  <c r="AZ430" i="3"/>
  <c r="AZ442" i="3"/>
  <c r="AZ450" i="3"/>
  <c r="AZ455" i="3"/>
  <c r="AZ467" i="3"/>
  <c r="AZ471" i="3"/>
  <c r="H7" i="48"/>
  <c r="H113" i="46"/>
  <c r="F33"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s="1"/>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c r="F34" i="39"/>
  <c r="AA34" i="39"/>
  <c r="H34" i="39"/>
  <c r="AB34" i="39"/>
  <c r="J34" i="39"/>
  <c r="AC34" i="39"/>
  <c r="F39" i="39"/>
  <c r="H39" i="39"/>
  <c r="AB39" i="39" s="1"/>
  <c r="J39" i="39"/>
  <c r="AC39" i="39" s="1"/>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BL509" i="3"/>
  <c r="AZ509" i="3"/>
  <c r="BL507" i="3"/>
  <c r="BA507" i="3"/>
  <c r="AZ507" i="3" s="1"/>
  <c r="BL506" i="3"/>
  <c r="BA506" i="3"/>
  <c r="AZ506" i="3" s="1"/>
  <c r="BL505" i="3"/>
  <c r="AZ505" i="3" s="1"/>
  <c r="BL504" i="3"/>
  <c r="BA504" i="3"/>
  <c r="BA503" i="3"/>
  <c r="AZ503" i="3" s="1"/>
  <c r="BA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AZ486" i="3" s="1"/>
  <c r="BA485" i="3"/>
  <c r="AZ485" i="3"/>
  <c r="BA483" i="3"/>
  <c r="AZ483" i="3"/>
  <c r="BA482" i="3"/>
  <c r="AZ482" i="3"/>
  <c r="BL481" i="3"/>
  <c r="BJ5" i="3"/>
  <c r="BA481" i="3"/>
  <c r="AZ481" i="3"/>
  <c r="BB5" i="3"/>
  <c r="BL19" i="3"/>
  <c r="AZ19" i="3" s="1"/>
  <c r="BA18" i="3"/>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7" i="3"/>
  <c r="AZ423" i="3"/>
  <c r="AZ454" i="3"/>
  <c r="B41" i="1"/>
  <c r="F34" i="44" s="1"/>
  <c r="J42" i="40"/>
  <c r="AC42" i="40" s="1"/>
  <c r="J40" i="40"/>
  <c r="AC40" i="40" s="1"/>
  <c r="J34" i="40"/>
  <c r="AC34" i="40" s="1"/>
  <c r="H16" i="40"/>
  <c r="AB16" i="40" s="1"/>
  <c r="H14" i="40"/>
  <c r="U14" i="40" s="1"/>
  <c r="F32" i="40"/>
  <c r="AA32" i="40" s="1"/>
  <c r="AZ428" i="3"/>
  <c r="AZ441" i="3"/>
  <c r="AZ444" i="3"/>
  <c r="AZ449" i="3"/>
  <c r="AZ452" i="3"/>
  <c r="M1" i="46"/>
  <c r="M6" i="46"/>
  <c r="M10" i="46"/>
  <c r="N2" i="46"/>
  <c r="N5" i="46"/>
  <c r="F58" i="46"/>
  <c r="H61" i="46" s="1"/>
  <c r="F47" i="46"/>
  <c r="H49" i="46" s="1"/>
  <c r="N7" i="46"/>
  <c r="AZ456" i="3"/>
  <c r="AZ458" i="3"/>
  <c r="AZ469" i="3"/>
  <c r="AZ474" i="3"/>
  <c r="AZ207" i="3"/>
  <c r="AZ212" i="3"/>
  <c r="AZ223" i="3"/>
  <c r="AZ228" i="3"/>
  <c r="AZ239" i="3"/>
  <c r="AZ244" i="3"/>
  <c r="AZ255" i="3"/>
  <c r="AZ260" i="3"/>
  <c r="AZ273" i="3"/>
  <c r="AZ276" i="3"/>
  <c r="AZ289" i="3"/>
  <c r="AZ292" i="3"/>
  <c r="AZ121" i="3"/>
  <c r="AZ137" i="3"/>
  <c r="AZ152" i="3"/>
  <c r="M7" i="46"/>
  <c r="M11" i="46"/>
  <c r="N3" i="46"/>
  <c r="N6" i="46"/>
  <c r="N10" i="46"/>
  <c r="F69" i="46" s="1"/>
  <c r="H71" i="46" s="1"/>
  <c r="AZ167" i="3"/>
  <c r="AZ177" i="3"/>
  <c r="AZ24" i="3"/>
  <c r="AZ40" i="3"/>
  <c r="AZ56" i="3"/>
  <c r="AZ63" i="3"/>
  <c r="AZ71" i="3"/>
  <c r="AZ99" i="3"/>
  <c r="AZ107" i="3"/>
  <c r="J13" i="40"/>
  <c r="W13" i="40" s="1"/>
  <c r="AB14" i="40"/>
  <c r="W40" i="40"/>
  <c r="F27" i="43"/>
  <c r="F72" i="9"/>
  <c r="W35" i="40"/>
  <c r="AB32" i="40"/>
  <c r="AC47" i="39"/>
  <c r="S47" i="39"/>
  <c r="AB25" i="39"/>
  <c r="U37" i="34"/>
  <c r="AC41" i="40"/>
  <c r="W41" i="40"/>
  <c r="U41" i="40"/>
  <c r="J23" i="40"/>
  <c r="AC23" i="40" s="1"/>
  <c r="F23" i="40"/>
  <c r="S23" i="40" s="1"/>
  <c r="AC15" i="40"/>
  <c r="W27" i="39"/>
  <c r="S23" i="39"/>
  <c r="AB16" i="39"/>
  <c r="W14" i="39"/>
  <c r="U23" i="35"/>
  <c r="AB23" i="35"/>
  <c r="H20" i="35"/>
  <c r="U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B37" i="39"/>
  <c r="AA29" i="35"/>
  <c r="J29" i="39"/>
  <c r="AC29" i="39" s="1"/>
  <c r="AB21" i="39"/>
  <c r="U21" i="39"/>
  <c r="AB17" i="39"/>
  <c r="AB33" i="36"/>
  <c r="AA11" i="36"/>
  <c r="AA14" i="35"/>
  <c r="S14" i="35"/>
  <c r="G99" i="37"/>
  <c r="F33" i="37"/>
  <c r="AA33" i="37" s="1"/>
  <c r="AB19" i="39"/>
  <c r="U19" i="39"/>
  <c r="U46" i="34"/>
  <c r="AC30" i="34"/>
  <c r="AA14" i="34"/>
  <c r="W12" i="34"/>
  <c r="U29" i="33"/>
  <c r="AC13" i="33"/>
  <c r="U17" i="34"/>
  <c r="AA11" i="34"/>
  <c r="W32" i="33"/>
  <c r="H15" i="33"/>
  <c r="U15" i="33" s="1"/>
  <c r="AA11" i="33"/>
  <c r="AA40" i="21"/>
  <c r="U17" i="21"/>
  <c r="S13" i="39"/>
  <c r="AA13" i="39"/>
  <c r="U16" i="40"/>
  <c r="W34" i="40"/>
  <c r="AB34" i="40"/>
  <c r="AB42" i="40"/>
  <c r="AC16"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c r="AC36" i="33"/>
  <c r="F25" i="40"/>
  <c r="AA25" i="40"/>
  <c r="J11" i="33"/>
  <c r="W11" i="33"/>
  <c r="H33" i="37"/>
  <c r="AB33" i="37"/>
  <c r="W15" i="34"/>
  <c r="AC15" i="34"/>
  <c r="AB20" i="35"/>
  <c r="W23" i="40"/>
  <c r="AP11" i="1"/>
  <c r="B11" i="1"/>
  <c r="E11" i="1"/>
  <c r="K11" i="1"/>
  <c r="M11" i="1" s="1"/>
  <c r="B9" i="1"/>
  <c r="E9" i="1" s="1"/>
  <c r="K9" i="1"/>
  <c r="M9" i="1" s="1"/>
  <c r="B7" i="1"/>
  <c r="E7" i="1" s="1"/>
  <c r="K7" i="1"/>
  <c r="M7" i="1" s="1"/>
  <c r="C20" i="43"/>
  <c r="F6" i="1"/>
  <c r="AP6" i="1" s="1"/>
  <c r="G11" i="1"/>
  <c r="M22" i="44"/>
  <c r="F32" i="15"/>
  <c r="F59" i="15" s="1"/>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S25" i="34" s="1"/>
  <c r="J23" i="34"/>
  <c r="F86" i="34"/>
  <c r="G86" i="34" s="1"/>
  <c r="F23" i="34"/>
  <c r="S23" i="34" s="1"/>
  <c r="H23" i="34"/>
  <c r="W17" i="34"/>
  <c r="AC11" i="34"/>
  <c r="U11" i="34"/>
  <c r="W10" i="34"/>
  <c r="U10"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B23" i="21" s="1"/>
  <c r="AA17" i="21"/>
  <c r="W17" i="21"/>
  <c r="F15" i="21"/>
  <c r="S15" i="21" s="1"/>
  <c r="F77" i="21"/>
  <c r="G77" i="21" s="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s="1"/>
  <c r="H37" i="40"/>
  <c r="G113" i="40"/>
  <c r="H113" i="40" s="1"/>
  <c r="I113" i="40"/>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96" i="9"/>
  <c r="F28" i="15"/>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E58" i="69" s="1"/>
  <c r="BD5" i="3"/>
  <c r="BR5" i="3"/>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B6" i="63" s="1"/>
  <c r="C51" i="10"/>
  <c r="A9" i="64" s="1"/>
  <c r="H58" i="46"/>
  <c r="I100" i="46"/>
  <c r="C24" i="46"/>
  <c r="N100" i="46"/>
  <c r="H100" i="46"/>
  <c r="F108" i="46"/>
  <c r="H80" i="46"/>
  <c r="B45" i="46"/>
  <c r="E100" i="46"/>
  <c r="G100" i="46"/>
  <c r="H84" i="46"/>
  <c r="C100" i="46"/>
  <c r="J100" i="46"/>
  <c r="M100" i="46"/>
  <c r="AA12" i="36"/>
  <c r="U12" i="35"/>
  <c r="AB12" i="35"/>
  <c r="W11" i="35"/>
  <c r="AA11" i="35"/>
  <c r="S14" i="37"/>
  <c r="U13" i="37"/>
  <c r="C24" i="9"/>
  <c r="C25" i="9"/>
  <c r="G9" i="1"/>
  <c r="G8" i="1"/>
  <c r="I20" i="46"/>
  <c r="L5" i="54"/>
  <c r="B39" i="63" s="1"/>
  <c r="K5" i="54"/>
  <c r="B38" i="63" s="1"/>
  <c r="T41" i="4"/>
  <c r="C46" i="36"/>
  <c r="C59" i="34"/>
  <c r="C48" i="35"/>
  <c r="D48" i="35" s="1"/>
  <c r="C52" i="37"/>
  <c r="D52" i="37" s="1"/>
  <c r="J7" i="33"/>
  <c r="AC7" i="33" s="1"/>
  <c r="V48" i="33" s="1"/>
  <c r="I48" i="33" s="1"/>
  <c r="I52" i="33" s="1"/>
  <c r="J52" i="33" s="1"/>
  <c r="C72" i="39"/>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W25" i="21"/>
  <c r="AA25" i="21"/>
  <c r="AC37" i="21"/>
  <c r="U27" i="21"/>
  <c r="W31" i="21"/>
  <c r="S27" i="21"/>
  <c r="AA15" i="21"/>
  <c r="AC27" i="21"/>
  <c r="W29" i="21"/>
  <c r="G96" i="40"/>
  <c r="J27" i="40"/>
  <c r="W27" i="40" s="1"/>
  <c r="W37" i="40"/>
  <c r="S17" i="40"/>
  <c r="W30" i="40"/>
  <c r="S34" i="40"/>
  <c r="U17" i="40"/>
  <c r="U38"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W25" i="34"/>
  <c r="AC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E58" i="39"/>
  <c r="E53" i="40"/>
  <c r="F27" i="6"/>
  <c r="E5" i="6"/>
  <c r="D21" i="12" s="1"/>
  <c r="C21" i="12" s="1"/>
  <c r="AT6" i="3"/>
  <c r="AZ13" i="3"/>
  <c r="G29" i="6"/>
  <c r="AZ16" i="3"/>
  <c r="A9" i="51"/>
  <c r="B9" i="63" s="1"/>
  <c r="A3" i="55"/>
  <c r="B56" i="63" s="1"/>
  <c r="D72" i="39"/>
  <c r="W7" i="33"/>
  <c r="G66" i="36"/>
  <c r="J18" i="36"/>
  <c r="AC18" i="36" s="1"/>
  <c r="AE8" i="1"/>
  <c r="AE7" i="1"/>
  <c r="AG6" i="1"/>
  <c r="L20" i="6"/>
  <c r="L19" i="6"/>
  <c r="F7" i="21"/>
  <c r="AA7" i="21" s="1"/>
  <c r="R48" i="21" s="1"/>
  <c r="J7" i="21"/>
  <c r="AC7" i="21" s="1"/>
  <c r="V48" i="21" s="1"/>
  <c r="I48" i="21" s="1"/>
  <c r="H7" i="21"/>
  <c r="AB7" i="21" s="1"/>
  <c r="T48" i="21" s="1"/>
  <c r="G48" i="21" s="1"/>
  <c r="E72" i="39"/>
  <c r="F70" i="39"/>
  <c r="F72" i="39" s="1"/>
  <c r="S7" i="1"/>
  <c r="S8" i="1"/>
  <c r="S9" i="1"/>
  <c r="G70" i="39"/>
  <c r="H70" i="39" s="1"/>
  <c r="R9" i="1"/>
  <c r="R7" i="1"/>
  <c r="R8" i="1"/>
  <c r="C45" i="9"/>
  <c r="H14" i="66" s="1"/>
  <c r="B7" i="66" s="1"/>
  <c r="E10" i="67"/>
  <c r="F7" i="15"/>
  <c r="E8" i="67"/>
  <c r="M28" i="44"/>
  <c r="M31" i="44"/>
  <c r="F38" i="15"/>
  <c r="F9" i="15"/>
  <c r="F14" i="67"/>
  <c r="E14" i="67"/>
  <c r="F11" i="44"/>
  <c r="M6" i="15"/>
  <c r="M28" i="15"/>
  <c r="F37" i="44"/>
  <c r="F45" i="44"/>
  <c r="E11" i="67"/>
  <c r="M24" i="15"/>
  <c r="M11" i="44"/>
  <c r="F10" i="67"/>
  <c r="L49" i="44"/>
  <c r="N5" i="65"/>
  <c r="F10" i="44"/>
  <c r="M10" i="44"/>
  <c r="M8" i="44"/>
  <c r="F46" i="44"/>
  <c r="F8" i="44"/>
  <c r="F6" i="15"/>
  <c r="J15" i="15"/>
  <c r="B14" i="67"/>
  <c r="F28" i="44"/>
  <c r="F13" i="15"/>
  <c r="M23" i="15"/>
  <c r="F16" i="15"/>
  <c r="B8" i="67"/>
  <c r="J36" i="15"/>
  <c r="F40" i="15"/>
  <c r="M25" i="44"/>
  <c r="N6" i="65"/>
  <c r="B11" i="67"/>
  <c r="L48" i="15"/>
  <c r="E12" i="67"/>
  <c r="N4" i="65"/>
  <c r="F26" i="15"/>
  <c r="F43" i="15"/>
  <c r="F37" i="15"/>
  <c r="M9" i="15"/>
  <c r="F36" i="15"/>
  <c r="F38" i="44"/>
  <c r="C19" i="44"/>
  <c r="F40" i="44"/>
  <c r="B13" i="67"/>
  <c r="N7" i="65"/>
  <c r="M27" i="15"/>
  <c r="F15" i="44"/>
  <c r="L47" i="15"/>
  <c r="F8" i="15"/>
  <c r="M30" i="44"/>
  <c r="B9" i="67"/>
  <c r="F11" i="67"/>
  <c r="M26" i="15"/>
  <c r="F9" i="67"/>
  <c r="B10" i="67"/>
  <c r="N3" i="65"/>
  <c r="M8" i="15"/>
  <c r="F42" i="15"/>
  <c r="F39" i="44"/>
  <c r="F13" i="67"/>
  <c r="B12" i="67"/>
  <c r="L48" i="44"/>
  <c r="M23" i="44"/>
  <c r="F43" i="44"/>
  <c r="F18" i="44"/>
  <c r="M24" i="44"/>
  <c r="M29" i="15"/>
  <c r="F12" i="67"/>
  <c r="F8" i="67"/>
  <c r="J17" i="44"/>
  <c r="F9" i="44"/>
  <c r="M26" i="44"/>
  <c r="E13" i="67"/>
  <c r="M22" i="15"/>
  <c r="M29" i="44"/>
  <c r="E9" i="67"/>
  <c r="C18" i="9" l="1"/>
  <c r="L27" i="6"/>
  <c r="AC27" i="40"/>
  <c r="AB31" i="37"/>
  <c r="U31" i="37"/>
  <c r="S23" i="37"/>
  <c r="AA23" i="37"/>
  <c r="AZ500" i="3"/>
  <c r="AZ510" i="3"/>
  <c r="AZ552" i="3"/>
  <c r="AZ492" i="3"/>
  <c r="AZ544" i="3"/>
  <c r="F29" i="6"/>
  <c r="E29" i="6" s="1"/>
  <c r="K15" i="1" s="1"/>
  <c r="S17" i="34"/>
  <c r="AZ490" i="3"/>
  <c r="AZ504" i="3"/>
  <c r="AZ517" i="3"/>
  <c r="AZ537" i="3"/>
  <c r="AZ539" i="3"/>
  <c r="AZ548" i="3"/>
  <c r="AZ568" i="3"/>
  <c r="AZ377" i="3"/>
  <c r="AB43" i="33"/>
  <c r="W23" i="37"/>
  <c r="AC23" i="37"/>
  <c r="AA39" i="33"/>
  <c r="S39" i="33"/>
  <c r="AZ484" i="3"/>
  <c r="AC14" i="21"/>
  <c r="S38" i="37"/>
  <c r="AA38" i="37"/>
  <c r="AB30" i="33"/>
  <c r="U30" i="33"/>
  <c r="AC42" i="21"/>
  <c r="W42" i="21"/>
  <c r="W28" i="34"/>
  <c r="AC28" i="34"/>
  <c r="U9" i="34"/>
  <c r="AZ572" i="3"/>
  <c r="U31" i="21"/>
  <c r="AB31" i="21"/>
  <c r="U27" i="33"/>
  <c r="AB27" i="33"/>
  <c r="B69" i="46"/>
  <c r="C17" i="69"/>
  <c r="B58" i="46"/>
  <c r="C21" i="69"/>
  <c r="B76" i="46"/>
  <c r="C27" i="69"/>
  <c r="AZ356" i="3"/>
  <c r="AZ345" i="3"/>
  <c r="AZ340" i="3"/>
  <c r="AZ329" i="3"/>
  <c r="AZ324" i="3"/>
  <c r="AZ305" i="3"/>
  <c r="AZ381" i="3"/>
  <c r="AZ359" i="3"/>
  <c r="AZ358" i="3"/>
  <c r="AZ355" i="3"/>
  <c r="AZ307" i="3"/>
  <c r="AZ502" i="3"/>
  <c r="AZ550" i="3"/>
  <c r="AZ562" i="3"/>
  <c r="AZ569" i="3"/>
  <c r="F27" i="33"/>
  <c r="S27" i="33" s="1"/>
  <c r="H45" i="21"/>
  <c r="F29" i="21"/>
  <c r="F13" i="21"/>
  <c r="AC34" i="36"/>
  <c r="AC35" i="21"/>
  <c r="W9" i="34"/>
  <c r="BA570" i="3"/>
  <c r="AZ570" i="3" s="1"/>
  <c r="BT5" i="3"/>
  <c r="G28" i="6" s="1"/>
  <c r="BI5" i="3"/>
  <c r="BG5" i="3"/>
  <c r="B47" i="46"/>
  <c r="C19" i="69"/>
  <c r="B70" i="46"/>
  <c r="C23" i="69"/>
  <c r="B73" i="46"/>
  <c r="C29" i="69"/>
  <c r="F9" i="35"/>
  <c r="BL390" i="3"/>
  <c r="AZ390" i="3" s="1"/>
  <c r="G393" i="3"/>
  <c r="BL393" i="3"/>
  <c r="G396" i="3"/>
  <c r="BL396" i="3"/>
  <c r="BA397" i="3"/>
  <c r="AZ397" i="3" s="1"/>
  <c r="BA398" i="3"/>
  <c r="AZ398" i="3" s="1"/>
  <c r="BA399" i="3"/>
  <c r="AZ399" i="3" s="1"/>
  <c r="BL401" i="3"/>
  <c r="AZ401"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39" i="3"/>
  <c r="G441" i="3"/>
  <c r="G442" i="3"/>
  <c r="G443" i="3"/>
  <c r="BL443" i="3"/>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568" i="3"/>
  <c r="G553" i="3"/>
  <c r="G548" i="3"/>
  <c r="G541" i="3"/>
  <c r="G533" i="3"/>
  <c r="G527" i="3"/>
  <c r="G519" i="3"/>
  <c r="G509" i="3"/>
  <c r="G503" i="3"/>
  <c r="G495" i="3"/>
  <c r="G486" i="3"/>
  <c r="G14" i="3"/>
  <c r="J52" i="40"/>
  <c r="AZ406" i="3"/>
  <c r="AZ409" i="3"/>
  <c r="AZ443" i="3"/>
  <c r="AZ451" i="3"/>
  <c r="AZ457" i="3"/>
  <c r="AZ470" i="3"/>
  <c r="AZ473" i="3"/>
  <c r="AZ318" i="3"/>
  <c r="AZ334" i="3"/>
  <c r="AZ350" i="3"/>
  <c r="AZ208" i="3"/>
  <c r="AZ211" i="3"/>
  <c r="AZ224" i="3"/>
  <c r="AZ227" i="3"/>
  <c r="AZ240" i="3"/>
  <c r="AZ243" i="3"/>
  <c r="AZ256" i="3"/>
  <c r="AZ259" i="3"/>
  <c r="AZ279" i="3"/>
  <c r="AZ291" i="3"/>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G152" i="3"/>
  <c r="G153"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BA21" i="3"/>
  <c r="BL23" i="3"/>
  <c r="AZ23" i="3" s="1"/>
  <c r="G26" i="3"/>
  <c r="BL26" i="3"/>
  <c r="G29" i="3"/>
  <c r="BL29" i="3"/>
  <c r="BA30" i="3"/>
  <c r="AZ30" i="3" s="1"/>
  <c r="BA31" i="3"/>
  <c r="AZ31" i="3" s="1"/>
  <c r="BA32" i="3"/>
  <c r="AZ32" i="3" s="1"/>
  <c r="G35" i="3"/>
  <c r="G36" i="3"/>
  <c r="BL36" i="3"/>
  <c r="BA37" i="3"/>
  <c r="AZ37" i="3" s="1"/>
  <c r="BL39" i="3"/>
  <c r="AZ39" i="3" s="1"/>
  <c r="G42" i="3"/>
  <c r="BL42" i="3"/>
  <c r="G45" i="3"/>
  <c r="BL45" i="3"/>
  <c r="AZ45" i="3" s="1"/>
  <c r="BA46" i="3"/>
  <c r="AZ46" i="3" s="1"/>
  <c r="BA47" i="3"/>
  <c r="AZ47" i="3" s="1"/>
  <c r="BA48" i="3"/>
  <c r="AZ48" i="3" s="1"/>
  <c r="G51" i="3"/>
  <c r="G52" i="3"/>
  <c r="BL52" i="3"/>
  <c r="BA53" i="3"/>
  <c r="AZ53" i="3" s="1"/>
  <c r="BL55" i="3"/>
  <c r="AZ55" i="3" s="1"/>
  <c r="G58" i="3"/>
  <c r="BL58" i="3"/>
  <c r="AZ58" i="3" s="1"/>
  <c r="G61" i="3"/>
  <c r="BL61" i="3"/>
  <c r="G62" i="3"/>
  <c r="BL62" i="3"/>
  <c r="G65" i="3"/>
  <c r="BL65" i="3"/>
  <c r="AZ65" i="3" s="1"/>
  <c r="AZ176" i="3"/>
  <c r="AZ182" i="3"/>
  <c r="AZ190" i="3"/>
  <c r="AZ198" i="3"/>
  <c r="AZ26" i="3"/>
  <c r="AZ29" i="3"/>
  <c r="AZ36" i="3"/>
  <c r="AZ42" i="3"/>
  <c r="AZ52" i="3"/>
  <c r="AZ61" i="3"/>
  <c r="AZ85" i="3"/>
  <c r="G68" i="3"/>
  <c r="BL68" i="3"/>
  <c r="G70" i="3"/>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BA100" i="3"/>
  <c r="AZ100" i="3" s="1"/>
  <c r="BL102" i="3"/>
  <c r="AZ102" i="3" s="1"/>
  <c r="BA103" i="3"/>
  <c r="AZ103" i="3" s="1"/>
  <c r="G106" i="3"/>
  <c r="G107" i="3"/>
  <c r="G108" i="3"/>
  <c r="BL108" i="3"/>
  <c r="BA109" i="3"/>
  <c r="AZ109" i="3" s="1"/>
  <c r="BA110" i="3"/>
  <c r="AZ110" i="3" s="1"/>
  <c r="BL112" i="3"/>
  <c r="AZ112" i="3" s="1"/>
  <c r="K13" i="1"/>
  <c r="M13" i="1" s="1"/>
  <c r="I10" i="57"/>
  <c r="AA18" i="36"/>
  <c r="S18" i="36"/>
  <c r="C50" i="59"/>
  <c r="D49" i="59"/>
  <c r="D40" i="59"/>
  <c r="C41" i="59"/>
  <c r="N54" i="59"/>
  <c r="S54" i="59"/>
  <c r="P53" i="59"/>
  <c r="E52" i="59"/>
  <c r="D70" i="59"/>
  <c r="C69" i="59"/>
  <c r="AZ108" i="3"/>
  <c r="C42" i="1"/>
  <c r="C9" i="69"/>
  <c r="C70" i="69" s="1"/>
  <c r="B65" i="46"/>
  <c r="C31" i="69"/>
  <c r="C31" i="39"/>
  <c r="AA21" i="37"/>
  <c r="S21" i="37"/>
  <c r="O52" i="59"/>
  <c r="D52" i="59"/>
  <c r="C64" i="59"/>
  <c r="D64" i="59" s="1"/>
  <c r="C16" i="59"/>
  <c r="D16" i="59" s="1"/>
  <c r="Y13" i="59"/>
  <c r="Z13" i="59" s="1"/>
  <c r="C29" i="59"/>
  <c r="D28" i="59"/>
  <c r="X12" i="59"/>
  <c r="AA13" i="59"/>
  <c r="AB11" i="59"/>
  <c r="E9" i="59"/>
  <c r="E8" i="59" s="1"/>
  <c r="E7" i="59" s="1"/>
  <c r="E6" i="59" s="1"/>
  <c r="U10" i="59"/>
  <c r="J51" i="15"/>
  <c r="X20" i="59"/>
  <c r="AA20" i="59"/>
  <c r="X21" i="59"/>
  <c r="AA21" i="59"/>
  <c r="X22" i="59"/>
  <c r="AA22" i="59"/>
  <c r="N76" i="9"/>
  <c r="L76" i="9"/>
  <c r="W40" i="39"/>
  <c r="U40" i="39"/>
  <c r="S40" i="39"/>
  <c r="M20" i="15"/>
  <c r="F36" i="44"/>
  <c r="D23" i="15"/>
  <c r="D12" i="11"/>
  <c r="C12" i="11" s="1"/>
  <c r="G5" i="3"/>
  <c r="B3" i="3" s="1"/>
  <c r="E297" i="3" s="1"/>
  <c r="A25" i="51"/>
  <c r="B18" i="63" s="1"/>
  <c r="A11" i="55"/>
  <c r="B62" i="63" s="1"/>
  <c r="N16" i="4"/>
  <c r="K17" i="4" s="1"/>
  <c r="A22" i="51" s="1"/>
  <c r="B16" i="63" s="1"/>
  <c r="B21" i="63"/>
  <c r="C67" i="40"/>
  <c r="D65" i="40"/>
  <c r="G72" i="39"/>
  <c r="W8" i="21"/>
  <c r="U7" i="21"/>
  <c r="E48" i="21"/>
  <c r="E53" i="21" s="1"/>
  <c r="F53" i="21" s="1"/>
  <c r="R49" i="21"/>
  <c r="S7" i="21"/>
  <c r="W18" i="36"/>
  <c r="AB25" i="33"/>
  <c r="U25" i="33"/>
  <c r="AZ558" i="3"/>
  <c r="S9" i="21"/>
  <c r="AA9" i="21"/>
  <c r="AA9" i="33"/>
  <c r="S9" i="33"/>
  <c r="O40" i="9"/>
  <c r="A17" i="64"/>
  <c r="A17" i="51"/>
  <c r="B13" i="63" s="1"/>
  <c r="BL5"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AZ520" i="3"/>
  <c r="H5" i="3"/>
  <c r="BF5" i="3"/>
  <c r="AZ404" i="3"/>
  <c r="W34" i="33"/>
  <c r="W37" i="34"/>
  <c r="AA27" i="34"/>
  <c r="AA32" i="37"/>
  <c r="F30" i="44"/>
  <c r="M20" i="44"/>
  <c r="F70" i="9"/>
  <c r="AA34" i="33"/>
  <c r="W32" i="40"/>
  <c r="U39" i="39"/>
  <c r="S33" i="40"/>
  <c r="AC14" i="40"/>
  <c r="F71" i="9"/>
  <c r="F66" i="9"/>
  <c r="P72" i="9" s="1"/>
  <c r="S10" i="35"/>
  <c r="S27" i="37"/>
  <c r="AC41" i="34"/>
  <c r="U28" i="21"/>
  <c r="S45" i="21"/>
  <c r="AA27" i="33"/>
  <c r="W31" i="34"/>
  <c r="AB14" i="21"/>
  <c r="U46" i="21"/>
  <c r="AB13" i="21"/>
  <c r="AB40" i="37"/>
  <c r="W46" i="33"/>
  <c r="W35" i="35"/>
  <c r="S22" i="35"/>
  <c r="J9" i="33"/>
  <c r="H9" i="33"/>
  <c r="AZ393" i="3"/>
  <c r="AZ396" i="3"/>
  <c r="AZ412" i="3"/>
  <c r="AZ419" i="3"/>
  <c r="AZ425" i="3"/>
  <c r="AZ429" i="3"/>
  <c r="A30" i="51"/>
  <c r="B22" i="63" s="1"/>
  <c r="A30" i="64"/>
  <c r="AZ447" i="3"/>
  <c r="AZ462" i="3"/>
  <c r="AZ465" i="3"/>
  <c r="AZ478" i="3"/>
  <c r="AZ387" i="3"/>
  <c r="AZ216" i="3"/>
  <c r="AZ219" i="3"/>
  <c r="AZ232" i="3"/>
  <c r="AZ235" i="3"/>
  <c r="AZ248" i="3"/>
  <c r="AZ251" i="3"/>
  <c r="AZ264" i="3"/>
  <c r="AZ267" i="3"/>
  <c r="AZ271" i="3"/>
  <c r="AZ283" i="3"/>
  <c r="AZ287" i="3"/>
  <c r="F9" i="36"/>
  <c r="H9" i="36"/>
  <c r="H24" i="36"/>
  <c r="AZ168" i="3"/>
  <c r="AZ171" i="3"/>
  <c r="AZ186" i="3"/>
  <c r="AZ194" i="3"/>
  <c r="AZ204" i="3"/>
  <c r="AZ22" i="3"/>
  <c r="AZ33" i="3"/>
  <c r="AZ38" i="3"/>
  <c r="AZ49" i="3"/>
  <c r="AZ54" i="3"/>
  <c r="R12" i="1"/>
  <c r="K12" i="1"/>
  <c r="Q16" i="1" s="1"/>
  <c r="F33" i="12" s="1"/>
  <c r="D1" i="57"/>
  <c r="E10" i="57" s="1"/>
  <c r="I21" i="57"/>
  <c r="T50" i="59"/>
  <c r="D50" i="59"/>
  <c r="C30" i="59"/>
  <c r="D29" i="59"/>
  <c r="AZ62" i="3"/>
  <c r="AZ68" i="3"/>
  <c r="AZ72" i="3"/>
  <c r="AZ75" i="3"/>
  <c r="AZ77" i="3"/>
  <c r="AZ81" i="3"/>
  <c r="AZ88" i="3"/>
  <c r="AZ92" i="3"/>
  <c r="AZ95" i="3"/>
  <c r="AZ97" i="3"/>
  <c r="AZ101" i="3"/>
  <c r="T38" i="59"/>
  <c r="D38" i="59"/>
  <c r="B54" i="46"/>
  <c r="C27" i="40"/>
  <c r="S27" i="40"/>
  <c r="AB15" i="59"/>
  <c r="F16" i="59"/>
  <c r="F17" i="59" s="1"/>
  <c r="F18" i="59" s="1"/>
  <c r="V18" i="59" s="1"/>
  <c r="X19" i="59"/>
  <c r="B20" i="59"/>
  <c r="B21" i="59" s="1"/>
  <c r="B22" i="59" s="1"/>
  <c r="S22" i="59" s="1"/>
  <c r="X11" i="59"/>
  <c r="X13" i="59"/>
  <c r="AB23" i="59"/>
  <c r="F24" i="59"/>
  <c r="F25" i="59" s="1"/>
  <c r="F26" i="59" s="1"/>
  <c r="V26" i="59" s="1"/>
  <c r="O51" i="59"/>
  <c r="C17" i="59"/>
  <c r="AB12" i="59"/>
  <c r="AB3" i="59"/>
  <c r="Y3" i="59"/>
  <c r="Z3" i="59" s="1"/>
  <c r="Y14" i="59"/>
  <c r="Z14" i="59" s="1"/>
  <c r="Y12" i="59"/>
  <c r="Z12" i="59" s="1"/>
  <c r="X14" i="59"/>
  <c r="X3" i="59"/>
  <c r="AA15" i="59"/>
  <c r="AA3" i="59"/>
  <c r="AA12" i="59"/>
  <c r="AA14" i="59"/>
  <c r="Y19" i="59"/>
  <c r="Z19" i="59" s="1"/>
  <c r="C20" i="59"/>
  <c r="AA23" i="59"/>
  <c r="E24" i="59"/>
  <c r="E25" i="59" s="1"/>
  <c r="E26" i="59" s="1"/>
  <c r="U26" i="59" s="1"/>
  <c r="X15" i="59"/>
  <c r="Y15" i="59"/>
  <c r="Z15" i="59" s="1"/>
  <c r="X16" i="59"/>
  <c r="AA16" i="59"/>
  <c r="X17" i="59"/>
  <c r="AA17" i="59"/>
  <c r="X18" i="59"/>
  <c r="AA18" i="59"/>
  <c r="AA19" i="59"/>
  <c r="AB19" i="59"/>
  <c r="Y20" i="59"/>
  <c r="Z20" i="59" s="1"/>
  <c r="AB20" i="59"/>
  <c r="Y21" i="59"/>
  <c r="Z21" i="59" s="1"/>
  <c r="AB21" i="59"/>
  <c r="Y22" i="59"/>
  <c r="Z22" i="59" s="1"/>
  <c r="AB22" i="59"/>
  <c r="X23" i="59"/>
  <c r="Y23" i="59"/>
  <c r="Z23" i="59" s="1"/>
  <c r="X24" i="59"/>
  <c r="AA24" i="59"/>
  <c r="Q51" i="59"/>
  <c r="Y10" i="59"/>
  <c r="Z10" i="59" s="1"/>
  <c r="AB10" i="59"/>
  <c r="C8" i="59"/>
  <c r="D8" i="59" s="1"/>
  <c r="D9" i="59"/>
  <c r="E5" i="59"/>
  <c r="U6" i="59"/>
  <c r="X9" i="59"/>
  <c r="Y8" i="59"/>
  <c r="Z8" i="59" s="1"/>
  <c r="AB8" i="59"/>
  <c r="X8" i="59"/>
  <c r="X7" i="59"/>
  <c r="AA7" i="59"/>
  <c r="S14" i="59"/>
  <c r="B13" i="59"/>
  <c r="B12" i="59" s="1"/>
  <c r="U14" i="59"/>
  <c r="E13" i="59"/>
  <c r="E12" i="59" s="1"/>
  <c r="A28" i="64"/>
  <c r="F5" i="59"/>
  <c r="V6" i="59"/>
  <c r="AA8" i="59"/>
  <c r="Y7" i="59"/>
  <c r="Z7" i="59" s="1"/>
  <c r="AB7" i="59"/>
  <c r="AB5" i="59"/>
  <c r="V10" i="59"/>
  <c r="K76" i="9"/>
  <c r="K77" i="9" s="1"/>
  <c r="K79" i="9" s="1"/>
  <c r="K81" i="9" s="1"/>
  <c r="C14" i="59"/>
  <c r="AA10" i="59"/>
  <c r="X10" i="59"/>
  <c r="Y9" i="59"/>
  <c r="Z9" i="59" s="1"/>
  <c r="AA9" i="59"/>
  <c r="AB9" i="59"/>
  <c r="X6" i="59"/>
  <c r="AA6" i="59"/>
  <c r="AA5" i="59"/>
  <c r="F14" i="59"/>
  <c r="Y6" i="59"/>
  <c r="Z6" i="59" s="1"/>
  <c r="AB6" i="59"/>
  <c r="X5" i="59"/>
  <c r="Y5" i="59"/>
  <c r="Z5" i="59" s="1"/>
  <c r="E14" i="52"/>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I53" i="21"/>
  <c r="J53" i="21" s="1"/>
  <c r="I52" i="21"/>
  <c r="J52" i="21" s="1"/>
  <c r="C30" i="44"/>
  <c r="C25" i="12"/>
  <c r="C15" i="43"/>
  <c r="C27" i="43"/>
  <c r="C31" i="43"/>
  <c r="C28" i="15"/>
  <c r="C15" i="12"/>
  <c r="H1" i="65"/>
  <c r="W7" i="21"/>
  <c r="H51" i="46"/>
  <c r="X7" i="46"/>
  <c r="E17" i="46"/>
  <c r="N17" i="46"/>
  <c r="O17" i="46"/>
  <c r="M17" i="46"/>
  <c r="L17" i="46"/>
  <c r="H22" i="46"/>
  <c r="Y11" i="46"/>
  <c r="Y13" i="46" s="1"/>
  <c r="H101" i="46"/>
  <c r="H102" i="46" s="1"/>
  <c r="G22" i="46"/>
  <c r="J22" i="46"/>
  <c r="F101" i="46"/>
  <c r="F106" i="46" s="1"/>
  <c r="D101" i="46"/>
  <c r="D106" i="46" s="1"/>
  <c r="O7" i="1"/>
  <c r="P7" i="1" s="1"/>
  <c r="O11" i="1"/>
  <c r="P11" i="1" s="1"/>
  <c r="O13" i="1"/>
  <c r="P13" i="1" s="1"/>
  <c r="O9" i="1"/>
  <c r="P9" i="1" s="1"/>
  <c r="E14" i="6"/>
  <c r="E66" i="69" s="1"/>
  <c r="E15" i="6"/>
  <c r="E67" i="69" s="1"/>
  <c r="E13" i="6"/>
  <c r="E65" i="69" s="1"/>
  <c r="E12" i="6"/>
  <c r="E64" i="69" s="1"/>
  <c r="E10" i="6"/>
  <c r="E11" i="6"/>
  <c r="E63" i="69" s="1"/>
  <c r="AP7" i="1"/>
  <c r="AP16" i="1" s="1"/>
  <c r="F22" i="11" s="1"/>
  <c r="G13" i="1"/>
  <c r="I70" i="39"/>
  <c r="H72" i="39"/>
  <c r="G52" i="21"/>
  <c r="H52" i="21" s="1"/>
  <c r="G53" i="21"/>
  <c r="H53" i="21" s="1"/>
  <c r="E52" i="21"/>
  <c r="F52" i="21" s="1"/>
  <c r="E52" i="37"/>
  <c r="D46" i="36"/>
  <c r="E48" i="35"/>
  <c r="D59" i="34"/>
  <c r="G6" i="1"/>
  <c r="H7" i="33"/>
  <c r="F7" i="33"/>
  <c r="H70" i="46"/>
  <c r="F107" i="46"/>
  <c r="H73" i="46"/>
  <c r="H50" i="46"/>
  <c r="H48" i="46"/>
  <c r="F35" i="46"/>
  <c r="I17" i="46"/>
  <c r="H63" i="46"/>
  <c r="I101" i="46"/>
  <c r="I102" i="46" s="1"/>
  <c r="M101" i="46"/>
  <c r="M107" i="46" s="1"/>
  <c r="N101" i="46"/>
  <c r="N105" i="46" s="1"/>
  <c r="AC11" i="46"/>
  <c r="AC13" i="46" s="1"/>
  <c r="AD11" i="46"/>
  <c r="AJ11" i="46"/>
  <c r="H64" i="46"/>
  <c r="H66" i="46"/>
  <c r="D100" i="46"/>
  <c r="F104" i="46"/>
  <c r="F109" i="46"/>
  <c r="M103" i="46"/>
  <c r="H62" i="46"/>
  <c r="AF12" i="46"/>
  <c r="K100" i="46"/>
  <c r="M109" i="46"/>
  <c r="AB12" i="46"/>
  <c r="AJ12" i="46"/>
  <c r="F102" i="46"/>
  <c r="F105" i="46"/>
  <c r="F103"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103" i="46"/>
  <c r="I106" i="46"/>
  <c r="H72" i="46"/>
  <c r="H69" i="46"/>
  <c r="H77" i="46"/>
  <c r="H76" i="46"/>
  <c r="H55" i="46"/>
  <c r="H54" i="46"/>
  <c r="H52" i="46"/>
  <c r="H47" i="46"/>
  <c r="AD12" i="46"/>
  <c r="AH12" i="46"/>
  <c r="AH13" i="46" s="1"/>
  <c r="C7" i="59"/>
  <c r="C6" i="59" s="1"/>
  <c r="T6" i="59" s="1"/>
  <c r="B6" i="52"/>
  <c r="E7" i="52"/>
  <c r="C4" i="4" s="1"/>
  <c r="B20" i="55" s="1"/>
  <c r="B70" i="63" s="1"/>
  <c r="E6" i="52"/>
  <c r="E4" i="52"/>
  <c r="B7" i="52"/>
  <c r="E5" i="52"/>
  <c r="P21" i="46"/>
  <c r="B7" i="59"/>
  <c r="B6" i="59" s="1"/>
  <c r="S6" i="59" s="1"/>
  <c r="P22" i="46"/>
  <c r="P23" i="46"/>
  <c r="P25" i="46"/>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F31" i="15"/>
  <c r="M17" i="15"/>
  <c r="M19" i="44"/>
  <c r="F33" i="44"/>
  <c r="F58" i="15"/>
  <c r="I3" i="65"/>
  <c r="C16" i="15"/>
  <c r="J3" i="65"/>
  <c r="J4" i="65"/>
  <c r="J6" i="65"/>
  <c r="C18" i="44"/>
  <c r="I7" i="65"/>
  <c r="I4" i="65"/>
  <c r="I5" i="65"/>
  <c r="J5" i="65"/>
  <c r="J7" i="65"/>
  <c r="I6" i="65"/>
  <c r="D18" i="9" l="1"/>
  <c r="M44" i="9" s="1"/>
  <c r="M43" i="9"/>
  <c r="E60" i="3"/>
  <c r="E447" i="3"/>
  <c r="E426" i="3"/>
  <c r="E547" i="3"/>
  <c r="E292" i="3"/>
  <c r="E32" i="3"/>
  <c r="E463" i="3"/>
  <c r="E274" i="3"/>
  <c r="I3" i="6"/>
  <c r="E170" i="3"/>
  <c r="E460" i="3"/>
  <c r="E201" i="3"/>
  <c r="E549" i="3"/>
  <c r="E89" i="3"/>
  <c r="E249" i="3"/>
  <c r="E295" i="3"/>
  <c r="E149" i="3"/>
  <c r="E492" i="3"/>
  <c r="E450" i="3"/>
  <c r="E161" i="3"/>
  <c r="E209" i="3"/>
  <c r="E157" i="3"/>
  <c r="E464" i="3"/>
  <c r="E270" i="3"/>
  <c r="E59" i="3"/>
  <c r="E280" i="3"/>
  <c r="AN6" i="3"/>
  <c r="E395" i="3"/>
  <c r="G30" i="6"/>
  <c r="G31" i="6" s="1"/>
  <c r="E28" i="6"/>
  <c r="D69" i="59"/>
  <c r="C68" i="59"/>
  <c r="D68" i="59" s="1"/>
  <c r="P51" i="59"/>
  <c r="P52" i="59"/>
  <c r="C42" i="59"/>
  <c r="D41" i="59"/>
  <c r="AZ21" i="3"/>
  <c r="BA5" i="3"/>
  <c r="E27" i="6" s="1"/>
  <c r="AA9" i="35"/>
  <c r="S9" i="35"/>
  <c r="AA13" i="21"/>
  <c r="S13" i="21"/>
  <c r="U45" i="21"/>
  <c r="AB45" i="21"/>
  <c r="F30" i="6"/>
  <c r="F31" i="6" s="1"/>
  <c r="B73" i="39"/>
  <c r="B73" i="69"/>
  <c r="C72" i="69"/>
  <c r="D70" i="69"/>
  <c r="S29" i="21"/>
  <c r="AA29" i="21"/>
  <c r="G17" i="46"/>
  <c r="C16" i="46" s="1"/>
  <c r="C34" i="12"/>
  <c r="D33" i="12" s="1"/>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539" i="3"/>
  <c r="E332" i="3"/>
  <c r="E245" i="3"/>
  <c r="E166" i="3"/>
  <c r="E102" i="3"/>
  <c r="O6" i="3"/>
  <c r="E25" i="3"/>
  <c r="E204" i="3"/>
  <c r="E258" i="3"/>
  <c r="E207" i="3"/>
  <c r="E479"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425" i="3"/>
  <c r="E401" i="3"/>
  <c r="E257" i="3"/>
  <c r="E272" i="3"/>
  <c r="E139" i="3"/>
  <c r="E52" i="3"/>
  <c r="E445" i="3"/>
  <c r="E451" i="3"/>
  <c r="E556" i="3"/>
  <c r="U6" i="3"/>
  <c r="E291" i="3"/>
  <c r="E305"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546" i="3"/>
  <c r="E474" i="3"/>
  <c r="E15"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G16" i="1"/>
  <c r="J12" i="40" s="1"/>
  <c r="E65" i="40"/>
  <c r="D67" i="40"/>
  <c r="C48" i="21"/>
  <c r="C49" i="21"/>
  <c r="B3" i="21" s="1"/>
  <c r="B2" i="21" s="1"/>
  <c r="D7" i="59"/>
  <c r="D14" i="59"/>
  <c r="T14" i="59"/>
  <c r="C13" i="59"/>
  <c r="C18" i="59"/>
  <c r="D17" i="59"/>
  <c r="M12" i="1"/>
  <c r="O12" i="1" s="1"/>
  <c r="P12" i="1" s="1"/>
  <c r="H16" i="1"/>
  <c r="AZ5" i="3"/>
  <c r="AB24" i="36"/>
  <c r="U24" i="36"/>
  <c r="AA9" i="36"/>
  <c r="S9" i="36"/>
  <c r="W9" i="33"/>
  <c r="AC9" i="33"/>
  <c r="F13" i="59"/>
  <c r="F12" i="59" s="1"/>
  <c r="V14" i="59"/>
  <c r="D20" i="59"/>
  <c r="C21" i="59"/>
  <c r="T30" i="59"/>
  <c r="D30" i="59"/>
  <c r="AB9" i="36"/>
  <c r="U9" i="36"/>
  <c r="AB9" i="33"/>
  <c r="U9" i="33"/>
  <c r="K31" i="9"/>
  <c r="K32" i="9" s="1"/>
  <c r="R7" i="54"/>
  <c r="B52" i="63" s="1"/>
  <c r="B5" i="59"/>
  <c r="D6" i="59"/>
  <c r="C5" i="59"/>
  <c r="D5" i="59" s="1"/>
  <c r="D107" i="46"/>
  <c r="M106" i="46"/>
  <c r="M104" i="46"/>
  <c r="J1" i="65"/>
  <c r="I1" i="65"/>
  <c r="E20" i="46"/>
  <c r="P28" i="46" s="1"/>
  <c r="M102" i="46"/>
  <c r="H107" i="46"/>
  <c r="M105" i="46"/>
  <c r="C5" i="46"/>
  <c r="H105" i="46"/>
  <c r="H109" i="46"/>
  <c r="D103" i="46"/>
  <c r="D102" i="46"/>
  <c r="H104" i="46"/>
  <c r="H106" i="46"/>
  <c r="F18" i="11"/>
  <c r="F24" i="43"/>
  <c r="C26" i="43" s="1"/>
  <c r="D24" i="43" s="1"/>
  <c r="D22" i="46"/>
  <c r="D5" i="46"/>
  <c r="D105" i="46"/>
  <c r="D109" i="46"/>
  <c r="D104" i="46"/>
  <c r="AJ13" i="46"/>
  <c r="I109" i="46"/>
  <c r="E16" i="6"/>
  <c r="E60" i="40"/>
  <c r="E65" i="39"/>
  <c r="E61" i="40"/>
  <c r="E66" i="39"/>
  <c r="E63" i="39"/>
  <c r="E58" i="40"/>
  <c r="E64" i="39"/>
  <c r="E59" i="40"/>
  <c r="E67" i="39"/>
  <c r="E62" i="40"/>
  <c r="K20" i="6"/>
  <c r="M20" i="6" s="1"/>
  <c r="I20" i="6" s="1"/>
  <c r="S20" i="6" s="1"/>
  <c r="K26" i="6"/>
  <c r="M26" i="6" s="1"/>
  <c r="I26" i="6" s="1"/>
  <c r="S26" i="6" s="1"/>
  <c r="K22" i="6"/>
  <c r="M22" i="6" s="1"/>
  <c r="I22" i="6" s="1"/>
  <c r="S22" i="6" s="1"/>
  <c r="K23" i="6"/>
  <c r="M23" i="6" s="1"/>
  <c r="I23" i="6" s="1"/>
  <c r="S23" i="6" s="1"/>
  <c r="K21" i="6"/>
  <c r="M21" i="6" s="1"/>
  <c r="I21" i="6" s="1"/>
  <c r="S21" i="6" s="1"/>
  <c r="AB7" i="33"/>
  <c r="T48" i="33" s="1"/>
  <c r="G48" i="33" s="1"/>
  <c r="U7" i="33"/>
  <c r="F48" i="35"/>
  <c r="E46" i="36"/>
  <c r="AA7" i="33"/>
  <c r="R48" i="33" s="1"/>
  <c r="S7" i="33"/>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AE6" i="1"/>
  <c r="E3" i="65"/>
  <c r="E2" i="65"/>
  <c r="K19" i="6" l="1"/>
  <c r="S6" i="1" s="1"/>
  <c r="S16" i="1" s="1"/>
  <c r="AC6" i="3"/>
  <c r="E6" i="3" s="1"/>
  <c r="K25" i="6"/>
  <c r="M25" i="6" s="1"/>
  <c r="I25" i="6" s="1"/>
  <c r="S25" i="6" s="1"/>
  <c r="E30" i="6"/>
  <c r="E31" i="6" s="1"/>
  <c r="K24" i="6"/>
  <c r="M24" i="6" s="1"/>
  <c r="I24" i="6" s="1"/>
  <c r="S24" i="6" s="1"/>
  <c r="K14" i="1"/>
  <c r="M14" i="1" s="1"/>
  <c r="H6" i="3"/>
  <c r="D72" i="69"/>
  <c r="E70" i="69"/>
  <c r="D42" i="59"/>
  <c r="T42" i="59"/>
  <c r="H12" i="39"/>
  <c r="AB12" i="39" s="1"/>
  <c r="H12" i="69"/>
  <c r="J12" i="69"/>
  <c r="F12" i="69"/>
  <c r="F12" i="40"/>
  <c r="AA12" i="40" s="1"/>
  <c r="F12" i="39"/>
  <c r="S12" i="39" s="1"/>
  <c r="J12" i="39"/>
  <c r="AC12" i="39" s="1"/>
  <c r="H12" i="40"/>
  <c r="U12" i="40" s="1"/>
  <c r="F65" i="40"/>
  <c r="E67" i="40"/>
  <c r="O28" i="46"/>
  <c r="G20" i="46" s="1"/>
  <c r="D13" i="59"/>
  <c r="C12" i="59"/>
  <c r="D12" i="59" s="1"/>
  <c r="C22" i="59"/>
  <c r="D21" i="59"/>
  <c r="E3" i="6"/>
  <c r="AY6" i="3"/>
  <c r="T18" i="59"/>
  <c r="D18" i="59"/>
  <c r="M28" i="46"/>
  <c r="N28" i="46"/>
  <c r="B40" i="1"/>
  <c r="F24" i="15" s="1"/>
  <c r="C24" i="15" s="1"/>
  <c r="F17" i="11"/>
  <c r="E41" i="46"/>
  <c r="C41" i="46" s="1"/>
  <c r="C20" i="46"/>
  <c r="S5" i="46"/>
  <c r="S2" i="46"/>
  <c r="S3" i="46"/>
  <c r="S7" i="46"/>
  <c r="S6" i="46"/>
  <c r="S4" i="46"/>
  <c r="K16" i="1"/>
  <c r="M19" i="6"/>
  <c r="K27" i="6"/>
  <c r="K70" i="39"/>
  <c r="J72" i="39"/>
  <c r="G52" i="37"/>
  <c r="H7" i="34"/>
  <c r="J7" i="34"/>
  <c r="W12" i="40"/>
  <c r="AC12" i="40"/>
  <c r="R49" i="33"/>
  <c r="E48" i="33"/>
  <c r="G48" i="35"/>
  <c r="G52" i="33"/>
  <c r="H52" i="33" s="1"/>
  <c r="G53" i="33"/>
  <c r="H53" i="33" s="1"/>
  <c r="F46" i="36"/>
  <c r="G46" i="36" s="1"/>
  <c r="H46" i="36" s="1"/>
  <c r="I46" i="36" s="1"/>
  <c r="J46" i="36" s="1"/>
  <c r="K46" i="36" s="1"/>
  <c r="L46" i="36" s="1"/>
  <c r="M46" i="36" s="1"/>
  <c r="N46" i="36" s="1"/>
  <c r="O46" i="36" s="1"/>
  <c r="F7" i="34"/>
  <c r="C115" i="46"/>
  <c r="D113" i="46" s="1"/>
  <c r="J28" i="44"/>
  <c r="J31" i="44" s="1"/>
  <c r="J26" i="44"/>
  <c r="J20" i="44"/>
  <c r="C34" i="44"/>
  <c r="C40" i="44"/>
  <c r="C52" i="15"/>
  <c r="C47" i="15" s="1"/>
  <c r="C10" i="15"/>
  <c r="C5" i="15" s="1"/>
  <c r="J26" i="15"/>
  <c r="J24" i="15"/>
  <c r="J18" i="15"/>
  <c r="C17" i="15"/>
  <c r="F41" i="15"/>
  <c r="L52" i="44"/>
  <c r="F70" i="69" l="1"/>
  <c r="E72" i="69"/>
  <c r="AB12" i="40"/>
  <c r="AA12" i="39"/>
  <c r="U12" i="39"/>
  <c r="S12" i="40"/>
  <c r="AA12" i="69"/>
  <c r="S12" i="69"/>
  <c r="AB12" i="69"/>
  <c r="U12" i="69"/>
  <c r="AC12" i="69"/>
  <c r="W12" i="69"/>
  <c r="F68" i="15"/>
  <c r="J29" i="15"/>
  <c r="F21" i="43"/>
  <c r="C23" i="43" s="1"/>
  <c r="D21" i="43" s="1"/>
  <c r="W12" i="39"/>
  <c r="F67" i="40"/>
  <c r="G65" i="40"/>
  <c r="F7" i="36"/>
  <c r="AA7" i="36" s="1"/>
  <c r="R36" i="36" s="1"/>
  <c r="D16" i="43"/>
  <c r="C16" i="43" s="1"/>
  <c r="E6" i="6"/>
  <c r="D16" i="12"/>
  <c r="L38" i="9"/>
  <c r="B14" i="66" s="1"/>
  <c r="B1" i="66" s="1"/>
  <c r="D45" i="9"/>
  <c r="C21" i="4"/>
  <c r="O5" i="54" s="1"/>
  <c r="B45" i="63" s="1"/>
  <c r="D10" i="11"/>
  <c r="T22" i="59"/>
  <c r="D22" i="59"/>
  <c r="M20" i="46" s="1"/>
  <c r="C19" i="46"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8" i="69"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F26" i="12"/>
  <c r="C27" i="12" s="1"/>
  <c r="D26" i="12" s="1"/>
  <c r="C32" i="12" s="1"/>
  <c r="D30" i="12" s="1"/>
  <c r="F26" i="44"/>
  <c r="C26" i="44" s="1"/>
  <c r="I19" i="6"/>
  <c r="M27" i="6"/>
  <c r="T13" i="1"/>
  <c r="M16" i="1"/>
  <c r="T9" i="1"/>
  <c r="T11" i="1"/>
  <c r="T12" i="1"/>
  <c r="O14" i="1"/>
  <c r="O16" i="1" s="1"/>
  <c r="T7" i="1"/>
  <c r="T10" i="1"/>
  <c r="T6" i="1"/>
  <c r="T8" i="1"/>
  <c r="S7" i="36"/>
  <c r="H48" i="35"/>
  <c r="E52" i="33"/>
  <c r="F52" i="33" s="1"/>
  <c r="E53" i="33"/>
  <c r="F53" i="33" s="1"/>
  <c r="I53" i="33"/>
  <c r="J53" i="33" s="1"/>
  <c r="W7" i="34"/>
  <c r="AC7" i="34"/>
  <c r="V49" i="34" s="1"/>
  <c r="I49" i="34" s="1"/>
  <c r="S7" i="34"/>
  <c r="AA7" i="34"/>
  <c r="R49" i="34" s="1"/>
  <c r="H7" i="36"/>
  <c r="C49" i="33"/>
  <c r="B3" i="33" s="1"/>
  <c r="B2" i="33" s="1"/>
  <c r="C48" i="33"/>
  <c r="AB7" i="34"/>
  <c r="T49" i="34" s="1"/>
  <c r="G49" i="34" s="1"/>
  <c r="U7" i="34"/>
  <c r="H52" i="37"/>
  <c r="L70" i="39"/>
  <c r="K72" i="39"/>
  <c r="J7" i="36"/>
  <c r="Q69" i="44"/>
  <c r="L58" i="44"/>
  <c r="L61" i="44" s="1"/>
  <c r="L47" i="44" s="1"/>
  <c r="C32" i="15"/>
  <c r="C38" i="15"/>
  <c r="C59" i="15"/>
  <c r="C65" i="15"/>
  <c r="Q49" i="44"/>
  <c r="Q55" i="44" s="1"/>
  <c r="Q67" i="44"/>
  <c r="Q58" i="44"/>
  <c r="C16" i="44"/>
  <c r="C14" i="15"/>
  <c r="F72" i="69" l="1"/>
  <c r="G70" i="69"/>
  <c r="T16" i="1"/>
  <c r="H65" i="40"/>
  <c r="G67" i="40"/>
  <c r="C37" i="46"/>
  <c r="C33" i="46"/>
  <c r="C34" i="46"/>
  <c r="C36" i="46"/>
  <c r="C39" i="46"/>
  <c r="T4" i="46"/>
  <c r="V4" i="46" s="1"/>
  <c r="T2" i="46"/>
  <c r="V2" i="46" s="1"/>
  <c r="T6" i="46"/>
  <c r="V6" i="46" s="1"/>
  <c r="T5" i="46"/>
  <c r="V5" i="46" s="1"/>
  <c r="C38" i="46"/>
  <c r="T9" i="46"/>
  <c r="V9" i="46" s="1"/>
  <c r="T15" i="46"/>
  <c r="V15" i="46" s="1"/>
  <c r="C29" i="46"/>
  <c r="C30" i="46" s="1"/>
  <c r="E30" i="46" s="1"/>
  <c r="T8" i="46"/>
  <c r="V8" i="46" s="1"/>
  <c r="T11" i="46"/>
  <c r="V11" i="46" s="1"/>
  <c r="T7" i="46"/>
  <c r="V7" i="46" s="1"/>
  <c r="T3" i="46"/>
  <c r="V3" i="46" s="1"/>
  <c r="C35" i="46"/>
  <c r="G35" i="46" s="1"/>
  <c r="I35" i="46" s="1"/>
  <c r="T16" i="46"/>
  <c r="V16" i="46" s="1"/>
  <c r="T14" i="46"/>
  <c r="V14" i="46" s="1"/>
  <c r="T12" i="46"/>
  <c r="V12" i="46" s="1"/>
  <c r="T13" i="46"/>
  <c r="V13" i="46" s="1"/>
  <c r="T10" i="46"/>
  <c r="V10" i="46" s="1"/>
  <c r="C22" i="4"/>
  <c r="D21" i="6"/>
  <c r="D10" i="6"/>
  <c r="H21" i="6"/>
  <c r="D6" i="6"/>
  <c r="D14" i="6"/>
  <c r="D20" i="6"/>
  <c r="H23" i="6"/>
  <c r="F45" i="9"/>
  <c r="E68" i="39"/>
  <c r="D24" i="6"/>
  <c r="D22" i="6"/>
  <c r="D12" i="6"/>
  <c r="H25" i="6"/>
  <c r="D5" i="6"/>
  <c r="H22" i="6"/>
  <c r="H26" i="6"/>
  <c r="E63" i="40"/>
  <c r="D19" i="6"/>
  <c r="D25" i="6"/>
  <c r="D13" i="6"/>
  <c r="H24" i="6"/>
  <c r="D23" i="6"/>
  <c r="R23" i="6" s="1"/>
  <c r="D28" i="6"/>
  <c r="D8" i="6"/>
  <c r="E45" i="9"/>
  <c r="K38" i="9"/>
  <c r="C14" i="66" s="1"/>
  <c r="B2" i="66" s="1"/>
  <c r="D26" i="6"/>
  <c r="D11" i="6"/>
  <c r="H20" i="6"/>
  <c r="D9" i="6"/>
  <c r="D29" i="6"/>
  <c r="D15" i="6"/>
  <c r="C7" i="66"/>
  <c r="P14" i="1"/>
  <c r="P16" i="1" s="1"/>
  <c r="C13" i="12" s="1"/>
  <c r="C14" i="12" s="1"/>
  <c r="D19" i="12"/>
  <c r="C19" i="12" s="1"/>
  <c r="C16" i="12"/>
  <c r="D22" i="12"/>
  <c r="C22" i="12" s="1"/>
  <c r="D13" i="11"/>
  <c r="C13" i="11" s="1"/>
  <c r="E35" i="46"/>
  <c r="C15" i="15"/>
  <c r="C18" i="15"/>
  <c r="C17" i="44"/>
  <c r="C20" i="44"/>
  <c r="I27" i="6"/>
  <c r="S19" i="6"/>
  <c r="S27" i="6" s="1"/>
  <c r="H19" i="6"/>
  <c r="L16" i="1"/>
  <c r="C13" i="43"/>
  <c r="N16" i="1"/>
  <c r="C29" i="43" s="1"/>
  <c r="W7" i="36"/>
  <c r="AC7" i="36"/>
  <c r="V36" i="36" s="1"/>
  <c r="I36" i="36" s="1"/>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D16" i="6" l="1"/>
  <c r="G72" i="69"/>
  <c r="H70" i="69"/>
  <c r="C20" i="12"/>
  <c r="C11" i="11"/>
  <c r="C10" i="11" s="1"/>
  <c r="D30" i="6"/>
  <c r="D27" i="6"/>
  <c r="E29" i="46"/>
  <c r="R25" i="6"/>
  <c r="R26" i="6"/>
  <c r="I65" i="40"/>
  <c r="H67" i="40"/>
  <c r="C17" i="12"/>
  <c r="C18" i="12" s="1"/>
  <c r="R22" i="6"/>
  <c r="R21" i="6"/>
  <c r="E38" i="46"/>
  <c r="G38" i="46"/>
  <c r="I38" i="46" s="1"/>
  <c r="E36" i="46"/>
  <c r="G36" i="46"/>
  <c r="I36" i="46" s="1"/>
  <c r="E33" i="46"/>
  <c r="G33" i="46"/>
  <c r="I33" i="46" s="1"/>
  <c r="C27" i="46" s="1"/>
  <c r="D7" i="66"/>
  <c r="R24" i="6"/>
  <c r="R20" i="6"/>
  <c r="A6" i="51"/>
  <c r="B7" i="63" s="1"/>
  <c r="A20" i="64"/>
  <c r="N5" i="54"/>
  <c r="B43" i="63" s="1"/>
  <c r="A6" i="64"/>
  <c r="A20" i="51"/>
  <c r="B15" i="63" s="1"/>
  <c r="G39" i="46"/>
  <c r="I39" i="46" s="1"/>
  <c r="E39" i="46"/>
  <c r="E34" i="46"/>
  <c r="G34" i="46"/>
  <c r="I34" i="46" s="1"/>
  <c r="G37" i="46"/>
  <c r="I37" i="46" s="1"/>
  <c r="E37" i="46"/>
  <c r="C19" i="15"/>
  <c r="C20" i="15" s="1"/>
  <c r="C26" i="15" s="1"/>
  <c r="C21" i="44"/>
  <c r="C22" i="44" s="1"/>
  <c r="C25" i="44" s="1"/>
  <c r="C14" i="43"/>
  <c r="C17" i="43"/>
  <c r="H27" i="6"/>
  <c r="R19" i="6"/>
  <c r="E40" i="36"/>
  <c r="F40" i="36" s="1"/>
  <c r="E41" i="36"/>
  <c r="F41" i="36" s="1"/>
  <c r="J48" i="35"/>
  <c r="G41" i="36"/>
  <c r="H41" i="36" s="1"/>
  <c r="G40" i="36"/>
  <c r="H40" i="36" s="1"/>
  <c r="N70" i="39"/>
  <c r="N72" i="39" s="1"/>
  <c r="M72" i="39"/>
  <c r="E54" i="34"/>
  <c r="F54" i="34" s="1"/>
  <c r="E53" i="34"/>
  <c r="F53" i="34" s="1"/>
  <c r="I40" i="36"/>
  <c r="J40" i="36" s="1"/>
  <c r="I41" i="36"/>
  <c r="J41" i="36" s="1"/>
  <c r="C37" i="36"/>
  <c r="B3" i="36" s="1"/>
  <c r="B2" i="36" s="1"/>
  <c r="C36" i="36"/>
  <c r="C50" i="34"/>
  <c r="B3" i="34" s="1"/>
  <c r="B2" i="34" s="1"/>
  <c r="C49" i="34"/>
  <c r="J52" i="37"/>
  <c r="F7" i="67"/>
  <c r="D31" i="6" l="1"/>
  <c r="F9" i="39"/>
  <c r="I70" i="69"/>
  <c r="H72" i="69"/>
  <c r="C26" i="46"/>
  <c r="B2" i="46" s="1"/>
  <c r="C23" i="12"/>
  <c r="C18" i="11"/>
  <c r="C17" i="11"/>
  <c r="R27" i="6"/>
  <c r="R6" i="1"/>
  <c r="I6" i="6"/>
  <c r="C13" i="69" s="1"/>
  <c r="I5" i="6"/>
  <c r="I67" i="40"/>
  <c r="J65" i="40"/>
  <c r="E4" i="67"/>
  <c r="C18" i="43"/>
  <c r="C19" i="43" s="1"/>
  <c r="C25" i="43" s="1"/>
  <c r="C24" i="43" s="1"/>
  <c r="C28" i="44"/>
  <c r="C31" i="44" s="1"/>
  <c r="C23" i="15"/>
  <c r="C29" i="15" s="1"/>
  <c r="C36" i="15" s="1"/>
  <c r="S9" i="39"/>
  <c r="AA9" i="39"/>
  <c r="R49" i="39" s="1"/>
  <c r="H9" i="39"/>
  <c r="J9" i="39"/>
  <c r="K48" i="35"/>
  <c r="L48" i="35" s="1"/>
  <c r="M48" i="35" s="1"/>
  <c r="N48" i="35" s="1"/>
  <c r="O48" i="35" s="1"/>
  <c r="K52" i="37"/>
  <c r="M21" i="15"/>
  <c r="B7" i="67"/>
  <c r="E7" i="67"/>
  <c r="F35" i="15"/>
  <c r="J13" i="69" l="1"/>
  <c r="F13" i="69"/>
  <c r="H13" i="69"/>
  <c r="J20" i="15"/>
  <c r="F62" i="15"/>
  <c r="C61" i="15" s="1"/>
  <c r="C34" i="15"/>
  <c r="J70" i="69"/>
  <c r="I72" i="69"/>
  <c r="J7" i="35"/>
  <c r="R16" i="1"/>
  <c r="C19" i="11"/>
  <c r="C20" i="11" s="1"/>
  <c r="C21" i="11" s="1"/>
  <c r="C22" i="11" s="1"/>
  <c r="C23" i="11" s="1"/>
  <c r="B2" i="11" s="1"/>
  <c r="B3" i="11" s="1"/>
  <c r="E3" i="67"/>
  <c r="D4" i="46"/>
  <c r="B3" i="46"/>
  <c r="K65" i="40"/>
  <c r="J67" i="40"/>
  <c r="B4" i="46"/>
  <c r="B2" i="67"/>
  <c r="B4" i="67" s="1"/>
  <c r="J59" i="15"/>
  <c r="J60" i="15" s="1"/>
  <c r="Q49" i="15" s="1"/>
  <c r="C13" i="15"/>
  <c r="J35" i="15" s="1"/>
  <c r="C33" i="15"/>
  <c r="C56" i="15"/>
  <c r="C60" i="15" s="1"/>
  <c r="Q50" i="15"/>
  <c r="J19" i="15"/>
  <c r="J17" i="15" s="1"/>
  <c r="J14" i="15"/>
  <c r="J13" i="15" s="1"/>
  <c r="J23" i="15" s="1"/>
  <c r="Q51" i="44"/>
  <c r="J21" i="44"/>
  <c r="J19" i="44" s="1"/>
  <c r="C35" i="44"/>
  <c r="C33" i="44" s="1"/>
  <c r="C38" i="44"/>
  <c r="C15" i="44"/>
  <c r="J16" i="44"/>
  <c r="C22" i="43"/>
  <c r="C21" i="43" s="1"/>
  <c r="C28" i="43" s="1"/>
  <c r="C30" i="43" s="1"/>
  <c r="C32" i="43" s="1"/>
  <c r="B2" i="43" s="1"/>
  <c r="AC7" i="35"/>
  <c r="V38" i="35" s="1"/>
  <c r="I38" i="35" s="1"/>
  <c r="W7" i="35"/>
  <c r="AC9" i="39"/>
  <c r="V49" i="39" s="1"/>
  <c r="I49" i="39" s="1"/>
  <c r="W9" i="39"/>
  <c r="L52" i="37"/>
  <c r="F7" i="35"/>
  <c r="H7" i="35"/>
  <c r="AB9" i="39"/>
  <c r="T49" i="39" s="1"/>
  <c r="G49" i="39" s="1"/>
  <c r="U9" i="39"/>
  <c r="E49" i="39"/>
  <c r="AA13" i="69" l="1"/>
  <c r="S13" i="69"/>
  <c r="AB13" i="69"/>
  <c r="U13" i="69"/>
  <c r="AC13" i="69"/>
  <c r="W13" i="69"/>
  <c r="C31" i="15"/>
  <c r="C58" i="15"/>
  <c r="J72" i="69"/>
  <c r="K70" i="69"/>
  <c r="B5" i="11"/>
  <c r="B4" i="11"/>
  <c r="J22" i="15"/>
  <c r="J16" i="15" s="1"/>
  <c r="J25" i="15" s="1"/>
  <c r="R50" i="39"/>
  <c r="C50" i="39" s="1"/>
  <c r="L65" i="40"/>
  <c r="K67" i="40"/>
  <c r="B3" i="67"/>
  <c r="C55" i="15"/>
  <c r="C64" i="15" s="1"/>
  <c r="C63" i="15"/>
  <c r="C37" i="15"/>
  <c r="Q71" i="15"/>
  <c r="B4" i="43"/>
  <c r="B5" i="43"/>
  <c r="B3" i="43"/>
  <c r="Q72" i="44"/>
  <c r="C39" i="44"/>
  <c r="C32" i="44" s="1"/>
  <c r="C42" i="44" s="1"/>
  <c r="C43" i="44"/>
  <c r="J24" i="44"/>
  <c r="J15" i="44"/>
  <c r="J25" i="44" s="1"/>
  <c r="AB7" i="35"/>
  <c r="T38" i="35" s="1"/>
  <c r="G38" i="35" s="1"/>
  <c r="U7" i="35"/>
  <c r="E53" i="39"/>
  <c r="F53" i="39" s="1"/>
  <c r="E54" i="39"/>
  <c r="F54" i="39" s="1"/>
  <c r="G54" i="39"/>
  <c r="H54" i="39" s="1"/>
  <c r="G53" i="39"/>
  <c r="H53" i="39" s="1"/>
  <c r="AA7" i="35"/>
  <c r="R38" i="35" s="1"/>
  <c r="S7" i="35"/>
  <c r="M52" i="37"/>
  <c r="I53" i="39"/>
  <c r="J53" i="39" s="1"/>
  <c r="I54" i="39"/>
  <c r="J54" i="39" s="1"/>
  <c r="I42" i="35"/>
  <c r="J42" i="35" s="1"/>
  <c r="C30" i="15" l="1"/>
  <c r="C39" i="15" s="1"/>
  <c r="J39" i="15" s="1"/>
  <c r="J40" i="15" s="1"/>
  <c r="L70" i="69"/>
  <c r="K72" i="69"/>
  <c r="C49" i="39"/>
  <c r="M65" i="40"/>
  <c r="L67" i="40"/>
  <c r="C57" i="15"/>
  <c r="C66" i="15" s="1"/>
  <c r="C67" i="15" s="1"/>
  <c r="C70" i="15" s="1"/>
  <c r="L57" i="15"/>
  <c r="L60" i="15" s="1"/>
  <c r="Q58" i="15" s="1"/>
  <c r="Q71" i="44"/>
  <c r="Q70" i="44" s="1"/>
  <c r="C44" i="44"/>
  <c r="C45" i="44" s="1"/>
  <c r="B2" i="44" s="1"/>
  <c r="J18" i="44"/>
  <c r="J27" i="44" s="1"/>
  <c r="N52" i="37"/>
  <c r="O52" i="37" s="1"/>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L51" i="15"/>
  <c r="Q70" i="15" l="1"/>
  <c r="Q69" i="15" s="1"/>
  <c r="Q68" i="15"/>
  <c r="C40" i="15"/>
  <c r="C46" i="15" s="1"/>
  <c r="F7" i="37"/>
  <c r="S7" i="37" s="1"/>
  <c r="M70" i="69"/>
  <c r="L72" i="69"/>
  <c r="F68" i="39"/>
  <c r="B2" i="39" s="1"/>
  <c r="B5" i="39" s="1"/>
  <c r="H9" i="40"/>
  <c r="N65" i="40"/>
  <c r="N67" i="40" s="1"/>
  <c r="M67" i="40"/>
  <c r="F9" i="40" s="1"/>
  <c r="Q67" i="15"/>
  <c r="L46" i="15"/>
  <c r="B3" i="44"/>
  <c r="B5" i="44"/>
  <c r="B4" i="44"/>
  <c r="AA7" i="37"/>
  <c r="R42" i="37" s="1"/>
  <c r="E43" i="35"/>
  <c r="F43" i="35" s="1"/>
  <c r="E42" i="35"/>
  <c r="F42" i="35" s="1"/>
  <c r="I43" i="35"/>
  <c r="J43" i="35" s="1"/>
  <c r="C39" i="35"/>
  <c r="B3" i="35" s="1"/>
  <c r="B2" i="35" s="1"/>
  <c r="C38" i="35"/>
  <c r="H7" i="37"/>
  <c r="J7" i="37"/>
  <c r="Q48" i="15" l="1"/>
  <c r="Q54" i="15" s="1"/>
  <c r="Q66" i="15"/>
  <c r="Q76" i="15" s="1"/>
  <c r="C43" i="15"/>
  <c r="Q57" i="15"/>
  <c r="Q63" i="15" s="1"/>
  <c r="J42" i="15"/>
  <c r="J43" i="15" s="1"/>
  <c r="B2" i="15"/>
  <c r="C10" i="12" s="1"/>
  <c r="C6" i="12" s="1"/>
  <c r="N70" i="69"/>
  <c r="N72" i="69" s="1"/>
  <c r="M72" i="69"/>
  <c r="H9" i="69"/>
  <c r="J9" i="69"/>
  <c r="F9" i="69"/>
  <c r="B3" i="39"/>
  <c r="B4" i="39"/>
  <c r="B3" i="15"/>
  <c r="C8" i="12" s="1"/>
  <c r="Y27" i="1" s="1"/>
  <c r="Y21" i="1" s="1"/>
  <c r="AA9" i="40"/>
  <c r="R44" i="40" s="1"/>
  <c r="S9" i="40"/>
  <c r="J9" i="40"/>
  <c r="AB9" i="40"/>
  <c r="T44" i="40" s="1"/>
  <c r="G44" i="40" s="1"/>
  <c r="U9" i="40"/>
  <c r="W7" i="37"/>
  <c r="AC7" i="37"/>
  <c r="V42" i="37" s="1"/>
  <c r="I42" i="37" s="1"/>
  <c r="AB7" i="37"/>
  <c r="T42" i="37" s="1"/>
  <c r="G42" i="37" s="1"/>
  <c r="U7" i="37"/>
  <c r="E42" i="37"/>
  <c r="R43" i="37"/>
  <c r="AC9" i="69" l="1"/>
  <c r="V49" i="69" s="1"/>
  <c r="I49" i="69" s="1"/>
  <c r="I53" i="69" s="1"/>
  <c r="J53" i="69" s="1"/>
  <c r="W9" i="69"/>
  <c r="AA9" i="69"/>
  <c r="R49" i="69" s="1"/>
  <c r="S9" i="69"/>
  <c r="U9" i="69"/>
  <c r="AB9" i="69"/>
  <c r="T49" i="69" s="1"/>
  <c r="G49" i="69" s="1"/>
  <c r="C24" i="12"/>
  <c r="C29" i="12"/>
  <c r="AC9" i="40"/>
  <c r="V44" i="40" s="1"/>
  <c r="I44" i="40" s="1"/>
  <c r="I48" i="40" s="1"/>
  <c r="J48" i="40" s="1"/>
  <c r="W9" i="40"/>
  <c r="R45" i="40"/>
  <c r="E44" i="40"/>
  <c r="G48" i="40"/>
  <c r="H48" i="40" s="1"/>
  <c r="C43" i="37"/>
  <c r="B3" i="37" s="1"/>
  <c r="B2" i="37" s="1"/>
  <c r="C42" i="37"/>
  <c r="I46" i="37"/>
  <c r="J46" i="37" s="1"/>
  <c r="I47" i="37"/>
  <c r="J47" i="37" s="1"/>
  <c r="E47" i="37"/>
  <c r="F47" i="37" s="1"/>
  <c r="E46" i="37"/>
  <c r="F46" i="37" s="1"/>
  <c r="G46" i="37"/>
  <c r="H46" i="37" s="1"/>
  <c r="G47" i="37"/>
  <c r="H47" i="37" s="1"/>
  <c r="G54" i="69" l="1"/>
  <c r="H54" i="69" s="1"/>
  <c r="G53" i="69"/>
  <c r="H53" i="69" s="1"/>
  <c r="R50" i="69"/>
  <c r="E49" i="69"/>
  <c r="C35" i="12"/>
  <c r="C33" i="12" s="1"/>
  <c r="C28" i="12"/>
  <c r="C26" i="12" s="1"/>
  <c r="C31" i="12" s="1"/>
  <c r="C30" i="12" s="1"/>
  <c r="G49" i="40"/>
  <c r="H49" i="40" s="1"/>
  <c r="I49" i="40"/>
  <c r="J49" i="40" s="1"/>
  <c r="E49" i="40"/>
  <c r="F49" i="40" s="1"/>
  <c r="E48" i="40"/>
  <c r="F48" i="40" s="1"/>
  <c r="C44" i="40"/>
  <c r="C45" i="40"/>
  <c r="I54" i="69" l="1"/>
  <c r="J54" i="69" s="1"/>
  <c r="E54" i="69"/>
  <c r="F54" i="69" s="1"/>
  <c r="E53" i="69"/>
  <c r="F53" i="69" s="1"/>
  <c r="C50" i="69"/>
  <c r="C49" i="69"/>
  <c r="C36" i="12"/>
  <c r="B2" i="12" s="1"/>
  <c r="B4" i="12" s="1"/>
  <c r="B62" i="40"/>
  <c r="F62" i="40" s="1"/>
  <c r="B53" i="40"/>
  <c r="F53" i="40" s="1"/>
  <c r="B57" i="40"/>
  <c r="F57" i="40" s="1"/>
  <c r="F63" i="40"/>
  <c r="B2" i="40" s="1"/>
  <c r="B56" i="40"/>
  <c r="F56" i="40" s="1"/>
  <c r="B60" i="40"/>
  <c r="F60" i="40" s="1"/>
  <c r="B61" i="40"/>
  <c r="F61" i="40" s="1"/>
  <c r="B58" i="40"/>
  <c r="F58" i="40" s="1"/>
  <c r="B59" i="40"/>
  <c r="F59" i="40" s="1"/>
  <c r="B54" i="40"/>
  <c r="F54" i="40" s="1"/>
  <c r="B55" i="40"/>
  <c r="F55" i="40" s="1"/>
  <c r="D19" i="9"/>
  <c r="D21" i="9"/>
  <c r="B60" i="69" l="1"/>
  <c r="F60" i="69" s="1"/>
  <c r="B66" i="69"/>
  <c r="F66" i="69" s="1"/>
  <c r="B67" i="69"/>
  <c r="F67" i="69" s="1"/>
  <c r="B63" i="69"/>
  <c r="F63" i="69" s="1"/>
  <c r="B59" i="69"/>
  <c r="F59" i="69" s="1"/>
  <c r="B62" i="69"/>
  <c r="F62" i="69" s="1"/>
  <c r="B58" i="69"/>
  <c r="F58" i="69" s="1"/>
  <c r="B64" i="69"/>
  <c r="F64" i="69" s="1"/>
  <c r="B65" i="69"/>
  <c r="F65" i="69" s="1"/>
  <c r="B61" i="69"/>
  <c r="F61" i="69" s="1"/>
  <c r="F68" i="69"/>
  <c r="B2" i="69" s="1"/>
  <c r="B4" i="69" s="1"/>
  <c r="B3" i="12"/>
  <c r="L44" i="9"/>
  <c r="B5" i="12"/>
  <c r="B5" i="40"/>
  <c r="B3" i="40"/>
  <c r="B4" i="40"/>
  <c r="C19" i="9"/>
  <c r="D20" i="9"/>
  <c r="C21" i="9"/>
  <c r="G21" i="9" l="1"/>
  <c r="L43" i="9"/>
  <c r="D22" i="9"/>
  <c r="G19" i="9"/>
  <c r="C32" i="9" s="1"/>
  <c r="O38" i="9" s="1"/>
  <c r="B3" i="69"/>
  <c r="B5" i="69"/>
  <c r="C20" i="9"/>
  <c r="C35" i="9" l="1"/>
  <c r="F42" i="9" s="1"/>
  <c r="C33" i="9"/>
  <c r="D42" i="9" s="1"/>
  <c r="Q5" i="54" s="1"/>
  <c r="B47" i="63" s="1"/>
  <c r="O43" i="9"/>
  <c r="G22" i="9"/>
  <c r="C34" i="9"/>
  <c r="E42" i="9" s="1"/>
  <c r="P5" i="54" s="1"/>
  <c r="B46" i="63" s="1"/>
  <c r="C42" i="9"/>
  <c r="D14" i="66" s="1"/>
  <c r="N43" i="9"/>
  <c r="G20" i="9"/>
  <c r="K26" i="9"/>
  <c r="K25" i="9"/>
  <c r="N38" i="9" l="1"/>
  <c r="K28" i="9" s="1"/>
  <c r="R24" i="31"/>
  <c r="R31" i="31" s="1"/>
  <c r="S31" i="31" s="1"/>
  <c r="R5" i="54"/>
  <c r="B48" i="63" s="1"/>
  <c r="C44" i="9"/>
  <c r="O39" i="9" s="1"/>
  <c r="M38" i="9"/>
  <c r="K27" i="9" s="1"/>
  <c r="N68" i="9"/>
  <c r="E14" i="66"/>
  <c r="F14" i="66"/>
  <c r="R28" i="31" l="1"/>
  <c r="S28" i="31" s="1"/>
  <c r="R30" i="31"/>
  <c r="S30" i="31" s="1"/>
  <c r="R25" i="31"/>
  <c r="S25" i="31" s="1"/>
  <c r="R27" i="31"/>
  <c r="S27" i="31" s="1"/>
  <c r="S24" i="31"/>
  <c r="R29" i="31"/>
  <c r="S29" i="31" s="1"/>
  <c r="R26" i="31"/>
  <c r="S26" i="31" s="1"/>
  <c r="F44" i="9"/>
  <c r="N69" i="9"/>
  <c r="M84" i="9" s="1"/>
  <c r="N84" i="9" s="1"/>
  <c r="D44" i="9"/>
  <c r="E44" i="9"/>
  <c r="G14" i="66"/>
  <c r="K29" i="9"/>
  <c r="K30" i="9" s="1"/>
  <c r="R6" i="54"/>
  <c r="B50" i="63" s="1"/>
  <c r="S22" i="31" l="1"/>
  <c r="M87" i="9"/>
  <c r="N87" i="9" s="1"/>
  <c r="M85" i="9"/>
  <c r="N85" i="9" s="1"/>
  <c r="M83" i="9"/>
  <c r="N83" i="9" s="1"/>
  <c r="M86" i="9"/>
  <c r="N86" i="9" s="1"/>
  <c r="M88" i="9"/>
  <c r="N88" i="9" s="1"/>
  <c r="D62" i="9" l="1"/>
  <c r="D63" i="9" s="1"/>
  <c r="D73" i="9" s="1"/>
  <c r="N73" i="9" s="1"/>
  <c r="D15" i="66"/>
  <c r="G15" i="66" s="1"/>
  <c r="T22" i="31"/>
  <c r="R22" i="31"/>
  <c r="B21" i="31" s="1"/>
  <c r="B20" i="31"/>
  <c r="N89" i="9"/>
  <c r="O89" i="9" s="1"/>
  <c r="B6" i="66" l="1"/>
  <c r="D6" i="66" s="1"/>
  <c r="I15" i="66"/>
  <c r="C6" i="66"/>
  <c r="D70" i="9"/>
  <c r="C103" i="9"/>
  <c r="C82" i="9"/>
  <c r="C81" i="9" s="1"/>
  <c r="C85" i="9" s="1"/>
  <c r="C86" i="9" s="1"/>
  <c r="D72" i="9" s="1"/>
  <c r="C111" i="9"/>
  <c r="C104" i="9" s="1"/>
  <c r="D71" i="9"/>
  <c r="D66" i="9" s="1"/>
  <c r="N72" i="9" s="1"/>
  <c r="C90" i="9"/>
  <c r="D77" i="9"/>
  <c r="N75" i="9" s="1"/>
  <c r="C96" i="9"/>
  <c r="C91" i="9" s="1"/>
  <c r="E15" i="66"/>
  <c r="F15" i="66"/>
  <c r="B5" i="66"/>
  <c r="D5" i="66" l="1"/>
  <c r="C5" i="66"/>
  <c r="C97" i="9"/>
  <c r="C98" i="9" s="1"/>
  <c r="E98" i="9" s="1"/>
  <c r="E99" i="9" s="1"/>
  <c r="C113" i="9"/>
  <c r="C114" i="9" s="1"/>
  <c r="E114" i="9" s="1"/>
  <c r="E115" i="9" s="1"/>
  <c r="C99" i="9"/>
  <c r="C115" i="9"/>
  <c r="D76" i="9" s="1"/>
  <c r="D74" i="9" s="1"/>
  <c r="N74" i="9" s="1"/>
  <c r="O77" i="9" s="1"/>
  <c r="O78" i="9" l="1"/>
  <c r="O79" i="9"/>
  <c r="C46" i="9" s="1"/>
  <c r="Q77" i="9"/>
  <c r="K33" i="9" l="1"/>
  <c r="I14" i="66"/>
  <c r="B8" i="66" s="1"/>
  <c r="O41" i="9"/>
  <c r="R8" i="54" s="1"/>
  <c r="B54" i="63" s="1"/>
  <c r="D46" i="9"/>
  <c r="F46" i="9"/>
  <c r="E46" i="9"/>
  <c r="O80" i="9"/>
  <c r="O81" i="9"/>
  <c r="K34" i="9" l="1"/>
  <c r="C8" i="66"/>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<sst xmlns="http://schemas.openxmlformats.org/spreadsheetml/2006/main" count="9129" uniqueCount="3381">
  <si>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</si>
  <si>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</si>
  <si>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</si>
  <si>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</si>
  <si>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</si>
  <si>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</si>
  <si>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</si>
  <si>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</si>
  <si>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</si>
  <si>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</si>
  <si>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</si>
  <si>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</si>
  <si>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</si>
  <si>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</si>
  <si>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</si>
  <si>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</si>
  <si>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</si>
  <si>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</si>
  <si>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</si>
  <si>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</si>
  <si>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</si>
  <si>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</si>
  <si>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</si>
  <si>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</si>
  <si>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</si>
  <si>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</si>
  <si>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</si>
  <si>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</si>
  <si>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</si>
  <si>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</si>
  <si>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</si>
  <si>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</si>
  <si>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</si>
  <si>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</si>
  <si>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</si>
  <si>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</si>
  <si>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</si>
  <si>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</si>
  <si>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</si>
  <si>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</si>
  <si>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</si>
  <si>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</si>
  <si>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</si>
  <si>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</si>
  <si>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</si>
  <si>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</si>
  <si>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</si>
  <si>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</si>
  <si>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</si>
  <si>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</si>
  <si>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</si>
  <si>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</si>
  <si>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</si>
  <si>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</si>
  <si>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</si>
  <si>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</si>
  <si>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</si>
  <si>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</si>
  <si>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</si>
  <si>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</si>
  <si>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</si>
  <si>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</si>
  <si>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</si>
  <si>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</si>
  <si>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</si>
  <si>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</si>
  <si>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</si>
  <si>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</si>
  <si>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</si>
  <si>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</si>
  <si>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</si>
  <si>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</si>
  <si>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</si>
  <si>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</si>
  <si>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</si>
  <si>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</si>
  <si>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</si>
  <si>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</si>
  <si>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</si>
  <si>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</si>
  <si>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</si>
  <si>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</si>
  <si>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</si>
  <si>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</si>
  <si>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</si>
  <si>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</si>
  <si>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</si>
  <si>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</si>
  <si>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</si>
  <si>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</si>
  <si>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</si>
  <si>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</si>
  <si>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</si>
  <si>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</si>
  <si>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</si>
  <si>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</si>
  <si>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</si>
  <si>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</si>
  <si>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</si>
  <si>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</si>
  <si>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</si>
  <si>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</si>
  <si>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</si>
  <si>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</si>
  <si>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</si>
  <si>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</si>
  <si>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</si>
  <si>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</si>
  <si>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</si>
  <si>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</si>
  <si>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</si>
  <si>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</si>
  <si>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</si>
  <si>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</si>
  <si>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</si>
  <si>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</si>
  <si>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</si>
  <si>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</si>
  <si>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</si>
  <si>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</si>
  <si>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</si>
  <si>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</si>
  <si>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</si>
  <si>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</si>
  <si>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</si>
  <si>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</si>
  <si>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</si>
  <si>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</si>
  <si>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</si>
  <si>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</si>
  <si>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</si>
  <si>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</si>
  <si>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</si>
  <si>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</si>
  <si>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</si>
  <si>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</si>
  <si>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</si>
  <si>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</si>
  <si>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</si>
  <si>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</si>
  <si>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</si>
  <si>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</si>
  <si>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</si>
  <si>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</si>
  <si>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</si>
  <si>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</si>
  <si>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</si>
  <si>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</si>
  <si>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</si>
  <si>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</si>
  <si>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</si>
  <si>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</si>
  <si>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</si>
  <si>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</si>
  <si>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</si>
  <si>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</si>
  <si>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</si>
  <si>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</si>
  <si>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</si>
  <si>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</si>
  <si>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</si>
  <si>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</si>
  <si>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</si>
  <si>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</si>
  <si>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</si>
  <si>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</si>
  <si>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</si>
  <si>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</si>
  <si>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</si>
  <si>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</si>
  <si>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</si>
  <si>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</si>
  <si>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</si>
  <si>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</si>
  <si>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</si>
  <si>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</si>
  <si>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</si>
  <si>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</si>
  <si>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</si>
  <si>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</si>
  <si>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</si>
  <si>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</si>
  <si>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</si>
  <si>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</si>
  <si>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</si>
  <si>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</si>
  <si>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</si>
  <si>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</si>
  <si>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</si>
  <si>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</si>
  <si>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</si>
  <si>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</si>
  <si>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</si>
  <si>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</si>
  <si>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</si>
  <si>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</si>
  <si>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</si>
  <si>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</si>
  <si>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</si>
  <si>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</si>
  <si>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</si>
  <si>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</si>
  <si>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</si>
  <si>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</si>
  <si>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</si>
  <si>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</si>
  <si>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</si>
  <si>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</si>
  <si>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</si>
  <si>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</si>
  <si>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</si>
  <si>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</si>
  <si>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</si>
  <si>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</si>
  <si>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</si>
  <si>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</si>
  <si>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</si>
  <si>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</si>
  <si>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</si>
  <si>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</si>
  <si>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</si>
  <si>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</si>
  <si>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</si>
  <si>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</si>
  <si>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</si>
  <si>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</si>
  <si>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</si>
  <si>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</si>
  <si>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</si>
  <si>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</si>
  <si>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</si>
  <si>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</si>
  <si>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</si>
  <si>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</si>
  <si>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</si>
  <si>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</si>
  <si>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</si>
  <si>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</si>
  <si>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</si>
  <si>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</si>
  <si>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</si>
  <si>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</si>
  <si>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</si>
  <si>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</si>
  <si>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</si>
  <si>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</si>
  <si>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</si>
  <si>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</si>
  <si>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</si>
  <si>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</si>
  <si>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</si>
  <si>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</si>
  <si>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</si>
  <si>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</si>
  <si>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</si>
  <si>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</si>
  <si>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</si>
  <si>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</si>
  <si>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</si>
  <si>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</si>
  <si>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</si>
  <si>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</si>
  <si>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</si>
  <si>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</si>
  <si>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</si>
  <si>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</si>
  <si>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</si>
  <si>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</si>
  <si>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</si>
  <si>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</si>
  <si>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</si>
  <si>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</si>
  <si>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</si>
  <si>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</si>
  <si>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</si>
  <si>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</si>
  <si>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</si>
  <si>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</si>
  <si>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</si>
  <si>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</si>
  <si>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</si>
  <si>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</si>
  <si>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</si>
  <si>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</si>
  <si>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</si>
  <si>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</si>
  <si>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</si>
  <si>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</si>
  <si>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</si>
  <si>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</si>
  <si>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</si>
  <si>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</si>
  <si>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</si>
  <si>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</si>
  <si>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</si>
  <si>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</si>
  <si>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</si>
  <si>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</si>
  <si>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</si>
  <si>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</si>
  <si>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</si>
  <si>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</si>
  <si>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</si>
  <si>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</si>
  <si>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</si>
  <si>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</si>
  <si>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</si>
  <si>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</si>
  <si>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</si>
  <si>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</si>
  <si>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</si>
  <si>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</si>
  <si>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</si>
  <si>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</si>
  <si>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</si>
  <si>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</si>
  <si>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</si>
  <si>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</si>
  <si>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</si>
  <si>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</si>
  <si>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</si>
  <si>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</si>
  <si>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</si>
  <si>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</si>
  <si>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</si>
  <si>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</si>
  <si>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</si>
  <si>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</si>
  <si>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</si>
  <si>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</si>
  <si>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</si>
  <si>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</si>
  <si>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</si>
  <si>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</si>
  <si>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</si>
  <si>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</si>
  <si>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</si>
  <si>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</si>
  <si>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</si>
  <si>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</si>
  <si>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</si>
  <si>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</si>
  <si>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</si>
  <si>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</si>
  <si>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</si>
  <si>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</si>
  <si>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</si>
  <si>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</si>
  <si>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</si>
  <si>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</si>
  <si>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</si>
  <si>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</si>
  <si>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</si>
  <si>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</si>
  <si>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</si>
  <si>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</si>
  <si>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</si>
  <si>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</si>
  <si>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</si>
  <si>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</si>
  <si>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</si>
  <si>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</si>
  <si>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</si>
  <si>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</si>
  <si>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</si>
  <si>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</si>
  <si>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</si>
  <si>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</si>
  <si>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</si>
  <si>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</si>
  <si>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</si>
  <si>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</si>
  <si>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</si>
  <si>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</si>
  <si>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</si>
  <si>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</si>
  <si>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</si>
  <si>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</si>
  <si>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</si>
  <si>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</si>
  <si>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</si>
  <si>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</si>
  <si>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</si>
  <si>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</si>
  <si>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</si>
  <si>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</si>
  <si>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</si>
  <si>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</si>
  <si>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</si>
  <si>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</si>
  <si>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</si>
  <si>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</si>
  <si>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</si>
  <si>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</si>
  <si>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</si>
  <si>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</si>
  <si>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</si>
  <si>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</si>
  <si>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</si>
  <si>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</si>
  <si>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</si>
  <si>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</si>
  <si>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</si>
  <si>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</si>
  <si>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</si>
  <si>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</si>
  <si>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</si>
  <si>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</si>
  <si>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</si>
  <si>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</si>
  <si>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</si>
  <si>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</si>
  <si>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</si>
  <si>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</si>
  <si>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</si>
  <si>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</si>
  <si>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</si>
  <si>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</si>
  <si>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</si>
  <si>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</si>
  <si>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</si>
  <si>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</si>
  <si>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</si>
  <si>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</si>
  <si>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</si>
  <si>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</si>
  <si>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</si>
  <si>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</si>
  <si>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</si>
  <si>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</si>
  <si>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</si>
  <si>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</si>
  <si>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</si>
  <si>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</si>
  <si>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</si>
  <si>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</si>
  <si>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</si>
  <si>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</si>
  <si>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</si>
  <si>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</si>
  <si>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</si>
  <si>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</si>
  <si>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</si>
  <si>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</si>
  <si>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</si>
  <si>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</si>
  <si>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</si>
  <si>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</si>
  <si>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</si>
  <si>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</si>
  <si>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</si>
  <si>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</si>
  <si>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</si>
  <si>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</si>
  <si>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</si>
  <si>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</si>
  <si>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</si>
  <si>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</si>
  <si>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</si>
  <si>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</si>
  <si>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</si>
  <si>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</si>
  <si>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</si>
  <si>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</si>
  <si>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</si>
  <si>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</si>
  <si>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</si>
  <si>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</si>
  <si>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</si>
  <si>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</si>
  <si>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</si>
  <si>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</si>
  <si>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</si>
  <si>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</si>
  <si>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</si>
  <si>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</si>
  <si>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</si>
  <si>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</si>
  <si>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</si>
  <si>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</si>
  <si>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</si>
  <si>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</si>
  <si>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</si>
  <si>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</si>
  <si>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</si>
  <si>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</si>
  <si>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</si>
  <si>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</si>
  <si>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</si>
  <si>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</si>
  <si>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</si>
  <si>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</si>
  <si>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</si>
  <si>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</si>
  <si>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</si>
  <si>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</si>
  <si>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</si>
  <si>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</si>
  <si>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</si>
  <si>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</si>
  <si>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</si>
  <si>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</si>
  <si>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</si>
  <si>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</si>
  <si>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</si>
  <si>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</si>
  <si>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</si>
  <si>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</si>
  <si>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</si>
  <si>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</si>
  <si>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</si>
  <si>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</si>
  <si>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</si>
  <si>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</si>
  <si>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</si>
  <si>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</si>
  <si>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</si>
  <si>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</si>
  <si>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</si>
  <si>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</si>
  <si>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</si>
  <si>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</si>
  <si>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</si>
  <si>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</si>
  <si>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</si>
  <si>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</si>
  <si>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</si>
  <si>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</si>
  <si>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</si>
  <si>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</si>
  <si>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</si>
  <si>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</si>
  <si>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</si>
  <si>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</si>
  <si>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</si>
  <si>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</si>
  <si>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</si>
  <si>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</si>
  <si>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</si>
  <si>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</si>
  <si>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</si>
  <si>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</si>
  <si>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</si>
  <si>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</si>
  <si>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</si>
  <si>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</si>
  <si>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</si>
  <si>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</si>
  <si>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</si>
  <si>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</si>
  <si>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</si>
  <si>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</si>
  <si>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</si>
  <si>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</si>
  <si>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</si>
  <si>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</si>
  <si>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</si>
  <si>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</si>
  <si>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</si>
  <si>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</si>
  <si>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</si>
  <si>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</si>
  <si>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</si>
  <si>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</si>
  <si>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</si>
  <si>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</si>
  <si>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</si>
  <si>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</si>
  <si>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</si>
  <si>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</si>
  <si>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</si>
  <si>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</si>
  <si>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</si>
  <si>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</si>
  <si>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</si>
  <si>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</si>
  <si>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</si>
  <si>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</si>
  <si>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</si>
  <si>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</si>
  <si>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</si>
  <si>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</si>
  <si>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</si>
  <si>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</si>
  <si>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</si>
  <si>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</si>
  <si>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</si>
  <si>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</si>
  <si>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</si>
  <si>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</si>
  <si>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</si>
  <si>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</si>
  <si>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</si>
  <si>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</si>
  <si>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</si>
  <si>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</si>
  <si>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</si>
  <si>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</si>
  <si>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</si>
  <si>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</si>
  <si>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</si>
  <si>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</si>
  <si>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</si>
  <si>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</si>
  <si>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</si>
  <si>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</si>
  <si>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</si>
  <si>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</si>
  <si>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</si>
  <si>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</si>
  <si>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</si>
  <si>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</si>
  <si>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</si>
  <si>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</si>
  <si>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</si>
  <si>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</si>
  <si>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</si>
  <si>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</si>
  <si>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</si>
  <si>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</si>
  <si>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</si>
  <si>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</si>
  <si>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</si>
  <si>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</si>
  <si>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</si>
  <si>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</si>
  <si>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</si>
  <si>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</si>
  <si>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</si>
  <si>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</si>
  <si>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</si>
  <si>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</si>
  <si>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</si>
  <si>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</si>
  <si>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</si>
  <si>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</si>
  <si>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</si>
  <si>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</si>
  <si>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</si>
  <si>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</si>
  <si>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</si>
  <si>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</si>
  <si>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</si>
  <si>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</si>
  <si>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</si>
  <si>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</si>
  <si>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</si>
  <si>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</si>
  <si>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</si>
  <si>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</si>
  <si>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</si>
  <si>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</si>
  <si>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</si>
  <si>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</si>
  <si>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</si>
  <si>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</si>
  <si>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</si>
  <si>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</si>
  <si>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</si>
  <si>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</si>
  <si>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</si>
  <si>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</si>
  <si>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</si>
  <si>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</si>
  <si>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</si>
  <si>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</si>
  <si>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</si>
  <si>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</si>
  <si>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</si>
  <si>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</si>
  <si>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</si>
  <si>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</si>
  <si>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</si>
  <si>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</si>
  <si>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</si>
  <si>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</si>
  <si>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</si>
  <si>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</si>
  <si>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</si>
  <si>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</si>
  <si>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</si>
  <si>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</si>
  <si>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</si>
  <si>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</si>
  <si>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</si>
  <si>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</si>
  <si>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</si>
  <si>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</si>
  <si>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</si>
  <si>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</si>
  <si>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</si>
  <si>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</si>
  <si>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</si>
  <si>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</si>
  <si>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</si>
  <si>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</si>
  <si>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</si>
  <si>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</si>
  <si>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</si>
  <si>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</si>
  <si>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</si>
  <si>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</si>
  <si>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</si>
  <si>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</si>
  <si>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</si>
  <si>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</si>
  <si>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</si>
  <si>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</si>
  <si>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</si>
  <si>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</si>
  <si>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</si>
  <si>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</si>
  <si>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</si>
  <si>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</si>
  <si>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</si>
  <si>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</si>
  <si>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</si>
  <si>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</si>
  <si>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</si>
  <si>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</si>
  <si>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</si>
  <si>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</si>
  <si>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</si>
  <si>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</si>
  <si>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</si>
  <si>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</si>
  <si>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</si>
  <si>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</si>
  <si>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</si>
  <si>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</si>
  <si>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</si>
  <si>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</si>
  <si>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</si>
  <si>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</si>
  <si>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</si>
  <si>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</si>
  <si>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</si>
  <si>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</si>
  <si>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</si>
  <si>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</si>
  <si>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</si>
  <si>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</si>
  <si>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</si>
  <si>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</si>
  <si>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</si>
  <si>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</si>
  <si>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</si>
  <si>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</si>
  <si>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</si>
  <si>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</si>
  <si>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</si>
  <si>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</si>
  <si>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</si>
  <si>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</si>
  <si>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</si>
  <si>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</si>
  <si>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</si>
  <si>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</si>
  <si>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</si>
  <si>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</si>
  <si>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</si>
  <si>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</si>
  <si>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</si>
  <si>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</si>
  <si>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</si>
  <si>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</si>
  <si>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</si>
  <si>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</si>
  <si>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</si>
  <si>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</si>
  <si>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</si>
  <si>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</si>
  <si>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</si>
  <si>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</si>
  <si>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</si>
  <si>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</si>
  <si>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</si>
  <si>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</si>
  <si>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</si>
  <si>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</si>
  <si>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</si>
  <si>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</si>
  <si>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</si>
  <si>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</si>
  <si>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</si>
  <si>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</si>
  <si>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</si>
  <si>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</si>
  <si>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</si>
  <si>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</si>
  <si>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</si>
  <si>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</si>
  <si>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</si>
  <si>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</si>
  <si>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</si>
  <si>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</si>
  <si>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</si>
  <si>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</si>
  <si>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</si>
  <si>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</si>
  <si>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</si>
  <si>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</si>
  <si>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</si>
  <si>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</si>
  <si>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</si>
  <si>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</si>
  <si>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</si>
  <si>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</si>
  <si>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</si>
  <si>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</si>
  <si>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</si>
  <si>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</si>
  <si>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</si>
  <si>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</si>
  <si>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</si>
  <si>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</si>
  <si>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</si>
  <si>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</si>
  <si>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</si>
  <si>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</si>
  <si>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</si>
  <si>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</si>
  <si>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</si>
  <si>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</si>
  <si>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</si>
  <si>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</si>
  <si>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</si>
  <si>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</si>
  <si>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</si>
  <si>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</si>
  <si>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</si>
  <si>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</si>
  <si>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</si>
  <si>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</si>
  <si>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</si>
  <si>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</si>
  <si>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</si>
  <si>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</si>
  <si>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</si>
  <si>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</si>
  <si>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</si>
  <si>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</si>
  <si>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</si>
  <si>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</si>
  <si>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</si>
  <si>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</si>
  <si>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</si>
  <si>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</si>
  <si>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</si>
  <si>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</si>
  <si>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</si>
  <si>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</si>
  <si>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</si>
  <si>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</si>
  <si>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</si>
  <si>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</si>
  <si>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</si>
  <si>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</si>
  <si>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</si>
  <si>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</si>
  <si>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</si>
  <si>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</si>
  <si>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</si>
  <si>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</si>
  <si>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</si>
  <si>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</si>
  <si>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</si>
  <si>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</si>
  <si>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</si>
  <si>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</si>
  <si>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</si>
  <si>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</si>
  <si>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</si>
  <si>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</si>
  <si>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</si>
  <si>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</si>
  <si>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</si>
  <si>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</si>
  <si>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</si>
  <si>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</si>
  <si>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</si>
  <si>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</si>
  <si>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</si>
  <si>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</si>
  <si>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</si>
  <si>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</si>
  <si>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</si>
  <si>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</si>
  <si>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</si>
  <si>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</si>
  <si>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</si>
  <si>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</si>
  <si>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</si>
  <si>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</si>
  <si>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</si>
  <si>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</si>
  <si>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</si>
  <si>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</si>
  <si>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</si>
  <si>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</si>
  <si>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</si>
  <si>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</si>
  <si>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</si>
  <si>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</si>
  <si>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</si>
  <si>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</si>
  <si>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</si>
  <si>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</si>
  <si>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</si>
  <si>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</si>
  <si>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</si>
  <si>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</si>
  <si>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</si>
  <si>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</si>
  <si>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</si>
  <si>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</si>
  <si>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</si>
  <si>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</si>
  <si>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</si>
  <si>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</si>
  <si>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</si>
  <si>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</si>
  <si>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</si>
  <si>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</si>
  <si>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</si>
  <si>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</si>
  <si>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</si>
  <si>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</si>
  <si>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</si>
  <si>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</si>
  <si>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</si>
  <si>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</si>
  <si>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</si>
  <si>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</si>
  <si>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</si>
  <si>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</si>
  <si>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</si>
  <si>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</si>
  <si>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</si>
  <si>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</si>
  <si>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</si>
  <si>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</si>
  <si>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</si>
  <si>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</si>
  <si>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</si>
  <si>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</si>
  <si>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</si>
  <si>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</si>
  <si>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</si>
  <si>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</si>
  <si>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</si>
  <si>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</si>
  <si>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</si>
  <si>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</si>
  <si>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</si>
  <si>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</si>
  <si>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</si>
  <si>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</si>
  <si>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</si>
  <si>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</si>
  <si>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</si>
  <si>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</si>
  <si>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</si>
  <si>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</si>
  <si>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</si>
  <si>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</si>
  <si>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</si>
  <si>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</si>
  <si>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</si>
  <si>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</si>
  <si>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</si>
  <si>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</si>
  <si>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</si>
  <si>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</si>
  <si>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</si>
  <si>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</si>
  <si>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</si>
  <si>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</si>
  <si>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</si>
  <si>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</si>
  <si>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</si>
  <si>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</si>
  <si>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</si>
  <si>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</si>
  <si>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</si>
  <si>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</si>
  <si>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</si>
  <si>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</si>
  <si>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</si>
  <si>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</si>
  <si>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</si>
  <si>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</si>
  <si>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</si>
  <si>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</si>
  <si>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</si>
  <si>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</si>
  <si>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</si>
  <si>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</si>
  <si>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</si>
  <si>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</si>
  <si>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</si>
  <si>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</si>
  <si>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</si>
  <si>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</si>
  <si>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</si>
  <si>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</si>
  <si>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</si>
  <si>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</si>
  <si>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</si>
  <si>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</si>
  <si>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</si>
  <si>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</si>
  <si>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</si>
  <si>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</si>
  <si>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</si>
  <si>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</si>
  <si>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</si>
  <si>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</si>
  <si>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</si>
  <si>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</si>
  <si>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</si>
  <si>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</si>
  <si>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</si>
  <si>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</si>
  <si>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</si>
  <si>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</si>
  <si>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</si>
  <si>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</si>
  <si>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</si>
  <si>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</si>
  <si>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</si>
  <si>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</si>
  <si>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</si>
  <si>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</si>
  <si>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</si>
  <si>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</si>
  <si>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</si>
  <si>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</si>
  <si>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</si>
  <si>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</si>
  <si>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</si>
  <si>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</si>
  <si>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</si>
  <si>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</si>
  <si>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</si>
  <si>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</si>
  <si>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</si>
  <si>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</si>
  <si>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</si>
  <si>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</si>
  <si>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</si>
  <si>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</si>
  <si>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</si>
  <si>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</si>
  <si>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</si>
  <si>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</si>
  <si>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</si>
  <si>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</si>
  <si>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</si>
  <si>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</si>
  <si>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</si>
  <si>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</si>
  <si>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</si>
  <si>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</si>
  <si>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</si>
  <si>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</si>
  <si>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</si>
  <si>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</si>
  <si>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</si>
  <si>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</si>
  <si>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</si>
  <si>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</si>
  <si>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</si>
  <si>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</si>
  <si>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</si>
  <si>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</si>
  <si>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</si>
  <si>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</si>
  <si>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</si>
  <si>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</si>
  <si>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</si>
  <si>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</si>
  <si>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</si>
  <si>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</si>
  <si>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</si>
  <si>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</si>
  <si>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</si>
  <si>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</si>
  <si>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</si>
  <si>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</si>
  <si>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</si>
  <si>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</si>
  <si>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</si>
  <si>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</si>
  <si>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</si>
  <si>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</si>
  <si>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</si>
  <si>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</si>
  <si>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</si>
  <si>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</si>
  <si>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</si>
  <si>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</si>
  <si>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</si>
  <si>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</si>
  <si>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</si>
  <si>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</si>
  <si>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</si>
  <si>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</si>
  <si>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</si>
  <si>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</si>
  <si>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</si>
  <si>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</si>
  <si>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</si>
  <si>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</si>
  <si>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</si>
  <si>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</si>
  <si>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</si>
  <si>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</si>
  <si>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</si>
  <si>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</si>
  <si>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</si>
  <si>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</si>
  <si>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</si>
  <si>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</si>
  <si>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</si>
  <si>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</si>
  <si>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</si>
  <si>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</si>
  <si>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</si>
  <si>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</si>
  <si>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</si>
  <si>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</si>
  <si>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</si>
  <si>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</si>
  <si>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</si>
  <si>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</si>
  <si>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</si>
  <si>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</si>
  <si>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</si>
  <si>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</si>
  <si>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</si>
  <si>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</si>
  <si>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</si>
  <si>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</si>
  <si>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</si>
  <si>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</si>
  <si>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</si>
  <si>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</si>
  <si>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</si>
  <si>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</si>
  <si>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</si>
  <si>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</si>
  <si>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</si>
  <si>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</si>
  <si>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</si>
  <si>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</si>
  <si>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</si>
  <si>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</si>
  <si>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</si>
  <si>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</si>
  <si>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</si>
  <si>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</si>
  <si>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</si>
  <si>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</si>
  <si>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</si>
  <si>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</si>
  <si>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</si>
  <si>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</si>
  <si>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</si>
  <si>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</si>
  <si>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</si>
  <si>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</si>
  <si>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</si>
  <si>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</si>
  <si>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</si>
  <si>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</si>
  <si>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</si>
  <si>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</si>
  <si>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</si>
  <si>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</si>
  <si>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</si>
  <si>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</si>
  <si>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</si>
  <si>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</si>
  <si>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</si>
  <si>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</si>
  <si>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</si>
  <si>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</si>
  <si>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</si>
  <si>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</si>
  <si>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</si>
  <si>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</si>
  <si>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</si>
  <si>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</si>
  <si>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</si>
  <si>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</si>
  <si>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</si>
  <si>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</si>
  <si>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</si>
  <si>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</si>
  <si>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</si>
  <si>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</si>
  <si>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</si>
  <si>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</si>
  <si>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</si>
  <si>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</si>
  <si>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</si>
  <si>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</si>
  <si>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</si>
  <si>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</si>
  <si>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</si>
  <si>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</si>
  <si>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</si>
  <si>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</si>
  <si>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</si>
  <si>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</si>
  <si>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</si>
  <si>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</si>
  <si>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</si>
  <si>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</si>
  <si>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</si>
  <si>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</si>
  <si>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</si>
  <si>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</si>
  <si>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</si>
  <si>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</si>
  <si>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</si>
  <si>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</si>
  <si>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</si>
  <si>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</si>
  <si>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</si>
  <si>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</si>
  <si>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</si>
  <si>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</si>
  <si>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</si>
  <si>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</si>
  <si>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</si>
  <si>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</si>
  <si>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</si>
  <si>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</si>
  <si>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</si>
  <si>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</si>
  <si>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</si>
  <si>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</si>
  <si>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</si>
  <si>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</si>
  <si>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</si>
  <si>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</si>
  <si>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</si>
  <si>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</si>
  <si>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</si>
  <si>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</si>
  <si>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</si>
  <si>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</si>
  <si>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</si>
  <si>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</si>
  <si>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</si>
  <si>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</si>
  <si>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</si>
  <si>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</si>
  <si>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</si>
  <si>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</si>
  <si>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</si>
  <si>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</si>
  <si>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</si>
  <si>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</si>
  <si>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</si>
  <si>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</si>
  <si>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</si>
  <si>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</si>
  <si>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</si>
  <si>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</si>
  <si>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</si>
  <si>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</si>
  <si>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</si>
  <si>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</si>
  <si>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</si>
  <si>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</si>
  <si>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</si>
  <si>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</si>
  <si>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</si>
  <si>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</si>
  <si>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</si>
  <si>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</si>
  <si>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</si>
  <si>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</si>
  <si>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</si>
  <si>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</si>
  <si>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</si>
  <si>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</si>
  <si>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</si>
  <si>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</si>
  <si>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</si>
  <si>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</si>
  <si>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</si>
  <si>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</si>
  <si>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</si>
  <si>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</si>
  <si>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</si>
  <si>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</si>
  <si>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</si>
  <si>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</si>
  <si>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</si>
  <si>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</si>
  <si>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</si>
  <si>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</si>
  <si>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</si>
  <si>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</si>
  <si>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</si>
  <si>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</si>
  <si>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</si>
  <si>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</si>
  <si>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</si>
  <si>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</si>
  <si>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</si>
  <si>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</si>
  <si>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</si>
  <si>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</si>
  <si>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</si>
  <si>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</si>
  <si>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</si>
  <si>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</si>
  <si>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</si>
  <si>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</si>
  <si>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</si>
  <si>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</si>
  <si>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</si>
  <si>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</si>
  <si>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</si>
  <si>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</si>
  <si>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</si>
  <si>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</si>
  <si>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</si>
  <si>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</si>
  <si>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</si>
  <si>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</si>
  <si>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</si>
  <si>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</si>
  <si>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</si>
  <si>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</si>
  <si>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</si>
  <si>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</si>
  <si>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</si>
  <si>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</si>
  <si>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</si>
  <si>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</si>
  <si>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</si>
  <si>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</si>
  <si>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</si>
  <si>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</si>
  <si>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</si>
  <si>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</si>
  <si>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</si>
  <si>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</si>
  <si>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</si>
  <si>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</si>
  <si>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</si>
  <si>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</si>
  <si>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</si>
  <si>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</si>
  <si>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</si>
  <si>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</si>
  <si>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</si>
  <si>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</si>
  <si>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</si>
  <si>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</si>
  <si>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</si>
  <si>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</si>
  <si>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</si>
  <si>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</si>
  <si>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</si>
  <si>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</si>
  <si>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</si>
  <si>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</si>
  <si>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</si>
  <si>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</si>
  <si>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</si>
  <si>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</si>
  <si>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</si>
  <si>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</si>
  <si>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</si>
  <si>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</si>
  <si>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</si>
  <si>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</si>
  <si>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</si>
  <si>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</si>
  <si>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</si>
  <si>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</si>
  <si>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</si>
  <si>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</si>
  <si>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</si>
  <si>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</si>
  <si>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</si>
  <si>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</si>
  <si>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</si>
  <si>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</si>
  <si>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</si>
  <si>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</si>
  <si>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</si>
  <si>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</si>
  <si>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</si>
  <si>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</si>
  <si>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</si>
  <si>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</si>
  <si>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</si>
  <si>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</si>
  <si>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</si>
  <si>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</si>
  <si>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</si>
  <si>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</si>
  <si>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</si>
  <si>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</si>
  <si>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</si>
  <si>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</si>
  <si>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</si>
  <si>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</si>
  <si>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</si>
  <si>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</si>
  <si>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</si>
  <si>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</si>
  <si>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</si>
  <si>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</si>
  <si>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</si>
  <si>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</si>
  <si>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</si>
  <si>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</si>
  <si>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</si>
  <si>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</si>
  <si>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</si>
  <si>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</si>
  <si>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</si>
  <si>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</si>
  <si>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</si>
  <si>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</si>
  <si>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</si>
  <si>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</si>
  <si>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</si>
  <si>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</si>
  <si>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</si>
  <si>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</si>
  <si>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</si>
  <si>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</si>
  <si>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</si>
  <si>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</si>
  <si>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</si>
  <si>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</si>
  <si>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</si>
  <si>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</si>
  <si>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</si>
  <si>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</si>
  <si>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</si>
  <si>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</si>
  <si>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</si>
  <si>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</si>
  <si>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</si>
  <si>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</si>
  <si>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</si>
  <si>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</si>
  <si>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</si>
  <si>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</si>
  <si>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</si>
  <si>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</si>
  <si>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</si>
  <si>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</si>
  <si>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</si>
  <si>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</si>
  <si>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</si>
  <si>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</si>
  <si>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</si>
  <si>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</si>
  <si>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</si>
  <si>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</si>
  <si>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</si>
  <si>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</si>
  <si>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</si>
  <si>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</si>
  <si>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</si>
  <si>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</si>
  <si>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</si>
  <si>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</si>
  <si>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</si>
  <si>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</si>
  <si>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</si>
  <si>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</si>
  <si>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</si>
  <si>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</si>
  <si>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</si>
  <si>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</si>
  <si>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</si>
  <si>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</si>
  <si>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</si>
  <si>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</si>
  <si>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</si>
  <si>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</si>
  <si>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</si>
  <si>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</si>
  <si>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</si>
  <si>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</si>
  <si>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</si>
  <si>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</si>
  <si>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</si>
  <si>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</si>
  <si>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</si>
  <si>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</si>
  <si>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</si>
  <si>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</si>
  <si>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</si>
  <si>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</si>
  <si>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</si>
  <si>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</si>
  <si>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</si>
  <si>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</si>
  <si>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</si>
  <si>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</si>
  <si>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</si>
  <si>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</si>
  <si>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</si>
  <si>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</si>
  <si>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</si>
  <si>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</si>
  <si>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</si>
  <si>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</si>
  <si>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</si>
  <si>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</si>
  <si>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</si>
  <si>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</si>
  <si>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</si>
  <si>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</si>
  <si>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</si>
  <si>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</si>
  <si>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</si>
  <si>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</si>
  <si>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</si>
  <si>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</si>
  <si>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</si>
  <si>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</si>
  <si>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</si>
  <si>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</si>
  <si>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</si>
  <si>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</si>
  <si>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</si>
  <si>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</si>
  <si>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</si>
  <si>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</si>
  <si>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</si>
  <si>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</si>
  <si>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</si>
  <si>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</si>
  <si>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</si>
  <si>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</si>
  <si>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</si>
  <si>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</si>
  <si>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</si>
  <si>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</si>
  <si>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</si>
  <si>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</si>
  <si>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</si>
  <si>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</si>
  <si>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</si>
  <si>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</si>
  <si>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</si>
  <si>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</si>
  <si>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</si>
  <si>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</si>
  <si>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</si>
  <si>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</si>
  <si>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</si>
  <si>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</si>
  <si>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</si>
  <si>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</si>
  <si>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</si>
  <si>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</si>
  <si>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</si>
  <si>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</si>
  <si>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</si>
  <si>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</si>
  <si>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</si>
  <si>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</si>
  <si>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</si>
  <si>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</si>
  <si>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</si>
  <si>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</si>
  <si>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</si>
  <si>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</si>
  <si>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</si>
  <si>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</si>
  <si>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</si>
  <si>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</si>
  <si>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</si>
  <si>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</si>
  <si>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</si>
  <si>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</si>
  <si>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</si>
  <si>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</si>
  <si>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</si>
  <si>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</si>
  <si>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</si>
  <si>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</si>
  <si>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</si>
  <si>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</si>
  <si>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</si>
  <si>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</si>
  <si>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</si>
  <si>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</si>
  <si>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</si>
  <si>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</si>
  <si>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</si>
  <si>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</si>
  <si>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</si>
  <si>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</si>
  <si>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</si>
  <si>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</si>
  <si>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</si>
  <si>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</si>
  <si>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</si>
  <si>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</si>
  <si>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</si>
  <si>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</si>
  <si>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</si>
  <si>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</si>
  <si>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</si>
  <si>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</si>
  <si>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</si>
  <si>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</si>
  <si>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</si>
  <si>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</si>
  <si>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</si>
  <si>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</si>
  <si>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</si>
  <si>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</si>
  <si>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</si>
  <si>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</si>
  <si>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</si>
  <si>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</si>
  <si>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</si>
  <si>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</si>
  <si>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</si>
  <si>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</si>
  <si>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</si>
  <si>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</si>
  <si>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</si>
  <si>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</si>
  <si>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</si>
  <si>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</si>
  <si>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</si>
  <si>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</si>
  <si>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</si>
  <si>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</si>
  <si>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</si>
  <si>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</si>
  <si>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</si>
  <si>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</si>
  <si>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</si>
  <si>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</si>
  <si>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</si>
  <si>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</si>
  <si>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</si>
  <si>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</si>
  <si>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</si>
  <si>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</si>
  <si>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</si>
  <si>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</si>
  <si>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</si>
  <si>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</si>
  <si>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</si>
  <si>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</si>
  <si>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</si>
  <si>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</si>
  <si>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</si>
  <si>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</si>
  <si>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</si>
  <si>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</si>
  <si>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</si>
  <si>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</si>
  <si>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</si>
  <si>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</si>
  <si>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</si>
  <si>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</si>
  <si>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</si>
  <si>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</si>
  <si>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</si>
  <si>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</si>
  <si>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</si>
  <si>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</si>
  <si>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</si>
  <si>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</si>
  <si>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</si>
  <si>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</si>
  <si>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</si>
  <si>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</si>
  <si>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</si>
  <si>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</si>
  <si>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</si>
  <si>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</si>
  <si>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</si>
  <si>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</si>
  <si>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</si>
  <si>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</si>
  <si>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</si>
  <si>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</si>
  <si>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</si>
  <si>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</si>
  <si>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</si>
  <si>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</si>
  <si>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</si>
  <si>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</si>
  <si>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</si>
  <si>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</si>
  <si>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</si>
  <si>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</si>
  <si>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</si>
  <si>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</si>
  <si>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</si>
  <si>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</si>
  <si>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</si>
  <si>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</si>
  <si>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</si>
  <si>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</si>
  <si>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</si>
  <si>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</si>
  <si>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</si>
  <si>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</si>
  <si>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</si>
  <si>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</si>
  <si>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</si>
  <si>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</si>
  <si>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</si>
  <si>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</si>
  <si>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</si>
  <si>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</si>
  <si>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</si>
  <si>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</si>
  <si>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</si>
  <si>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</si>
  <si>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</si>
  <si>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</si>
  <si>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</si>
  <si>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</si>
  <si>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</si>
  <si>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</si>
  <si>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</si>
  <si>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</si>
  <si>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</si>
  <si>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</si>
  <si>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</si>
  <si>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</si>
  <si>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</si>
  <si>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</si>
  <si>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</si>
  <si>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</si>
  <si>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</si>
  <si>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</si>
  <si>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</si>
  <si>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</si>
  <si>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</si>
  <si>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</si>
  <si>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</si>
  <si>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</si>
  <si>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</si>
  <si>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</si>
  <si>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</si>
  <si>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</si>
  <si>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</si>
  <si>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</si>
  <si>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</si>
  <si>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</si>
  <si>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</si>
  <si>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</si>
  <si>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</si>
  <si>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</si>
  <si>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</si>
  <si>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</si>
  <si>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</si>
  <si>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</si>
  <si>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</si>
  <si>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</si>
  <si>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</si>
  <si>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</si>
  <si>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</si>
  <si>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</si>
  <si>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</si>
  <si>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</si>
  <si>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</si>
  <si>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</si>
  <si>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</si>
  <si>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</si>
  <si>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</si>
  <si>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</si>
  <si>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</si>
  <si>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</si>
  <si>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</si>
  <si>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</si>
  <si>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</si>
  <si>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</si>
  <si>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</si>
  <si>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</si>
  <si>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</si>
  <si>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</si>
  <si>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</si>
  <si>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</si>
  <si>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</si>
  <si>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</si>
  <si>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</si>
  <si>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</si>
  <si>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</si>
  <si>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</si>
  <si>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</si>
  <si>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</si>
  <si>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</si>
  <si>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</si>
  <si>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</si>
  <si>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</si>
  <si>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</si>
  <si>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</si>
  <si>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</si>
  <si>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</si>
  <si>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</si>
  <si>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</si>
  <si>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</si>
  <si>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</si>
  <si>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</si>
  <si>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</si>
  <si>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</si>
  <si>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</si>
  <si>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</si>
  <si>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</si>
  <si>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</si>
  <si>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</si>
  <si>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</si>
  <si>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</si>
  <si>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</si>
  <si>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</si>
  <si>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</si>
  <si>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</si>
  <si>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</si>
  <si>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</si>
  <si>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</si>
  <si>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</si>
  <si>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</si>
  <si>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</si>
  <si>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</si>
  <si>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</si>
  <si>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</si>
  <si>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</si>
  <si>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</si>
  <si>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</si>
  <si>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</si>
  <si>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</si>
  <si>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</si>
  <si>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</si>
  <si>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</si>
  <si>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</si>
  <si>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</si>
  <si>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</si>
  <si>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</si>
  <si>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</si>
  <si>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</si>
  <si>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</si>
  <si>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</si>
  <si>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</si>
  <si>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</si>
  <si>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</si>
  <si>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</si>
  <si>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</si>
  <si>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</si>
  <si>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</si>
  <si>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</si>
  <si>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</si>
  <si>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</si>
  <si>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</si>
  <si>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</si>
  <si>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</si>
  <si>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</si>
  <si>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</si>
  <si>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</si>
  <si>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</si>
  <si>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</si>
  <si>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</si>
  <si>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</si>
  <si>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</si>
  <si>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</si>
  <si>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</si>
  <si>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</si>
  <si>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</si>
  <si>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</si>
  <si>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</si>
  <si>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</si>
  <si>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</si>
  <si>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</si>
  <si>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</si>
  <si>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</si>
  <si>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</si>
  <si>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</si>
  <si>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</si>
  <si>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</si>
  <si>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</si>
  <si>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</si>
  <si>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</si>
  <si>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</si>
  <si>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</si>
  <si>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</si>
  <si>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</si>
  <si>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</si>
  <si>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</si>
  <si>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</si>
  <si>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</si>
  <si>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</si>
  <si>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</si>
  <si>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</si>
  <si>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</si>
  <si>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</si>
  <si>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</si>
  <si>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</si>
  <si>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</si>
  <si>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</si>
  <si>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</si>
  <si>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</si>
  <si>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</si>
  <si>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</si>
  <si>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</si>
  <si>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</si>
  <si>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</si>
  <si>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</si>
  <si>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</si>
  <si>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</si>
  <si>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</si>
  <si>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</si>
  <si>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</si>
  <si>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</si>
  <si>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</si>
  <si>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</si>
  <si>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</si>
  <si>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</si>
  <si>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</si>
  <si>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</si>
  <si>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</si>
  <si>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</si>
  <si>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</si>
  <si>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</si>
  <si>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</si>
  <si>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</si>
  <si>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</si>
  <si>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</si>
  <si>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</si>
  <si>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</si>
  <si>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</si>
  <si>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</si>
  <si>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</si>
  <si>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</si>
  <si>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</si>
  <si>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</si>
  <si>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</si>
  <si>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</si>
  <si>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</si>
  <si>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</si>
  <si>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</si>
  <si>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</si>
  <si>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</si>
  <si>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</si>
  <si>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</si>
  <si>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</si>
  <si>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</si>
  <si>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</si>
  <si>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</si>
  <si>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</si>
  <si>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</si>
  <si>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</si>
  <si>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</si>
  <si>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</si>
  <si>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</si>
  <si>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</si>
  <si>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</si>
  <si>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</si>
  <si>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</si>
  <si>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</si>
  <si>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</si>
  <si>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</si>
  <si>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</si>
  <si>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</si>
  <si>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</si>
  <si>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</si>
  <si>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</si>
  <si>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</si>
  <si>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</si>
  <si>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</si>
  <si>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</si>
  <si>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</si>
  <si>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</si>
  <si>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</si>
  <si>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</si>
  <si>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</si>
  <si>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</si>
  <si>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</si>
  <si>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</si>
  <si>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</si>
  <si>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</si>
  <si>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</si>
  <si>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</si>
  <si>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</si>
  <si>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</si>
  <si>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</si>
  <si>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</si>
  <si>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</si>
  <si>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</si>
  <si>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</si>
  <si>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</si>
  <si>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</si>
  <si>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</si>
  <si>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</si>
  <si>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</si>
  <si>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</si>
  <si>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</si>
  <si>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</si>
  <si>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</si>
  <si>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</si>
  <si>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</si>
  <si>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</si>
  <si>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</si>
  <si>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</si>
  <si>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</si>
  <si>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</si>
  <si>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</si>
  <si>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</si>
  <si>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</si>
  <si>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</si>
  <si>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</si>
  <si>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</si>
  <si>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</si>
  <si>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</si>
  <si>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</si>
  <si>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</si>
  <si>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</si>
  <si>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</si>
  <si>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</si>
  <si>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</si>
  <si>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</si>
  <si>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</si>
  <si>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</si>
  <si>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</si>
  <si>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</si>
  <si>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</si>
  <si>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</si>
  <si>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</si>
  <si>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</si>
  <si>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</si>
  <si>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</si>
  <si>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</si>
  <si>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</si>
  <si>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</si>
  <si>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</si>
  <si>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</si>
  <si>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</si>
  <si>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</si>
  <si>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</si>
  <si>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</si>
  <si>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</si>
  <si>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</si>
  <si>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</si>
  <si>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</si>
  <si>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</si>
  <si>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</si>
  <si>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</si>
  <si>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</si>
  <si>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</si>
  <si>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</si>
  <si>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</si>
  <si>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</si>
  <si>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</si>
  <si>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</si>
  <si>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</si>
  <si>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</si>
  <si>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</si>
  <si>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</si>
  <si>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</si>
  <si>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</si>
  <si>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</si>
  <si>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</si>
  <si>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</si>
  <si>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</si>
  <si>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</si>
  <si>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</si>
  <si>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</si>
  <si>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</si>
  <si>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</si>
  <si>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</si>
  <si>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</si>
  <si>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</si>
  <si>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</si>
  <si>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</si>
  <si>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</si>
  <si>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</si>
  <si>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</si>
  <si>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</si>
  <si>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</si>
  <si>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</si>
  <si>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</si>
  <si>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</si>
  <si>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</si>
  <si>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</si>
  <si>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</si>
  <si>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</si>
  <si>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</si>
  <si>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</si>
  <si>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</si>
  <si>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</si>
  <si>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</si>
  <si>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</si>
  <si>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</si>
  <si>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</si>
  <si>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</si>
  <si>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</si>
  <si>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</si>
  <si>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</si>
  <si>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</si>
  <si>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</si>
  <si>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</si>
  <si>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</si>
  <si>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</si>
  <si>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</si>
  <si>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</si>
  <si>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</si>
  <si>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</si>
  <si>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</si>
  <si>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</si>
  <si>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</si>
  <si>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</si>
  <si>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</si>
  <si>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</si>
  <si>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</si>
  <si>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</si>
  <si>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</si>
  <si>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</si>
  <si>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</si>
  <si>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</si>
  <si>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</si>
  <si>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</si>
  <si>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</si>
  <si>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</si>
  <si>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</si>
  <si>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</si>
  <si>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</si>
  <si>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</si>
  <si>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</si>
  <si>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</si>
  <si>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</si>
  <si>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</si>
  <si>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</si>
  <si>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</si>
  <si>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</si>
  <si>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</si>
  <si>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</si>
  <si>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</si>
  <si>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</si>
  <si>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</si>
  <si>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</si>
  <si>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</si>
  <si>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</si>
  <si>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</si>
  <si>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</si>
  <si>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</si>
  <si>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</si>
  <si>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</si>
  <si>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</si>
  <si>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</si>
  <si>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</si>
  <si>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</si>
  <si>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</si>
  <si>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</si>
  <si>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</si>
  <si>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</si>
  <si>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</si>
  <si>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</si>
  <si>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</si>
  <si>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</si>
  <si>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</si>
  <si>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</si>
  <si>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</si>
  <si>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</si>
  <si>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</si>
  <si>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</si>
  <si>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</si>
  <si>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</si>
  <si>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</si>
  <si>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</si>
  <si>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</si>
  <si>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</si>
  <si>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</si>
  <si>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</si>
  <si>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</si>
  <si>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</si>
  <si>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</si>
  <si>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</si>
  <si>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</si>
  <si>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</si>
  <si>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</si>
  <si>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</si>
  <si>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</si>
  <si>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</si>
  <si>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</si>
  <si>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</si>
  <si>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</si>
  <si>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</si>
  <si>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</si>
  <si>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</si>
  <si>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</si>
  <si>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</si>
  <si>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</si>
  <si>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</si>
  <si>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</si>
  <si>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</si>
  <si>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</si>
  <si>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</si>
  <si>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</si>
  <si>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</si>
  <si>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</si>
  <si>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</si>
  <si>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</si>
  <si>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</si>
  <si>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</si>
  <si>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</si>
  <si>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</si>
  <si>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</si>
  <si>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</si>
  <si>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</si>
  <si>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</si>
  <si>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</si>
  <si>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</si>
  <si>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</si>
  <si>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</si>
  <si>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</si>
  <si>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</si>
  <si>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</si>
  <si>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</si>
  <si>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</si>
  <si>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</si>
  <si>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</si>
  <si>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</si>
  <si>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</si>
  <si>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</si>
  <si>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</si>
  <si>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</si>
  <si>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</si>
  <si>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</si>
  <si>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</si>
  <si>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</si>
  <si>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</si>
  <si>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</si>
  <si>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</si>
  <si>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</si>
  <si>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</si>
  <si>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</si>
  <si>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</si>
  <si>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</si>
  <si>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</si>
  <si>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</si>
  <si>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</si>
  <si>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</si>
  <si>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</si>
  <si>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</si>
  <si>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</si>
  <si>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</si>
  <si>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</si>
  <si>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</si>
  <si>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</si>
  <si>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</si>
  <si>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</si>
  <si>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</si>
  <si>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</si>
  <si>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</si>
  <si>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</si>
  <si>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</si>
  <si>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</si>
  <si>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</si>
  <si>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</si>
  <si>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</si>
  <si>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</si>
  <si>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</si>
  <si>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</si>
  <si>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</si>
  <si>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</si>
  <si>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</si>
  <si>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</si>
  <si>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</si>
  <si>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</si>
  <si>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</si>
  <si>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</si>
  <si>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</si>
  <si>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</si>
  <si>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</si>
  <si>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</si>
  <si>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</si>
  <si>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</si>
  <si>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</si>
  <si>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</si>
  <si>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</si>
  <si>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</si>
  <si>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</si>
  <si>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</si>
  <si>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</si>
  <si>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</si>
  <si>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</si>
  <si>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</si>
  <si>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</si>
  <si>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</si>
  <si>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</si>
  <si>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</si>
  <si>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</si>
  <si>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</si>
  <si>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</si>
  <si>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</si>
  <si>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</si>
  <si>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</si>
  <si>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</si>
  <si>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</si>
  <si>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</si>
  <si>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</si>
  <si>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</si>
  <si>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</si>
  <si>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</si>
  <si>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</si>
  <si>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</si>
  <si>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</si>
  <si>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</si>
  <si>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</si>
  <si>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</si>
  <si>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</si>
  <si>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</si>
  <si>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</si>
  <si>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</si>
  <si>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</si>
  <si>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</si>
  <si>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</si>
  <si>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</si>
  <si>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</si>
  <si>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</si>
  <si>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</si>
  <si>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</si>
  <si>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</si>
  <si>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</si>
  <si>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</si>
  <si>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</si>
  <si>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</si>
  <si>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</si>
  <si>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</si>
  <si>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</si>
  <si>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</si>
  <si>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</si>
  <si>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</si>
  <si>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</si>
  <si>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</si>
  <si>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</si>
  <si>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</si>
  <si>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</si>
  <si>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</si>
  <si>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</si>
  <si>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</si>
  <si>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</si>
  <si>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</si>
  <si>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</si>
  <si>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</si>
  <si>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</si>
  <si>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</si>
  <si>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</si>
  <si>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</si>
  <si>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</si>
  <si>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</si>
  <si>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</si>
  <si>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</si>
  <si>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</si>
  <si>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</si>
  <si>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</si>
  <si>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</si>
  <si>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</si>
  <si>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</si>
  <si>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</si>
  <si>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</si>
  <si>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</si>
  <si>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</si>
  <si>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</si>
  <si>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</si>
  <si>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</si>
  <si>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</si>
  <si>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</si>
  <si>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</si>
  <si>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</si>
  <si>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</si>
  <si>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</si>
  <si>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</si>
  <si>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</si>
  <si>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</si>
  <si>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</si>
  <si>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</si>
  <si>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</si>
  <si>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</si>
  <si>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</si>
  <si>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</si>
  <si>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</si>
  <si>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</si>
  <si>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</si>
  <si>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</si>
  <si>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</si>
  <si>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</si>
  <si>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</si>
  <si>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</si>
  <si>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</si>
  <si>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</si>
  <si>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</si>
  <si>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</si>
  <si>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</si>
  <si>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</si>
  <si>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</si>
  <si>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</si>
  <si>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</si>
  <si>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</si>
  <si>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</si>
  <si>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</si>
  <si>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</si>
  <si>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</si>
  <si>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</si>
  <si>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</si>
  <si>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</si>
  <si>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</si>
  <si>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</si>
  <si>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</si>
  <si>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</si>
  <si>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</si>
  <si>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</si>
  <si>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</si>
  <si>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</si>
  <si>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</si>
  <si>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</si>
  <si>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</si>
  <si>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</si>
  <si>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</si>
  <si>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</si>
  <si>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</si>
  <si>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</si>
  <si>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</si>
  <si>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</si>
  <si>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</si>
  <si>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</si>
  <si>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</si>
  <si>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</si>
  <si>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</si>
  <si>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</si>
  <si>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</si>
  <si>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</si>
  <si>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</si>
  <si>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</si>
  <si>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</si>
  <si>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</si>
  <si>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</si>
  <si>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</si>
  <si>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</si>
  <si>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</si>
  <si>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</si>
  <si>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</si>
  <si>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</si>
  <si>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</si>
  <si>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</si>
  <si>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</si>
  <si>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</si>
  <si>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</si>
  <si>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</si>
  <si>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</si>
  <si>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</si>
  <si>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</si>
  <si>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</si>
  <si>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</si>
  <si>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</si>
  <si>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</si>
  <si>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</si>
  <si>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</si>
  <si>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</si>
  <si>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</si>
  <si>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</si>
  <si>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</si>
  <si>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</si>
  <si>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</si>
  <si>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</si>
  <si>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</si>
  <si>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</si>
  <si>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</si>
  <si>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</si>
  <si>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</si>
  <si>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</si>
  <si>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</si>
  <si>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</si>
  <si>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</si>
  <si>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</si>
  <si>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</si>
  <si>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</si>
  <si>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</si>
  <si>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</si>
  <si>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</si>
  <si>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</si>
  <si>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</si>
  <si>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</si>
  <si>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</si>
  <si>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</si>
  <si>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</si>
  <si>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</si>
  <si>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</si>
  <si>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</si>
  <si>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</si>
  <si>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</si>
  <si>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</si>
  <si>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</si>
  <si>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</si>
  <si>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</si>
  <si>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</si>
  <si>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</si>
  <si>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</si>
  <si>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</si>
  <si>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</si>
  <si>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</si>
  <si>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</si>
  <si>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</si>
  <si>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</si>
  <si>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</si>
  <si>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</si>
  <si>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</si>
  <si>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</si>
  <si>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</si>
  <si>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</si>
  <si>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</si>
  <si>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</si>
  <si>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</si>
  <si>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</si>
  <si>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</si>
  <si>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</si>
  <si>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</si>
  <si>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</si>
  <si>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</si>
  <si>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</si>
  <si>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</si>
  <si>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</si>
  <si>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</si>
  <si>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</si>
  <si>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</si>
  <si>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</si>
  <si>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</si>
  <si>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</si>
  <si>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</si>
  <si>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</si>
  <si>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</si>
  <si>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</si>
  <si>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</si>
  <si>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</si>
  <si>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</si>
  <si>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</si>
  <si>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</si>
  <si>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</si>
  <si>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</si>
  <si>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</si>
  <si>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</si>
  <si>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</si>
  <si>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</si>
  <si>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</si>
  <si>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</si>
  <si>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</si>
  <si>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</si>
  <si>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</si>
  <si>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</si>
  <si>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</si>
  <si>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</si>
  <si>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</si>
  <si>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</si>
  <si>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</si>
  <si>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</si>
  <si>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</si>
  <si>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</si>
  <si>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</si>
  <si>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</si>
  <si>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</si>
  <si>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</si>
  <si>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</si>
  <si>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</si>
  <si>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</si>
  <si>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</si>
  <si>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</si>
  <si>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</si>
  <si>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</si>
  <si>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</si>
  <si>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</si>
  <si>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</si>
  <si>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</si>
  <si>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</si>
  <si>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</si>
  <si>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</si>
  <si>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</si>
  <si>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</si>
  <si>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</si>
  <si>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</si>
  <si>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</si>
  <si>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</si>
  <si>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</si>
  <si>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</si>
  <si>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</si>
  <si>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</si>
  <si>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</si>
  <si>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</si>
  <si>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</si>
  <si>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</si>
  <si>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</si>
  <si>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</si>
  <si>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</si>
  <si>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</si>
  <si>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</si>
  <si>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</si>
  <si>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</si>
  <si>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</si>
  <si>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</si>
  <si>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</si>
  <si>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</si>
  <si>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</si>
  <si>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</si>
  <si>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</si>
  <si>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</si>
  <si>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</si>
  <si>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</si>
  <si>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</si>
  <si>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</si>
  <si>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</si>
  <si>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</si>
  <si>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</si>
  <si>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</si>
  <si>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</si>
  <si>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</si>
  <si>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</si>
  <si>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</si>
  <si>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</si>
  <si>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</si>
  <si>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</si>
  <si>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</si>
  <si>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</si>
  <si>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</si>
  <si>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</si>
  <si>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</si>
  <si>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</si>
  <si>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</si>
  <si>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</si>
  <si>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</si>
  <si>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</si>
  <si>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</si>
  <si>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</si>
  <si>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</si>
  <si>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</si>
  <si>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</si>
  <si>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</si>
  <si>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</si>
  <si>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</si>
  <si>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</si>
  <si>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</si>
  <si>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</si>
  <si>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</si>
  <si>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</si>
  <si>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</si>
  <si>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</si>
  <si>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</si>
  <si>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</si>
  <si>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</si>
  <si>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</si>
  <si>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</si>
  <si>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</si>
  <si>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</si>
  <si>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</si>
  <si>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</si>
  <si>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</si>
  <si>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</si>
  <si>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</si>
  <si>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</si>
  <si>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</si>
  <si>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</si>
  <si>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</si>
  <si>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</si>
  <si>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</si>
  <si>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</si>
  <si>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</si>
  <si>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</si>
  <si>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</si>
  <si>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</si>
  <si>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</si>
  <si>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</si>
  <si>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</si>
  <si>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</si>
  <si>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</si>
  <si>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</si>
  <si>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</si>
  <si>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</si>
  <si>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</si>
  <si>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</si>
  <si>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</si>
  <si>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</si>
  <si>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</si>
  <si>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</si>
  <si>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</si>
  <si>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</si>
  <si>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</si>
  <si>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</si>
  <si>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</si>
  <si>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</si>
  <si>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</si>
  <si>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</si>
  <si>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</si>
  <si>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</si>
  <si>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</si>
  <si>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</si>
  <si>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</si>
  <si>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</si>
  <si>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</si>
  <si>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</si>
  <si>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</si>
  <si>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</si>
  <si>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</si>
  <si>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</si>
  <si>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</si>
  <si>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</si>
  <si>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</si>
  <si>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</si>
  <si>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</si>
  <si>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</si>
  <si>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</si>
  <si>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</si>
  <si>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</si>
  <si>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</si>
  <si>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</si>
  <si>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</si>
  <si>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</si>
  <si>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</si>
  <si>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</si>
  <si>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</si>
  <si>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</si>
  <si>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</si>
  <si>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</si>
  <si>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</si>
  <si>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</si>
  <si>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</si>
  <si>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</si>
  <si>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</si>
  <si>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</si>
  <si>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</si>
  <si>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</si>
  <si>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</si>
  <si>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</si>
  <si>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</si>
  <si>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</si>
  <si>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</si>
  <si>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</si>
  <si>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</si>
  <si>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</si>
  <si>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</si>
  <si>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</si>
  <si>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</si>
  <si>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</si>
  <si>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</si>
  <si>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</si>
  <si>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</si>
  <si>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</si>
  <si>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</si>
  <si>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</si>
  <si>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</si>
  <si>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</si>
  <si>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</si>
  <si>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</si>
  <si>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</si>
  <si>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</si>
  <si>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</si>
  <si>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</si>
  <si>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</si>
  <si>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</si>
  <si>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</si>
  <si>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</si>
  <si>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</si>
  <si>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</si>
  <si>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</si>
  <si>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</si>
  <si>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</si>
  <si>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</si>
  <si>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</si>
  <si>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</si>
  <si>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</si>
  <si>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</si>
  <si>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</si>
  <si>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</si>
  <si>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</si>
  <si>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</si>
  <si>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</si>
  <si>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</si>
  <si>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</si>
  <si>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</si>
  <si>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</si>
  <si>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</si>
  <si>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</si>
  <si>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</si>
  <si>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</si>
  <si>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</si>
  <si>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</si>
  <si>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</si>
  <si>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</si>
  <si>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</si>
  <si>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</si>
  <si>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</si>
  <si>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</si>
  <si>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</si>
  <si>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</si>
  <si>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</si>
  <si>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</si>
  <si>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</si>
  <si>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</si>
  <si>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</si>
  <si>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</si>
  <si>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</si>
  <si>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</si>
  <si>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</si>
  <si>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</si>
  <si>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</si>
  <si>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</si>
  <si>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</si>
  <si>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</si>
  <si>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</si>
  <si>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</si>
  <si>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</si>
  <si>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</si>
  <si>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</si>
  <si>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</si>
  <si>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</si>
  <si>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</si>
  <si>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</si>
  <si>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</si>
  <si>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</si>
  <si>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</si>
  <si>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</si>
  <si>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</si>
  <si>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</si>
  <si>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</si>
  <si>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</si>
  <si>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</si>
  <si>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</si>
  <si>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</si>
  <si>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</si>
  <si>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</si>
  <si>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</si>
  <si>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</si>
  <si>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</si>
  <si>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</si>
  <si>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</si>
  <si>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</si>
  <si>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</si>
  <si>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</si>
  <si>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</si>
  <si>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</si>
  <si>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</si>
  <si>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</si>
  <si>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</si>
  <si>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</si>
  <si>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</si>
  <si>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</si>
  <si>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</si>
  <si>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</si>
  <si>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</si>
  <si>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</si>
  <si>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</si>
  <si>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</si>
  <si>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</si>
  <si>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</si>
  <si>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</si>
  <si>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</si>
  <si>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</si>
  <si>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</si>
  <si>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</si>
  <si>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</si>
  <si>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</si>
  <si>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</si>
  <si>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</si>
  <si>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</si>
  <si>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</si>
  <si>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</si>
  <si>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</si>
  <si>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</si>
  <si>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</si>
  <si>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</si>
  <si>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</si>
  <si>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</si>
  <si>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</si>
  <si>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</si>
  <si>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</si>
  <si>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</si>
  <si>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</si>
  <si>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</si>
  <si>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</si>
  <si>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</si>
  <si>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</si>
  <si>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</si>
  <si>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</si>
  <si>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</si>
  <si>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</si>
  <si>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</si>
  <si>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</si>
  <si>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</si>
  <si>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</si>
  <si>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</si>
  <si>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</si>
  <si>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</si>
  <si>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</si>
  <si>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</si>
  <si>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</si>
  <si>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</si>
  <si>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</si>
  <si>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</si>
  <si>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</si>
  <si>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</si>
  <si>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</si>
  <si>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</si>
  <si>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</si>
  <si>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</si>
  <si>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</si>
  <si>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</si>
  <si>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</si>
  <si>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</si>
  <si>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</si>
  <si>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</si>
  <si>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</si>
  <si>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</si>
  <si>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</si>
  <si>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</si>
  <si>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</si>
  <si>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</si>
  <si>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</si>
  <si>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</si>
  <si>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</si>
  <si>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</si>
  <si>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</si>
  <si>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</si>
  <si>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</si>
  <si>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</si>
  <si>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</si>
  <si>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</si>
  <si>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</si>
  <si>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2017A-006</t>
    <phoneticPr fontId="138"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</si>
  <si>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</si>
  <si>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</si>
  <si>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</si>
  <si>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</si>
  <si>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</si>
  <si>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</si>
  <si>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</si>
  <si>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</si>
  <si>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</si>
  <si>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</si>
  <si>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</si>
  <si>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</si>
  <si>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</si>
  <si>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</si>
  <si>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</si>
  <si>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</si>
  <si>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</si>
  <si>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</si>
  <si>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</si>
  <si>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</si>
  <si>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</si>
  <si>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</si>
  <si>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</si>
  <si>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</si>
  <si>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</si>
  <si>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</si>
  <si>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</si>
  <si>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</si>
  <si>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</si>
  <si>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</si>
  <si>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</si>
  <si>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</si>
  <si>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</si>
  <si>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</si>
  <si>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</si>
  <si>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</si>
  <si>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</si>
  <si>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</si>
  <si>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</si>
  <si>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</si>
  <si>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</si>
  <si>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</si>
  <si>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</si>
  <si>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</si>
  <si>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</si>
  <si>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</si>
  <si>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</si>
  <si>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</si>
  <si>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2019-2</t>
    <phoneticPr fontId="4" type="noConversion"/>
  </si>
  <si>
    <t>2019-1</t>
    <phoneticPr fontId="4" type="noConversion"/>
  </si>
  <si>
    <t>滨河路西侧，徐州大道北侧</t>
    <phoneticPr fontId="4" type="noConversion"/>
  </si>
  <si>
    <t>310国道南侧、权台矿北门东侧、徐州市高邦化纤有限公司北侧</t>
    <phoneticPr fontId="4" type="noConversion"/>
  </si>
  <si>
    <t>2016-73</t>
    <phoneticPr fontId="4" type="noConversion"/>
  </si>
  <si>
    <t>2016-66</t>
    <phoneticPr fontId="4" type="noConversion"/>
  </si>
  <si>
    <t>x1701</t>
    <phoneticPr fontId="4" type="noConversion"/>
  </si>
  <si>
    <t>经五路以西、丁卯桥路以南</t>
    <phoneticPr fontId="4" type="noConversion"/>
  </si>
  <si>
    <t>正常</t>
  </si>
  <si>
    <t>抵押</t>
  </si>
  <si>
    <t>抵押价格</t>
  </si>
  <si>
    <t>其他：</t>
  </si>
  <si>
    <t>企业</t>
  </si>
  <si>
    <t>一致</t>
  </si>
  <si>
    <t>符合</t>
  </si>
  <si>
    <t>商业</t>
  </si>
  <si>
    <t>否</t>
  </si>
  <si>
    <t>《国有土地使用证》</t>
  </si>
  <si>
    <t>通路</t>
  </si>
  <si>
    <t>通电</t>
  </si>
  <si>
    <t>通上水</t>
  </si>
  <si>
    <t>平整</t>
  </si>
  <si>
    <t>场地平整</t>
  </si>
  <si>
    <t>地上</t>
  </si>
  <si>
    <t>商业</t>
    <phoneticPr fontId="8" type="noConversion"/>
  </si>
  <si>
    <t>繁荣东路中段北侧</t>
  </si>
  <si>
    <t>繁荣东路中段北侧</t>
    <phoneticPr fontId="4" type="noConversion"/>
  </si>
  <si>
    <t>人民东路东段南侧</t>
  </si>
  <si>
    <t>人民东路东段南侧</t>
    <phoneticPr fontId="4" type="noConversion"/>
  </si>
  <si>
    <t>繁荣东路与东武街交叉路口东南角</t>
  </si>
  <si>
    <t>繁荣东路与东武街交叉路口东南角</t>
    <phoneticPr fontId="4" type="noConversion"/>
  </si>
  <si>
    <t>正常</t>
    <phoneticPr fontId="27" type="noConversion"/>
  </si>
  <si>
    <t>楼面地价</t>
  </si>
  <si>
    <t>土地</t>
  </si>
  <si>
    <t>不动产收益法</t>
  </si>
  <si>
    <t>土地（套用方法）</t>
  </si>
  <si>
    <t>押一</t>
  </si>
  <si>
    <t>按租金收入计税</t>
  </si>
  <si>
    <t>钢混</t>
  </si>
  <si>
    <t>剩余法-待开发</t>
  </si>
  <si>
    <r>
      <t>1</t>
    </r>
    <r>
      <rPr>
        <sz val="10"/>
        <color indexed="8"/>
        <rFont val="宋体"/>
        <family val="3"/>
        <charset val="134"/>
      </rPr>
      <t>层</t>
    </r>
    <phoneticPr fontId="4" type="noConversion"/>
  </si>
  <si>
    <r>
      <t>2</t>
    </r>
    <r>
      <rPr>
        <sz val="10"/>
        <color indexed="8"/>
        <rFont val="宋体"/>
        <family val="3"/>
        <charset val="134"/>
      </rPr>
      <t>层</t>
    </r>
    <phoneticPr fontId="4" type="noConversion"/>
  </si>
  <si>
    <r>
      <t>3</t>
    </r>
    <r>
      <rPr>
        <sz val="10"/>
        <color indexed="8"/>
        <rFont val="宋体"/>
        <family val="3"/>
        <charset val="134"/>
      </rPr>
      <t>层</t>
    </r>
    <phoneticPr fontId="4" type="noConversion"/>
  </si>
  <si>
    <r>
      <t>4</t>
    </r>
    <r>
      <rPr>
        <sz val="10"/>
        <color indexed="8"/>
        <rFont val="宋体"/>
        <family val="3"/>
        <charset val="134"/>
      </rPr>
      <t>层</t>
    </r>
    <phoneticPr fontId="4" type="noConversion"/>
  </si>
  <si>
    <r>
      <t>5</t>
    </r>
    <r>
      <rPr>
        <sz val="10"/>
        <color indexed="8"/>
        <rFont val="宋体"/>
        <family val="3"/>
        <charset val="134"/>
      </rPr>
      <t>层</t>
    </r>
    <phoneticPr fontId="4" type="noConversion"/>
  </si>
  <si>
    <t>面积占比</t>
    <phoneticPr fontId="4" type="noConversion"/>
  </si>
  <si>
    <t>租金</t>
    <phoneticPr fontId="4" type="noConversion"/>
  </si>
  <si>
    <t>密州东路与东环路交叉口西南角</t>
  </si>
  <si>
    <t>密州东路与东环路交叉口西南角</t>
    <phoneticPr fontId="4" type="noConversion"/>
  </si>
  <si>
    <t>舜王大道西侧、历山路北侧</t>
  </si>
  <si>
    <t>舜王大道西侧、历山路北侧</t>
    <phoneticPr fontId="4" type="noConversion"/>
  </si>
  <si>
    <t>诸冯街西侧</t>
  </si>
  <si>
    <r>
      <rPr>
        <sz val="11"/>
        <color theme="1"/>
        <rFont val="宋体"/>
        <family val="3"/>
        <charset val="134"/>
      </rPr>
      <t>比较法</t>
    </r>
    <r>
      <rPr>
        <sz val="11"/>
        <color theme="1"/>
        <rFont val="Arial"/>
        <family val="2"/>
      </rPr>
      <t>-</t>
    </r>
    <r>
      <rPr>
        <sz val="11"/>
        <color theme="1"/>
        <rFont val="宋体"/>
        <family val="3"/>
        <charset val="134"/>
      </rPr>
      <t>住宅、综合（高值）</t>
    </r>
    <phoneticPr fontId="15" type="noConversion"/>
  </si>
  <si>
    <t>比较法-住宅、综合（高值）</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</si>
  <si>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</si>
  <si>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</si>
  <si>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</si>
  <si>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</si>
  <si>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</si>
  <si>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</si>
  <si>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</si>
  <si>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</si>
  <si>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</si>
  <si>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</si>
  <si>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</si>
  <si>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</si>
  <si>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</si>
  <si>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东关大街北段西侧</t>
  </si>
  <si>
    <t>潍坊市</t>
  </si>
  <si>
    <t>商业/办公用地</t>
  </si>
  <si>
    <t>大于或等于2并且小于或等于5</t>
  </si>
  <si>
    <t>挂牌</t>
  </si>
  <si>
    <t>2019-04-07</t>
  </si>
  <si>
    <t>刘术光</t>
  </si>
  <si>
    <t>0星</t>
  </si>
  <si>
    <t>刘术良</t>
  </si>
  <si>
    <t>徐远芹</t>
  </si>
  <si>
    <t>刘水刚</t>
  </si>
  <si>
    <t>薛斌</t>
  </si>
  <si>
    <t>王毛毛</t>
  </si>
  <si>
    <t>王东军</t>
  </si>
  <si>
    <t>张云鹏</t>
  </si>
  <si>
    <t>陈铭盛</t>
  </si>
  <si>
    <t>王波</t>
  </si>
  <si>
    <t>刘志岗</t>
  </si>
  <si>
    <t>张克吉</t>
  </si>
  <si>
    <t>2019-04-05</t>
  </si>
  <si>
    <t>陈洪国</t>
  </si>
  <si>
    <t>张芳芳</t>
  </si>
  <si>
    <t>王忠</t>
  </si>
  <si>
    <t>李砚甫</t>
  </si>
  <si>
    <t>张亮亮</t>
  </si>
  <si>
    <t>张仔亮</t>
  </si>
  <si>
    <t>东关大街北段东侧</t>
  </si>
  <si>
    <t>孙一诺</t>
  </si>
  <si>
    <t>李增刚</t>
  </si>
  <si>
    <t>张仔红</t>
  </si>
  <si>
    <t>刘沐然</t>
  </si>
  <si>
    <t>朱培军</t>
  </si>
  <si>
    <t>2019-03-29</t>
  </si>
  <si>
    <t>娄增平</t>
  </si>
  <si>
    <t>陈炳淑</t>
  </si>
  <si>
    <t>娄棣</t>
  </si>
  <si>
    <t>孙成泉</t>
  </si>
  <si>
    <t>王伟</t>
  </si>
  <si>
    <t>台培全</t>
  </si>
  <si>
    <t>台培洪</t>
  </si>
  <si>
    <t>娄连志</t>
  </si>
  <si>
    <t>台锡铜</t>
  </si>
  <si>
    <t>2019-01-25</t>
  </si>
  <si>
    <t>于永海</t>
  </si>
  <si>
    <t>高敬奇</t>
  </si>
  <si>
    <t>孙云龙</t>
  </si>
  <si>
    <t>刘红燕</t>
  </si>
  <si>
    <t>刘增亮</t>
  </si>
  <si>
    <t>王增君</t>
  </si>
  <si>
    <t>钟治军</t>
  </si>
  <si>
    <t>孙淑梅</t>
  </si>
  <si>
    <t>刘志鹏</t>
  </si>
  <si>
    <t>周治国</t>
  </si>
  <si>
    <t>李婷</t>
  </si>
  <si>
    <t>2019-01-20</t>
  </si>
  <si>
    <t>王立军</t>
  </si>
  <si>
    <t>赵飞</t>
  </si>
  <si>
    <t>杨吉胜</t>
  </si>
  <si>
    <t>王淑东</t>
  </si>
  <si>
    <t>曹政委</t>
  </si>
  <si>
    <t>张仔荣</t>
  </si>
  <si>
    <t>李晨宇</t>
  </si>
  <si>
    <t>李佳明</t>
  </si>
  <si>
    <t>潘维志</t>
  </si>
  <si>
    <t>王俊平</t>
  </si>
  <si>
    <t>王一冰</t>
  </si>
  <si>
    <t>2019-01-18</t>
  </si>
  <si>
    <t>张生</t>
  </si>
  <si>
    <t>台文硕</t>
  </si>
  <si>
    <t>刘林</t>
  </si>
  <si>
    <t>刘善</t>
  </si>
  <si>
    <t>岳东明</t>
  </si>
  <si>
    <t>密州街道北石桥村(平日路南侧)</t>
  </si>
  <si>
    <t>大于或等于0.01并且小于或等于0.05</t>
  </si>
  <si>
    <t>山东新永辉化工有限公司</t>
  </si>
  <si>
    <t>刘玉超</t>
  </si>
  <si>
    <t>四平路东段南侧</t>
  </si>
  <si>
    <t>大于或等于2.9并且小于或等于3.4</t>
  </si>
  <si>
    <t>2018-10-26</t>
  </si>
  <si>
    <t>诸城市华龙房地产开发有限公司</t>
  </si>
  <si>
    <t>东外环路西侧</t>
  </si>
  <si>
    <t>大于或等于0.1并且小于或等于0.6</t>
  </si>
  <si>
    <t>2018-08-15</t>
  </si>
  <si>
    <t>诸城市盛邦加油站东外环站</t>
  </si>
  <si>
    <t>辛兴镇东花园村</t>
  </si>
  <si>
    <t>大于或等于0.1并且小于或等于0.3</t>
  </si>
  <si>
    <t>诸城市宏源加油站</t>
  </si>
  <si>
    <t>2018-06-29</t>
  </si>
  <si>
    <t>陈术海</t>
  </si>
  <si>
    <t>台培枝</t>
  </si>
  <si>
    <t>台玉伟</t>
  </si>
  <si>
    <t>管清禄</t>
  </si>
  <si>
    <t>陈术辉</t>
  </si>
  <si>
    <t>姜俊安</t>
  </si>
  <si>
    <t>徐强</t>
  </si>
  <si>
    <t>姜桂森</t>
  </si>
  <si>
    <t>赵辉</t>
  </si>
  <si>
    <t>2018-06-22</t>
  </si>
  <si>
    <t>李增芹</t>
  </si>
  <si>
    <t>诸城市密州街道北三里庄居民委员会</t>
  </si>
  <si>
    <t>李金龙</t>
  </si>
  <si>
    <t>王鹏鹏</t>
  </si>
  <si>
    <t>姜桂义</t>
  </si>
  <si>
    <t>姜鑫</t>
  </si>
  <si>
    <t>李键</t>
  </si>
  <si>
    <t>李增善</t>
  </si>
  <si>
    <t>李砚高</t>
  </si>
  <si>
    <t>龙都街道西见屯村</t>
  </si>
  <si>
    <t>大于或等于0.1并且小于或等于1</t>
  </si>
  <si>
    <t>2018-06-17</t>
  </si>
  <si>
    <t>诸城市松旅恐龙文化旅游发展有限公司</t>
  </si>
  <si>
    <t>龙都街道库沟村</t>
  </si>
  <si>
    <t>大于或等于0.1并且小于或等于2.5</t>
  </si>
  <si>
    <t>大于或等于4.9并且小于或等于5.2</t>
  </si>
  <si>
    <t>2018-02-21</t>
  </si>
  <si>
    <t>山东正大置业有限公司</t>
  </si>
  <si>
    <t>密州东路中段南侧</t>
  </si>
  <si>
    <t>大于或等于1并且小于或等于1.5</t>
  </si>
  <si>
    <t>皇华镇驻地</t>
  </si>
  <si>
    <t>大于或等于1.2并且小于或等于1.7</t>
  </si>
  <si>
    <t>临沂华彩房地产开发有限公司</t>
  </si>
  <si>
    <t>大于或等于2.9并且小于或等于3.2</t>
  </si>
  <si>
    <t>程戈庄二村</t>
  </si>
  <si>
    <t>2018-02-14</t>
  </si>
  <si>
    <t>山东鑫城集团有限公司</t>
  </si>
  <si>
    <t>大于或等于1.1并且小于或等于1.6</t>
  </si>
  <si>
    <t>2018-01-28</t>
  </si>
  <si>
    <t>诸城市龙翔房地产开发有限公司</t>
  </si>
  <si>
    <t>舜王街道西丁家庄村</t>
  </si>
  <si>
    <t>小于或等于0.1</t>
  </si>
  <si>
    <t>2018-01-19</t>
  </si>
  <si>
    <t>诸城恒福绿洲新能源有限公司</t>
  </si>
  <si>
    <t>2017-11-29</t>
  </si>
  <si>
    <t>台玉军</t>
  </si>
  <si>
    <t>刘术珍</t>
  </si>
  <si>
    <t>刘永明</t>
  </si>
  <si>
    <t>刘向明</t>
  </si>
  <si>
    <t>潘立霞</t>
  </si>
  <si>
    <t>刘亚丽</t>
  </si>
  <si>
    <t>娄连英</t>
  </si>
  <si>
    <t>张歌</t>
  </si>
  <si>
    <t>刘术杰</t>
  </si>
  <si>
    <t>邹立娟</t>
  </si>
  <si>
    <t>2017-11-19</t>
  </si>
  <si>
    <t>孙启永</t>
  </si>
  <si>
    <t>孙术春</t>
  </si>
  <si>
    <t>孙术强</t>
  </si>
  <si>
    <t>陈焕秀</t>
  </si>
  <si>
    <t>刘水平</t>
  </si>
  <si>
    <t>刘树良</t>
  </si>
  <si>
    <t>刘水其</t>
  </si>
  <si>
    <t>孙启会</t>
  </si>
  <si>
    <t>2017-10-27</t>
  </si>
  <si>
    <t>山东智慧城市房地产开发有限公司</t>
  </si>
  <si>
    <t>大于或等于1.5并且小于或等于2</t>
  </si>
  <si>
    <t>山东诸江地产有限公司</t>
  </si>
  <si>
    <t>凤凰路南侧院校街东侧</t>
  </si>
  <si>
    <t>大于或等于1.2</t>
  </si>
  <si>
    <t>2017-10-15</t>
  </si>
  <si>
    <t>潍坊工商职业学院</t>
  </si>
  <si>
    <t>大于或等于1.9并且小于或等于2.4</t>
  </si>
  <si>
    <t>2017-06-25</t>
  </si>
  <si>
    <t>潍坊辰硕置业有限公司</t>
  </si>
  <si>
    <t>2017-03-12</t>
  </si>
  <si>
    <t>张永姿</t>
  </si>
  <si>
    <t>薛云月</t>
  </si>
  <si>
    <t>刘水明</t>
  </si>
  <si>
    <t>张健</t>
  </si>
  <si>
    <t>刘臻</t>
  </si>
  <si>
    <t>安凤姣</t>
  </si>
  <si>
    <t>孙启和</t>
  </si>
  <si>
    <t>彭勇</t>
  </si>
  <si>
    <t>孙启国</t>
  </si>
  <si>
    <t>薛芸芳</t>
  </si>
  <si>
    <t>娄善贞</t>
  </si>
  <si>
    <t>刘水香</t>
  </si>
  <si>
    <t>孙启森</t>
  </si>
  <si>
    <t>陈术全</t>
  </si>
  <si>
    <t>杨爱波</t>
  </si>
  <si>
    <t>陈炳帅</t>
  </si>
  <si>
    <t>南环路南侧</t>
  </si>
  <si>
    <t>大于或等于1.7并且小于或等于2</t>
  </si>
  <si>
    <t>2017-01-29</t>
  </si>
  <si>
    <t>山东大源置业有限公司</t>
  </si>
  <si>
    <t>密州街道大高乐埠</t>
  </si>
  <si>
    <t>大于或等于1.2并且小于或等于1.8</t>
  </si>
  <si>
    <t>2017-01-11</t>
  </si>
  <si>
    <t>王平峰</t>
  </si>
  <si>
    <t>密州街道驻地凤凰路东段北侧</t>
  </si>
  <si>
    <t>大于或等于1.2并且小于或等于1.5</t>
  </si>
  <si>
    <t>安徽建华房屋开发有限公司</t>
  </si>
  <si>
    <t>2016-12-16</t>
  </si>
  <si>
    <t>潍坊银行股份有限公司诸城支行</t>
  </si>
  <si>
    <t>龙都街南段西侧</t>
  </si>
  <si>
    <t>大于或等于4.8并且小于或等于5.1</t>
  </si>
  <si>
    <t>诸城市玉山房地产开发有限责任公司</t>
  </si>
  <si>
    <t>北环路西段南侧</t>
  </si>
  <si>
    <t>舜王街道刘家官庄、张家屯等村庄</t>
  </si>
  <si>
    <t>大于或等于0.6</t>
  </si>
  <si>
    <t>2016-12-14</t>
  </si>
  <si>
    <t>山东诸城农村商业银行股份有限公司</t>
  </si>
  <si>
    <t>贾悦镇贾悦东村、安家庄等村庄</t>
  </si>
  <si>
    <t>舜王街道张家屯</t>
  </si>
  <si>
    <t>舜王街道大柳家庄、西丁家庄等村庄</t>
  </si>
  <si>
    <t>贾悦镇周家水墩村</t>
  </si>
  <si>
    <t>舜王街道东庄、后庄等村庄</t>
  </si>
  <si>
    <t>枳沟镇墙夼、北杏等村庄</t>
  </si>
  <si>
    <t>舜王街道莫庄村</t>
  </si>
  <si>
    <t>舜王街道刘家大村、解留一村等村庄</t>
  </si>
  <si>
    <t>舜王街道东疃村、大甲沟村</t>
  </si>
  <si>
    <t>贾悦镇贾悦西村、安家庄等村庄</t>
  </si>
  <si>
    <t>桃林镇井上村</t>
  </si>
  <si>
    <t>2016-11-09</t>
  </si>
  <si>
    <t>山东奥扬石油化工有限公司</t>
  </si>
  <si>
    <t>北环路中段北侧</t>
  </si>
  <si>
    <t>2016-08-10</t>
  </si>
  <si>
    <t>大于或等于3.7并且小于或等于4.2</t>
  </si>
  <si>
    <t>2016-04-06</t>
  </si>
  <si>
    <t>诸城市东升房地产开发有限责任公司</t>
  </si>
  <si>
    <t>箭桥路东段南侧</t>
  </si>
  <si>
    <t>大于或等于0并且小于或等于0.5</t>
  </si>
  <si>
    <t>2016-01-10</t>
  </si>
  <si>
    <t>诸城市盛邦加油站</t>
  </si>
  <si>
    <t>南环路东段南侧</t>
  </si>
  <si>
    <t>1.2≤容积率≤1.5</t>
  </si>
  <si>
    <t>2016-01-06</t>
  </si>
  <si>
    <t>诸城山钢碧桂园房地产开发有限公司</t>
  </si>
  <si>
    <t>涓河左路西侧</t>
  </si>
  <si>
    <t>2015-12-18</t>
  </si>
  <si>
    <t>诸城国汇建设有限公司</t>
  </si>
  <si>
    <t>兴华西路与龙昌路东北结角</t>
  </si>
  <si>
    <t>2015-12-16</t>
  </si>
  <si>
    <t>诸城龙乡水务集团有限公司</t>
  </si>
  <si>
    <t>涓河左路北侧</t>
  </si>
  <si>
    <t>兴华西路西段北侧</t>
  </si>
  <si>
    <t>龙昌路东侧、龙吉路北侧</t>
  </si>
  <si>
    <t>诸城安邦建设有限公司</t>
  </si>
  <si>
    <t>密州东路中段北侧</t>
  </si>
  <si>
    <t>2015-12-13</t>
  </si>
  <si>
    <t>舜王大道东侧、潍河左路北侧</t>
  </si>
  <si>
    <t>诸城市经济开发投资公司</t>
  </si>
  <si>
    <t>和平北街西侧</t>
  </si>
  <si>
    <t>诸冯街南段西侧</t>
  </si>
  <si>
    <t>府前街南段东侧</t>
  </si>
  <si>
    <t>龙源街东侧、南环路北侧</t>
  </si>
  <si>
    <t>西环路南段西侧</t>
  </si>
  <si>
    <t>南环路东段北侧</t>
  </si>
  <si>
    <t>贾悦镇西洛庄村</t>
  </si>
  <si>
    <t>2015-10-14</t>
  </si>
  <si>
    <t>山东潍坊烟草有限公司</t>
  </si>
  <si>
    <t>舜王街道前九台村</t>
  </si>
  <si>
    <t>小于或等于0.18</t>
  </si>
  <si>
    <t>2015-09-30</t>
  </si>
  <si>
    <t>诸城市九鑫加油站</t>
  </si>
  <si>
    <t>贾悦镇驻地(原贾悦交通管理所用地)</t>
  </si>
  <si>
    <t>大于或等于1.2并且小于或等于2</t>
  </si>
  <si>
    <t>2015-08-28</t>
  </si>
  <si>
    <t>中国邮政集团公司山东省诸城市分公司</t>
  </si>
  <si>
    <t>南环路南侧(原密州街道瓦屋庄居委会用地)</t>
  </si>
  <si>
    <t>大于或等于4.6并且小于或等于5.1</t>
  </si>
  <si>
    <t>招标</t>
  </si>
  <si>
    <t>2013-09-24</t>
  </si>
  <si>
    <t>龙源街南段西侧(原龙都街道曹家庄居委会、刘家庄居委会、山东鲁能泰山铁塔有限公司用地)</t>
  </si>
  <si>
    <t>龙都街道驻地(原诸城市第二职业中专用地)</t>
  </si>
  <si>
    <t>昌城镇芦家河崖村(原昌城镇芦家河崖村用地)</t>
  </si>
  <si>
    <t>2013-09-23</t>
  </si>
  <si>
    <t>山东世纪鼎润商贸有限公司</t>
  </si>
  <si>
    <t>规划横一路东段北侧(原舜王街道官庄居委会)</t>
  </si>
  <si>
    <t>大于或等于2并且小于或等于4</t>
  </si>
  <si>
    <t>舜王大道中段东侧(原舜王街道吕兑居委会用地)</t>
  </si>
  <si>
    <t>2013-09-17</t>
  </si>
  <si>
    <t>刘瑞泉</t>
  </si>
  <si>
    <t>溢价率</t>
    <phoneticPr fontId="229" type="noConversion"/>
  </si>
  <si>
    <t>正常</t>
    <phoneticPr fontId="229" type="noConversion"/>
  </si>
  <si>
    <t>凤凰路南侧院校街东侧</t>
    <phoneticPr fontId="229" type="noConversion"/>
  </si>
  <si>
    <t>较好</t>
    <phoneticPr fontId="229" type="noConversion"/>
  </si>
  <si>
    <t>较好</t>
    <phoneticPr fontId="229" type="noConversion"/>
  </si>
  <si>
    <t>一般</t>
    <phoneticPr fontId="229" type="noConversion"/>
  </si>
  <si>
    <t>七通</t>
    <phoneticPr fontId="229" type="noConversion"/>
  </si>
  <si>
    <t>较规则</t>
    <phoneticPr fontId="229" type="noConversion"/>
  </si>
  <si>
    <t>三通</t>
    <phoneticPr fontId="229" type="noConversion"/>
  </si>
  <si>
    <t>北环路西段南侧</t>
    <phoneticPr fontId="229" type="noConversion"/>
  </si>
  <si>
    <t>2019-1-0366-P01DYGJ2</t>
    <phoneticPr fontId="7" type="noConversion"/>
  </si>
  <si>
    <t>诸城龙乡水务集团有限公司</t>
    <phoneticPr fontId="7" type="noConversion"/>
  </si>
  <si>
    <t>其它商服用地</t>
    <phoneticPr fontId="7" type="noConversion"/>
  </si>
  <si>
    <t>《国有土地使用证》[诸国用（2013）第03050、03053、03056、03059、03061、03069、02087、02089号]</t>
    <phoneticPr fontId="7" type="noConversion"/>
  </si>
  <si>
    <t>商业</t>
    <phoneticPr fontId="7" type="noConversion"/>
  </si>
  <si>
    <t>王鹏</t>
  </si>
  <si>
    <t>郑燚</t>
  </si>
  <si>
    <t>诸城龙乡水务集团有限公司</t>
    <phoneticPr fontId="7" type="noConversion"/>
  </si>
  <si>
    <t>国民信托有限公司</t>
    <phoneticPr fontId="7" type="noConversion"/>
  </si>
  <si>
    <t>山东省潍坊市诸城市南环路共计8宗商业用地</t>
    <phoneticPr fontId="7" type="noConversion"/>
  </si>
  <si>
    <r>
      <t>诸国用（2</t>
    </r>
    <r>
      <rPr>
        <sz val="11"/>
        <color theme="1"/>
        <rFont val="宋体"/>
        <family val="3"/>
        <charset val="134"/>
        <scheme val="minor"/>
      </rPr>
      <t>013）第03050号</t>
    </r>
    <phoneticPr fontId="229" type="noConversion"/>
  </si>
  <si>
    <t>历山路北侧</t>
    <phoneticPr fontId="229" type="noConversion"/>
  </si>
  <si>
    <t>北环路西段南侧</t>
    <phoneticPr fontId="229" type="noConversion"/>
  </si>
  <si>
    <t>北环路北段东侧</t>
    <phoneticPr fontId="229" type="noConversion"/>
  </si>
  <si>
    <t>舜苑路北侧</t>
    <phoneticPr fontId="229" type="noConversion"/>
  </si>
  <si>
    <t>舜井路北侧</t>
    <phoneticPr fontId="229" type="noConversion"/>
  </si>
  <si>
    <t>北环路北侧</t>
    <phoneticPr fontId="229" type="noConversion"/>
  </si>
  <si>
    <t>南环路中段北侧</t>
    <phoneticPr fontId="229" type="noConversion"/>
  </si>
  <si>
    <t>南环路东段北侧</t>
    <phoneticPr fontId="229" type="noConversion"/>
  </si>
  <si>
    <t>3707822013B07293</t>
    <phoneticPr fontId="229" type="noConversion"/>
  </si>
  <si>
    <t>3707822013B07650</t>
    <phoneticPr fontId="229" type="noConversion"/>
  </si>
  <si>
    <t>3707822013B07322</t>
    <phoneticPr fontId="229" type="noConversion"/>
  </si>
  <si>
    <t>3707822013B07465</t>
    <phoneticPr fontId="229" type="noConversion"/>
  </si>
  <si>
    <t>3707822013B07266</t>
    <phoneticPr fontId="229" type="noConversion"/>
  </si>
  <si>
    <t>3707822013B07497</t>
    <phoneticPr fontId="229" type="noConversion"/>
  </si>
  <si>
    <t>3707822013B07245</t>
    <phoneticPr fontId="229" type="noConversion"/>
  </si>
  <si>
    <t>3707822013B07637</t>
    <phoneticPr fontId="229" type="noConversion"/>
  </si>
  <si>
    <r>
      <t>诸国用（2013）第03053号</t>
    </r>
    <r>
      <rPr>
        <sz val="11"/>
        <color theme="1"/>
        <rFont val="宋体"/>
        <family val="2"/>
        <charset val="134"/>
        <scheme val="minor"/>
      </rPr>
      <t/>
    </r>
    <phoneticPr fontId="229" type="noConversion"/>
  </si>
  <si>
    <r>
      <t>诸国用（2013）第03056号</t>
    </r>
    <r>
      <rPr>
        <sz val="11"/>
        <color theme="1"/>
        <rFont val="宋体"/>
        <family val="2"/>
        <charset val="134"/>
        <scheme val="minor"/>
      </rPr>
      <t/>
    </r>
    <phoneticPr fontId="229" type="noConversion"/>
  </si>
  <si>
    <r>
      <t>诸国用（2013）第03059号</t>
    </r>
    <r>
      <rPr>
        <sz val="11"/>
        <color theme="1"/>
        <rFont val="宋体"/>
        <family val="2"/>
        <charset val="134"/>
        <scheme val="minor"/>
      </rPr>
      <t/>
    </r>
    <phoneticPr fontId="229" type="noConversion"/>
  </si>
  <si>
    <r>
      <t>诸国用（2013）第03061号</t>
    </r>
    <r>
      <rPr>
        <sz val="11"/>
        <color theme="1"/>
        <rFont val="宋体"/>
        <family val="2"/>
        <charset val="134"/>
        <scheme val="minor"/>
      </rPr>
      <t/>
    </r>
    <phoneticPr fontId="229" type="noConversion"/>
  </si>
  <si>
    <r>
      <t>诸国用（2013）第03069号</t>
    </r>
    <r>
      <rPr>
        <sz val="11"/>
        <color theme="1"/>
        <rFont val="宋体"/>
        <family val="2"/>
        <charset val="134"/>
        <scheme val="minor"/>
      </rPr>
      <t/>
    </r>
    <phoneticPr fontId="229" type="noConversion"/>
  </si>
  <si>
    <r>
      <t>诸国用（2013）第02087号</t>
    </r>
    <r>
      <rPr>
        <sz val="11"/>
        <color theme="1"/>
        <rFont val="宋体"/>
        <family val="2"/>
        <charset val="134"/>
        <scheme val="minor"/>
      </rPr>
      <t/>
    </r>
    <phoneticPr fontId="229" type="noConversion"/>
  </si>
  <si>
    <r>
      <t>诸国用（2013）第02089号</t>
    </r>
    <r>
      <rPr>
        <sz val="11"/>
        <color theme="1"/>
        <rFont val="宋体"/>
        <family val="2"/>
        <charset val="134"/>
        <scheme val="minor"/>
      </rPr>
      <t/>
    </r>
    <phoneticPr fontId="229" type="noConversion"/>
  </si>
  <si>
    <t>土地面积</t>
    <phoneticPr fontId="229" type="noConversion"/>
  </si>
  <si>
    <t>规划建筑面积</t>
    <phoneticPr fontId="229" type="noConversion"/>
  </si>
  <si>
    <t>土地证号</t>
    <phoneticPr fontId="229" type="noConversion"/>
  </si>
  <si>
    <t>地号</t>
    <phoneticPr fontId="229" type="noConversion"/>
  </si>
  <si>
    <t>坐落</t>
    <phoneticPr fontId="229" type="noConversion"/>
  </si>
  <si>
    <t>地价款</t>
    <phoneticPr fontId="229" type="noConversion"/>
  </si>
  <si>
    <t>约定容积率（不高于）</t>
    <phoneticPr fontId="229" type="noConversion"/>
  </si>
  <si>
    <t>计算容积率（不高于）</t>
    <phoneticPr fontId="229" type="noConversion"/>
  </si>
  <si>
    <t>——</t>
    <phoneticPr fontId="229" type="noConversion"/>
  </si>
  <si>
    <t>——</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</si>
</sst>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right style="medium">
        <color rgb="FF404040"/>
      </right>
      <top/>
      <bottom/>
      <diagonal/>
    </border>
  </borders>
  <cellStyleXfs count="17">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xf numFmtId="0" fontId="87" fillId="0" borderId="0"/>
  </cellStyleXfs>
  <cellXfs count="3536">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46" xfId="0" applyFont="1" applyBorder="1" applyAlignment="1" applyProtection="1">
      <alignment horizontal="center" vertical="center"/>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07" fillId="5" borderId="83" xfId="0"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0" fontId="135" fillId="0" borderId="2" xfId="7" applyFont="1" applyBorder="1" applyAlignment="1">
      <alignment horizontal="left" vertical="center"/>
    </xf>
    <xf numFmtId="184" fontId="135" fillId="0" borderId="2" xfId="0" applyNumberFormat="1" applyFont="1" applyFill="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237" fillId="12" borderId="120" xfId="13" applyFont="1" applyFill="1" applyBorder="1" applyAlignment="1" applyProtection="1">
      <alignment horizontal="center" vertical="center" wrapText="1"/>
    </xf>
    <xf numFmtId="0" fontId="237" fillId="12" borderId="121" xfId="13" applyFont="1" applyFill="1" applyBorder="1" applyAlignment="1" applyProtection="1">
      <alignment horizontal="center"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49" fontId="82" fillId="2" borderId="1" xfId="0" applyNumberFormat="1" applyFont="1" applyFill="1" applyBorder="1" applyAlignment="1" applyProtection="1">
      <alignment horizontal="center" vertical="center" wrapText="1"/>
      <protection locked="0"/>
    </xf>
    <xf numFmtId="49" fontId="82" fillId="2" borderId="33" xfId="0" applyNumberFormat="1" applyFont="1" applyFill="1" applyBorder="1" applyAlignment="1" applyProtection="1">
      <alignment horizontal="center" vertical="center" wrapText="1"/>
      <protection locked="0"/>
    </xf>
    <xf numFmtId="0" fontId="83" fillId="5" borderId="0" xfId="0" applyFont="1" applyFill="1" applyAlignment="1" applyProtection="1">
      <alignment vertical="center"/>
      <protection locked="0"/>
    </xf>
    <xf numFmtId="0" fontId="87" fillId="0" borderId="0" xfId="16"/>
    <xf numFmtId="0" fontId="87" fillId="6" borderId="0" xfId="16" applyFill="1"/>
    <xf numFmtId="0" fontId="87" fillId="0" borderId="0" xfId="16"/>
    <xf numFmtId="0" fontId="87" fillId="0" borderId="0" xfId="16"/>
    <xf numFmtId="0" fontId="87" fillId="0" borderId="0" xfId="16"/>
    <xf numFmtId="0" fontId="0" fillId="6" borderId="0" xfId="0" applyFill="1">
      <alignment vertical="center"/>
    </xf>
    <xf numFmtId="0" fontId="134" fillId="8" borderId="63" xfId="0" applyFont="1" applyFill="1" applyBorder="1" applyAlignment="1" applyProtection="1">
      <alignment horizontal="left" vertical="center" wrapText="1"/>
      <protection locked="0"/>
    </xf>
    <xf numFmtId="0" fontId="145" fillId="0" borderId="8" xfId="0" applyNumberFormat="1" applyFont="1" applyFill="1" applyBorder="1" applyAlignment="1" applyProtection="1">
      <alignment horizontal="center" vertical="center" wrapText="1"/>
      <protection locked="0"/>
    </xf>
    <xf numFmtId="0" fontId="145" fillId="0" borderId="11"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7" fillId="0" borderId="0" xfId="0" applyFont="1">
      <alignment vertical="center"/>
    </xf>
    <xf numFmtId="0" fontId="128" fillId="0" borderId="0" xfId="16" applyFont="1"/>
    <xf numFmtId="0" fontId="87" fillId="7" borderId="0" xfId="16" applyFill="1"/>
    <xf numFmtId="0" fontId="0" fillId="7" borderId="0" xfId="0" applyFill="1">
      <alignment vertical="center"/>
    </xf>
    <xf numFmtId="0" fontId="145" fillId="2" borderId="18" xfId="0" applyNumberFormat="1" applyFont="1" applyFill="1" applyBorder="1" applyAlignment="1" applyProtection="1">
      <alignment horizontal="center" vertical="center" wrapText="1"/>
      <protection locked="0"/>
    </xf>
    <xf numFmtId="49" fontId="145" fillId="2" borderId="24" xfId="0" applyNumberFormat="1" applyFont="1" applyFill="1" applyBorder="1" applyAlignment="1" applyProtection="1">
      <alignment horizontal="center" vertical="center" wrapText="1"/>
      <protection locked="0"/>
    </xf>
    <xf numFmtId="49" fontId="145" fillId="2" borderId="18" xfId="0" applyNumberFormat="1" applyFont="1" applyFill="1" applyBorder="1" applyAlignment="1" applyProtection="1">
      <alignment horizontal="center" vertical="center" wrapText="1"/>
      <protection locked="0"/>
    </xf>
    <xf numFmtId="0" fontId="145" fillId="2" borderId="20" xfId="0" applyNumberFormat="1" applyFont="1" applyFill="1" applyBorder="1" applyAlignment="1" applyProtection="1">
      <alignment horizontal="center" vertical="center" wrapText="1"/>
      <protection locked="0"/>
    </xf>
    <xf numFmtId="49" fontId="145" fillId="2" borderId="50" xfId="0" applyNumberFormat="1" applyFont="1" applyFill="1" applyBorder="1" applyAlignment="1" applyProtection="1">
      <alignment horizontal="center" vertical="center" wrapText="1"/>
      <protection locked="0"/>
    </xf>
    <xf numFmtId="49" fontId="145" fillId="2" borderId="20" xfId="0" applyNumberFormat="1" applyFont="1" applyFill="1" applyBorder="1" applyAlignment="1" applyProtection="1">
      <alignment horizontal="center" vertical="center" wrapText="1"/>
      <protection locked="0"/>
    </xf>
    <xf numFmtId="0" fontId="145" fillId="2" borderId="50" xfId="0" applyNumberFormat="1" applyFont="1" applyFill="1" applyBorder="1" applyAlignment="1" applyProtection="1">
      <alignment horizontal="center" vertical="center" wrapText="1"/>
      <protection locked="0"/>
    </xf>
    <xf numFmtId="0" fontId="82" fillId="2" borderId="19" xfId="0" applyNumberFormat="1" applyFont="1" applyFill="1" applyBorder="1" applyAlignment="1" applyProtection="1">
      <alignment horizontal="center" vertical="center" wrapText="1"/>
      <protection locked="0"/>
    </xf>
    <xf numFmtId="0" fontId="82" fillId="2" borderId="87" xfId="0" applyNumberFormat="1" applyFont="1" applyFill="1" applyBorder="1" applyAlignment="1" applyProtection="1">
      <alignment horizontal="center" vertical="center" wrapText="1"/>
      <protection locked="0"/>
    </xf>
    <xf numFmtId="49" fontId="145" fillId="2" borderId="11" xfId="0" applyNumberFormat="1" applyFont="1" applyFill="1" applyBorder="1" applyAlignment="1" applyProtection="1">
      <alignment horizontal="center" vertical="center" wrapText="1"/>
      <protection locked="0"/>
    </xf>
    <xf numFmtId="9" fontId="82" fillId="2" borderId="64" xfId="0" applyNumberFormat="1" applyFont="1" applyFill="1" applyBorder="1" applyAlignment="1" applyProtection="1">
      <alignment horizontal="center" vertical="center" wrapText="1"/>
      <protection locked="0"/>
    </xf>
    <xf numFmtId="0" fontId="128" fillId="7" borderId="0" xfId="16" applyFont="1" applyFill="1"/>
    <xf numFmtId="0" fontId="146" fillId="0" borderId="2" xfId="0" applyFont="1" applyBorder="1" applyAlignment="1">
      <alignment horizontal="center" vertical="center" wrapText="1"/>
    </xf>
    <xf numFmtId="0" fontId="0" fillId="0" borderId="2" xfId="0" applyBorder="1" applyAlignment="1">
      <alignment horizontal="center" vertical="center"/>
    </xf>
    <xf numFmtId="0" fontId="146" fillId="0" borderId="2" xfId="0" applyFont="1" applyBorder="1" applyAlignment="1">
      <alignment horizontal="center" vertical="center"/>
    </xf>
    <xf numFmtId="0" fontId="186"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3"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185" fontId="85" fillId="5" borderId="2" xfId="0" applyNumberFormat="1" applyFont="1" applyFill="1" applyBorder="1" applyAlignment="1" applyProtection="1">
      <alignment horizontal="center" vertical="center"/>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184" fontId="72" fillId="5" borderId="62" xfId="0" applyNumberFormat="1" applyFont="1" applyFill="1" applyBorder="1" applyAlignment="1" applyProtection="1">
      <alignment horizontal="center" vertical="center" wrapText="1"/>
      <protection locked="0"/>
    </xf>
    <xf numFmtId="184" fontId="72" fillId="5" borderId="33" xfId="0" applyNumberFormat="1" applyFont="1" applyFill="1" applyBorder="1" applyAlignment="1" applyProtection="1">
      <alignment horizontal="center" vertical="center" wrapText="1"/>
      <protection locked="0"/>
    </xf>
    <xf numFmtId="177" fontId="12" fillId="0" borderId="2" xfId="0" applyNumberFormat="1" applyFont="1" applyFill="1" applyBorder="1" applyAlignment="1" applyProtection="1">
      <alignment vertical="center" wrapText="1"/>
      <protection locked="0"/>
    </xf>
    <xf numFmtId="0" fontId="174" fillId="0" borderId="154" xfId="0" applyFont="1" applyBorder="1" applyAlignment="1">
      <alignment vertical="center" wrapText="1"/>
    </xf>
    <xf numFmtId="0" fontId="174" fillId="0" borderId="155" xfId="0" applyFont="1" applyBorder="1" applyAlignment="1">
      <alignment vertical="center" wrapText="1"/>
    </xf>
    <xf numFmtId="0" fontId="175" fillId="0" borderId="155" xfId="0" applyFont="1" applyBorder="1" applyAlignment="1">
      <alignment vertical="center" wrapText="1"/>
    </xf>
    <xf numFmtId="0" fontId="174" fillId="0" borderId="156" xfId="0" applyFont="1" applyBorder="1" applyAlignment="1">
      <alignment vertical="center" wrapText="1"/>
    </xf>
    <xf numFmtId="0" fontId="174" fillId="0" borderId="157" xfId="0" applyFont="1" applyBorder="1" applyAlignment="1">
      <alignment vertical="center" wrapText="1"/>
    </xf>
    <xf numFmtId="0" fontId="175" fillId="0" borderId="157" xfId="0" applyFont="1" applyBorder="1" applyAlignment="1">
      <alignment vertical="center" wrapText="1"/>
    </xf>
    <xf numFmtId="0" fontId="174" fillId="0" borderId="158" xfId="0" applyFont="1" applyFill="1" applyBorder="1" applyAlignment="1">
      <alignment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512909</xdr:colOff>
      <xdr:row>32</xdr:row>
      <xdr:rowOff>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6685109" cy="5486400"/>
        </a:xfrm>
        <a:prstGeom prst="rect">
          <a:avLst/>
        </a:prstGeom>
      </xdr:spPr>
    </xdr:pic>
    <xdr:clientData/>
  </xdr:twoCellAnchor>
  <xdr:twoCellAnchor editAs="oneCell">
    <xdr:from>
      <xdr:col>0</xdr:col>
      <xdr:colOff>0</xdr:colOff>
      <xdr:row>31</xdr:row>
      <xdr:rowOff>142875</xdr:rowOff>
    </xdr:from>
    <xdr:to>
      <xdr:col>9</xdr:col>
      <xdr:colOff>394631</xdr:colOff>
      <xdr:row>65</xdr:row>
      <xdr:rowOff>123825</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5457825"/>
          <a:ext cx="6566831" cy="5810250"/>
        </a:xfrm>
        <a:prstGeom prst="rect">
          <a:avLst/>
        </a:prstGeom>
      </xdr:spPr>
    </xdr:pic>
    <xdr:clientData/>
  </xdr:twoCellAnchor>
  <xdr:twoCellAnchor editAs="oneCell">
    <xdr:from>
      <xdr:col>0</xdr:col>
      <xdr:colOff>1</xdr:colOff>
      <xdr:row>64</xdr:row>
      <xdr:rowOff>38100</xdr:rowOff>
    </xdr:from>
    <xdr:to>
      <xdr:col>9</xdr:col>
      <xdr:colOff>381000</xdr:colOff>
      <xdr:row>96</xdr:row>
      <xdr:rowOff>68276</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1010900"/>
          <a:ext cx="6553199" cy="5516576"/>
        </a:xfrm>
        <a:prstGeom prst="rect">
          <a:avLst/>
        </a:prstGeom>
      </xdr:spPr>
    </xdr:pic>
    <xdr:clientData/>
  </xdr:twoCellAnchor>
  <xdr:twoCellAnchor editAs="oneCell">
    <xdr:from>
      <xdr:col>0</xdr:col>
      <xdr:colOff>0</xdr:colOff>
      <xdr:row>100</xdr:row>
      <xdr:rowOff>0</xdr:rowOff>
    </xdr:from>
    <xdr:to>
      <xdr:col>9</xdr:col>
      <xdr:colOff>487514</xdr:colOff>
      <xdr:row>134</xdr:row>
      <xdr:rowOff>28575</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7145000"/>
          <a:ext cx="6659714" cy="5857875"/>
        </a:xfrm>
        <a:prstGeom prst="rect">
          <a:avLst/>
        </a:prstGeom>
      </xdr:spPr>
    </xdr:pic>
    <xdr:clientData/>
  </xdr:twoCellAnchor>
  <xdr:twoCellAnchor editAs="oneCell">
    <xdr:from>
      <xdr:col>0</xdr:col>
      <xdr:colOff>0</xdr:colOff>
      <xdr:row>134</xdr:row>
      <xdr:rowOff>171449</xdr:rowOff>
    </xdr:from>
    <xdr:to>
      <xdr:col>9</xdr:col>
      <xdr:colOff>355136</xdr:colOff>
      <xdr:row>169</xdr:row>
      <xdr:rowOff>47624</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3145749"/>
          <a:ext cx="6527336" cy="5876925"/>
        </a:xfrm>
        <a:prstGeom prst="rect">
          <a:avLst/>
        </a:prstGeom>
      </xdr:spPr>
    </xdr:pic>
    <xdr:clientData/>
  </xdr:twoCellAnchor>
  <xdr:twoCellAnchor editAs="oneCell">
    <xdr:from>
      <xdr:col>0</xdr:col>
      <xdr:colOff>1</xdr:colOff>
      <xdr:row>170</xdr:row>
      <xdr:rowOff>0</xdr:rowOff>
    </xdr:from>
    <xdr:to>
      <xdr:col>9</xdr:col>
      <xdr:colOff>314325</xdr:colOff>
      <xdr:row>207</xdr:row>
      <xdr:rowOff>45087</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1" y="29146500"/>
          <a:ext cx="6486524" cy="6388737"/>
        </a:xfrm>
        <a:prstGeom prst="rect">
          <a:avLst/>
        </a:prstGeom>
      </xdr:spPr>
    </xdr:pic>
    <xdr:clientData/>
  </xdr:twoCellAnchor>
  <xdr:twoCellAnchor editAs="oneCell">
    <xdr:from>
      <xdr:col>0</xdr:col>
      <xdr:colOff>0</xdr:colOff>
      <xdr:row>211</xdr:row>
      <xdr:rowOff>0</xdr:rowOff>
    </xdr:from>
    <xdr:to>
      <xdr:col>13</xdr:col>
      <xdr:colOff>36982</xdr:colOff>
      <xdr:row>238</xdr:row>
      <xdr:rowOff>94660</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36175950"/>
          <a:ext cx="8952382" cy="4723810"/>
        </a:xfrm>
        <a:prstGeom prst="rect">
          <a:avLst/>
        </a:prstGeom>
      </xdr:spPr>
    </xdr:pic>
    <xdr:clientData/>
  </xdr:twoCellAnchor>
  <xdr:twoCellAnchor editAs="oneCell">
    <xdr:from>
      <xdr:col>0</xdr:col>
      <xdr:colOff>0</xdr:colOff>
      <xdr:row>238</xdr:row>
      <xdr:rowOff>76200</xdr:rowOff>
    </xdr:from>
    <xdr:to>
      <xdr:col>13</xdr:col>
      <xdr:colOff>27458</xdr:colOff>
      <xdr:row>266</xdr:row>
      <xdr:rowOff>8934</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40881300"/>
          <a:ext cx="8942858" cy="4733334"/>
        </a:xfrm>
        <a:prstGeom prst="rect">
          <a:avLst/>
        </a:prstGeom>
      </xdr:spPr>
    </xdr:pic>
    <xdr:clientData/>
  </xdr:twoCellAnchor>
  <xdr:twoCellAnchor editAs="oneCell">
    <xdr:from>
      <xdr:col>0</xdr:col>
      <xdr:colOff>19050</xdr:colOff>
      <xdr:row>266</xdr:row>
      <xdr:rowOff>57150</xdr:rowOff>
    </xdr:from>
    <xdr:to>
      <xdr:col>15</xdr:col>
      <xdr:colOff>513003</xdr:colOff>
      <xdr:row>285</xdr:row>
      <xdr:rowOff>171029</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19050" y="45662850"/>
          <a:ext cx="10780953" cy="33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202</xdr:row>
      <xdr:rowOff>0</xdr:rowOff>
    </xdr:from>
    <xdr:to>
      <xdr:col>7</xdr:col>
      <xdr:colOff>418092</xdr:colOff>
      <xdr:row>243</xdr:row>
      <xdr:rowOff>8646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525" y="34632900"/>
          <a:ext cx="8066667" cy="7038096"/>
        </a:xfrm>
        <a:prstGeom prst="rect">
          <a:avLst/>
        </a:prstGeom>
      </xdr:spPr>
    </xdr:pic>
    <xdr:clientData/>
  </xdr:twoCellAnchor>
  <xdr:twoCellAnchor editAs="oneCell">
    <xdr:from>
      <xdr:col>0</xdr:col>
      <xdr:colOff>19050</xdr:colOff>
      <xdr:row>244</xdr:row>
      <xdr:rowOff>85725</xdr:rowOff>
    </xdr:from>
    <xdr:to>
      <xdr:col>8</xdr:col>
      <xdr:colOff>370389</xdr:colOff>
      <xdr:row>284</xdr:row>
      <xdr:rowOff>56297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9050" y="41919525"/>
          <a:ext cx="8695239" cy="68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C36" sqref="C3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2652</v>
      </c>
      <c r="B1" s="2847" t="s">
        <v>2749</v>
      </c>
    </row>
    <row r="2" spans="1:55" s="2851" customFormat="1" ht="15" thickTop="1">
      <c r="A2" s="2849" t="s">
        <v>2656</v>
      </c>
      <c r="B2" s="2850" t="str">
        <f>'预评函-封皮'!B37</f>
        <v>山东省潍坊市诸城市南环路共计8宗商业用地出让国有建设用地使用权抵押价格预评估</v>
      </c>
      <c r="AX2" s="2852"/>
      <c r="AZ2" s="2852"/>
      <c r="BA2" s="2853"/>
      <c r="BC2" s="2853"/>
    </row>
    <row r="3" spans="1:55" s="2854" customFormat="1">
      <c r="A3" s="2833" t="s">
        <v>2657</v>
      </c>
      <c r="B3" s="2836" t="str">
        <f>'预评函-封皮'!B40</f>
        <v>诸城龙乡水务集团有限公司</v>
      </c>
    </row>
    <row r="4" spans="1:55" s="2835" customFormat="1">
      <c r="A4" s="2833" t="s">
        <v>2658</v>
      </c>
      <c r="B4" s="2834" t="str">
        <f>'预评函-封皮'!B46</f>
        <v>王鹏、郑燚</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2659</v>
      </c>
      <c r="B5" s="2856" t="str">
        <f>'预评函-封皮'!B49</f>
        <v>康正预评字2019-1-0366-P01DYGJ2号</v>
      </c>
    </row>
    <row r="6" spans="1:55" s="2857" customFormat="1" ht="15" thickTop="1">
      <c r="A6" s="2849" t="s">
        <v>2701</v>
      </c>
      <c r="B6" s="2850" t="str">
        <f>'预评函-1'!A4</f>
        <v>受贵公司委托，我公司对山东省潍坊市诸城市南环路共计8宗商业用地出让国有建设用地使用权抵押价格进行了预评估。</v>
      </c>
      <c r="AM6" s="2858"/>
    </row>
    <row r="7" spans="1:55" s="2832" customFormat="1">
      <c r="A7" s="2833" t="s">
        <v>2653</v>
      </c>
      <c r="B7" s="2834" t="str">
        <f>'预评函-1'!A6</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8" spans="1:55" s="2832" customFormat="1">
      <c r="A8" s="2833" t="s">
        <v>2654</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2704</v>
      </c>
      <c r="B9" s="2834"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832" customFormat="1">
      <c r="A10" s="2833" t="s">
        <v>2655</v>
      </c>
      <c r="B10" s="2834" t="str">
        <f>'预评函-1'!A11</f>
        <v>2019年5月22日</v>
      </c>
    </row>
    <row r="11" spans="1:55" s="2832" customFormat="1">
      <c r="A11" s="2833" t="s">
        <v>2661</v>
      </c>
      <c r="B11" s="2834" t="str">
        <f>'预评函-1'!A14</f>
        <v>根据《国有土地使用证》[诸国用（2013）第03050、03053、03056、03059、03061、03069、02087、02089号]，本次评估估价对象证载（地类）用途为其它商服用地。</v>
      </c>
    </row>
    <row r="12" spans="1:55" s="2832" customFormat="1">
      <c r="A12" s="2833" t="s">
        <v>2662</v>
      </c>
      <c r="B12" s="2834" t="str">
        <f>'预评函-1'!A15</f>
        <v>本次评估设定用途即为证载用途商业。</v>
      </c>
    </row>
    <row r="13" spans="1:55" s="2832" customFormat="1">
      <c r="A13" s="2833" t="s">
        <v>2663</v>
      </c>
      <c r="B13" s="2834" t="str">
        <f>'预评函-1'!A17</f>
        <v>根据委托估价方介绍及评估专业人员现场勘查，本次评估估价对象实际土地开发程度为红线外市政基础设施达“七通”（即通路、通电、通上水、、、、）、宗地红线内场地平整。</v>
      </c>
    </row>
    <row r="14" spans="1:55" s="2832" customFormat="1">
      <c r="A14" s="2833" t="s">
        <v>2664</v>
      </c>
      <c r="B14" s="2834" t="str">
        <f>'预评函-1'!A18</f>
        <v>本次评估设定土地开发程度为红线外市政基础设施达“七通”、宗地红线内场地平整。</v>
      </c>
    </row>
    <row r="15" spans="1:55" s="2832" customFormat="1">
      <c r="A15" s="2833" t="s">
        <v>2660</v>
      </c>
      <c r="B15" s="2834" t="str">
        <f>'预评函-1'!A20</f>
        <v>根据《国有土地使用证》[]，估价对象（分摊）出让国有建设用地使用权面积为40652平方米。根据《建设工程规划许可证》[]、《出让合同》[]，估价对象规划建筑面积为60978平方米。</v>
      </c>
    </row>
    <row r="16" spans="1:55" s="2832" customFormat="1">
      <c r="A16" s="2833" t="s">
        <v>2665</v>
      </c>
      <c r="B16" s="2834" t="str">
        <f>'预评函-1'!A22</f>
        <v>本次估价对象为出让国有建设用地使用权，《国有土地使用证》[诸国用（2013）第03050、03053、03056、03059、03061、03069、02087、02089号]证载土地终止日期为商业2053年7月4日。截至估价期日，出让国有建设用地使用权剩余土地使用年限为。</v>
      </c>
    </row>
    <row r="17" spans="1:48" s="2832" customFormat="1">
      <c r="A17" s="2833" t="s">
        <v>2666</v>
      </c>
      <c r="B17" s="2834" t="str">
        <f>'预评函-1'!A23</f>
        <v>本次评估设定估价对象剩余土地使用年限为。</v>
      </c>
    </row>
    <row r="18" spans="1:48" s="2832" customFormat="1">
      <c r="A18" s="2833" t="s">
        <v>2667</v>
      </c>
      <c r="B18" s="2834" t="str">
        <f>'预评函-1'!A25</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19" spans="1:48" s="2832" customFormat="1">
      <c r="A19" s="2833" t="s">
        <v>2668</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2669</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2670</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2671</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2672</v>
      </c>
      <c r="B23" s="2834" t="str">
        <f>'预评函-2'!K2</f>
        <v>估价期日：2019年5月22日</v>
      </c>
    </row>
    <row r="24" spans="1:48">
      <c r="A24" s="2833" t="s">
        <v>2673</v>
      </c>
      <c r="B24" s="2834" t="str">
        <f>'预评函-2'!R2</f>
        <v>估价期日的国有建设用地使用权性质：出让</v>
      </c>
    </row>
    <row r="25" spans="1:48">
      <c r="A25" s="2833" t="s">
        <v>2729</v>
      </c>
      <c r="B25" s="2834" t="str">
        <f>'预评函-2'!A3</f>
        <v>估价期日土地使用者</v>
      </c>
    </row>
    <row r="26" spans="1:48">
      <c r="A26" s="2833" t="s">
        <v>2705</v>
      </c>
      <c r="B26" s="2834" t="str">
        <f>'预评函-2'!A5</f>
        <v>中信开发</v>
      </c>
    </row>
    <row r="27" spans="1:48">
      <c r="A27" s="2833" t="s">
        <v>2730</v>
      </c>
      <c r="B27" s="2834" t="str">
        <f>'预评函-2'!B3</f>
        <v>宗地编号/不动产单元号</v>
      </c>
    </row>
    <row r="28" spans="1:48">
      <c r="A28" s="2833" t="s">
        <v>2706</v>
      </c>
      <c r="B28" s="2834" t="str">
        <f>'预评函-2'!B5</f>
        <v>11111111111</v>
      </c>
    </row>
    <row r="29" spans="1:48">
      <c r="A29" s="2833" t="s">
        <v>2732</v>
      </c>
      <c r="B29" s="2834">
        <f>'预评函-2'!C5</f>
        <v>22</v>
      </c>
    </row>
    <row r="30" spans="1:48">
      <c r="A30" s="2833" t="s">
        <v>2733</v>
      </c>
      <c r="B30" s="2834" t="str">
        <f>'预评函-2'!D3</f>
        <v>土地使用证编号/不动产权证书编号</v>
      </c>
    </row>
    <row r="31" spans="1:48">
      <c r="A31" s="2833" t="s">
        <v>2707</v>
      </c>
      <c r="B31" s="2834" t="str">
        <f>'预评函-2'!D5</f>
        <v>京国土字第111号</v>
      </c>
    </row>
    <row r="32" spans="1:48">
      <c r="A32" s="2833" t="s">
        <v>2708</v>
      </c>
      <c r="B32" s="2834" t="str">
        <f>'预评函-2'!E5</f>
        <v>其它商服用地</v>
      </c>
      <c r="AV32" s="2838"/>
    </row>
    <row r="33" spans="1:2">
      <c r="A33" s="2833" t="s">
        <v>2709</v>
      </c>
      <c r="B33" s="2834">
        <f>'预评函-2'!F5</f>
        <v>258</v>
      </c>
    </row>
    <row r="34" spans="1:2">
      <c r="A34" s="2833" t="s">
        <v>2710</v>
      </c>
      <c r="B34" s="2834" t="str">
        <f>'预评函-2'!G5</f>
        <v>商业</v>
      </c>
    </row>
    <row r="35" spans="1:2">
      <c r="A35" s="2833" t="s">
        <v>2711</v>
      </c>
      <c r="B35" s="2834">
        <f>'预评函-2'!H5</f>
        <v>1.5</v>
      </c>
    </row>
    <row r="36" spans="1:2">
      <c r="A36" s="2833" t="s">
        <v>2712</v>
      </c>
      <c r="B36" s="2834">
        <f>'预评函-2'!I5</f>
        <v>1.5</v>
      </c>
    </row>
    <row r="37" spans="1:2">
      <c r="A37" s="2833" t="s">
        <v>2713</v>
      </c>
      <c r="B37" s="2834">
        <f>'预评函-2'!J5</f>
        <v>1.5</v>
      </c>
    </row>
    <row r="38" spans="1:2">
      <c r="A38" s="2833" t="s">
        <v>2714</v>
      </c>
      <c r="B38" s="2834" t="str">
        <f>'预评函-2'!K5</f>
        <v>红线外七通、宗地红线内场地平整</v>
      </c>
    </row>
    <row r="39" spans="1:2">
      <c r="A39" s="2833" t="s">
        <v>2715</v>
      </c>
      <c r="B39" s="2834" t="str">
        <f>'预评函-2'!L5</f>
        <v>红线外七通、宗地红线内场地平整</v>
      </c>
    </row>
    <row r="40" spans="1:2">
      <c r="A40" s="2833" t="s">
        <v>2734</v>
      </c>
      <c r="B40" s="2834" t="str">
        <f>'预评函-2'!M3</f>
        <v>（剩余）土地使用年限/年</v>
      </c>
    </row>
    <row r="41" spans="1:2">
      <c r="A41" s="2833" t="s">
        <v>2716</v>
      </c>
      <c r="B41" s="2834">
        <f>'预评函-2'!M5</f>
        <v>0</v>
      </c>
    </row>
    <row r="42" spans="1:2">
      <c r="A42" s="2833" t="s">
        <v>2735</v>
      </c>
      <c r="B42" s="2834" t="str">
        <f>'预评函-2'!N3</f>
        <v>（分摊）出让国有建设用地使用权面积/㎡</v>
      </c>
    </row>
    <row r="43" spans="1:2">
      <c r="A43" s="2833" t="s">
        <v>2717</v>
      </c>
      <c r="B43" s="2834">
        <f>'预评函-2'!N5</f>
        <v>40652</v>
      </c>
    </row>
    <row r="44" spans="1:2">
      <c r="A44" s="2833" t="s">
        <v>2736</v>
      </c>
      <c r="B44" s="2834" t="str">
        <f>'预评函-2'!O3</f>
        <v>规划建筑面积/㎡</v>
      </c>
    </row>
    <row r="45" spans="1:2">
      <c r="A45" s="2833" t="s">
        <v>2718</v>
      </c>
      <c r="B45" s="2834">
        <f>'预评函-2'!O5</f>
        <v>60978</v>
      </c>
    </row>
    <row r="46" spans="1:2">
      <c r="A46" s="2833" t="s">
        <v>2719</v>
      </c>
      <c r="B46" s="2834">
        <f ca="1">'预评函-2'!P5</f>
        <v>4740</v>
      </c>
    </row>
    <row r="47" spans="1:2">
      <c r="A47" s="2833" t="s">
        <v>2720</v>
      </c>
      <c r="B47" s="2834">
        <f ca="1">'预评函-2'!Q5</f>
        <v>3160</v>
      </c>
    </row>
    <row r="48" spans="1:2">
      <c r="A48" s="2833" t="s">
        <v>2721</v>
      </c>
      <c r="B48" s="2834">
        <f ca="1">'预评函-2'!R5</f>
        <v>19269</v>
      </c>
    </row>
    <row r="49" spans="1:2">
      <c r="A49" s="2833" t="s">
        <v>2737</v>
      </c>
      <c r="B49" s="2834" t="str">
        <f>'预评函-2'!A6</f>
        <v>抵押价格</v>
      </c>
    </row>
    <row r="50" spans="1:2">
      <c r="A50" s="2833" t="s">
        <v>2722</v>
      </c>
      <c r="B50" s="2834">
        <f ca="1">'预评函-2'!R6</f>
        <v>19269</v>
      </c>
    </row>
    <row r="51" spans="1:2">
      <c r="A51" s="2833" t="s">
        <v>2738</v>
      </c>
      <c r="B51" s="2834" t="str">
        <f>'预评函-2'!A7</f>
        <v>——</v>
      </c>
    </row>
    <row r="52" spans="1:2">
      <c r="A52" s="2833" t="s">
        <v>2723</v>
      </c>
      <c r="B52" s="2834" t="str">
        <f>'预评函-2'!R7</f>
        <v>——</v>
      </c>
    </row>
    <row r="53" spans="1:2">
      <c r="A53" s="2833" t="s">
        <v>2739</v>
      </c>
      <c r="B53" s="2834" t="str">
        <f>'预评函-2'!A8</f>
        <v>抵押净值</v>
      </c>
    </row>
    <row r="54" spans="1:2" s="2848" customFormat="1" ht="15" thickBot="1">
      <c r="A54" s="2855" t="s">
        <v>2724</v>
      </c>
      <c r="B54" s="2856">
        <f ca="1">'预评函-2'!R8</f>
        <v>6893</v>
      </c>
    </row>
    <row r="55" spans="1:2" ht="15" thickTop="1">
      <c r="A55" s="2844" t="s">
        <v>2674</v>
      </c>
      <c r="B55" s="2845" t="str">
        <f>'预评函-3'!A2</f>
        <v>1.权利限制：根据估价对象《国有土地使用证》原件，截至估价期日，估价对象已设定抵押。未设定租赁等其他他项权利。</v>
      </c>
    </row>
    <row r="56" spans="1:2">
      <c r="A56" s="2833" t="s">
        <v>2675</v>
      </c>
      <c r="B56" s="2834" t="str">
        <f>'预评函-3'!A3</f>
        <v>2.基础设施条件：估价对象实际开发程度为红线外七通、宗地红线内场地平整；本次评估设定开发程度为红线外七通、宗地红线内场地平整。</v>
      </c>
    </row>
    <row r="57" spans="1:2">
      <c r="A57" s="2833" t="s">
        <v>2676</v>
      </c>
      <c r="B57" s="2834" t="str">
        <f>'预评函-3'!A4</f>
        <v>3.估价规划限制条件：详见《建设工程规划许可证》[]、《出让合同》[]。</v>
      </c>
    </row>
    <row r="58" spans="1:2" s="2848" customFormat="1" ht="15" thickBot="1">
      <c r="A58" s="2855" t="s">
        <v>2725</v>
      </c>
      <c r="B58" s="2856" t="str">
        <f>'预评函-3'!A5</f>
        <v>4.影响价格的其他限定条件：无。</v>
      </c>
    </row>
    <row r="59" spans="1:2" ht="15" thickTop="1">
      <c r="A59" s="2844" t="s">
        <v>2677</v>
      </c>
      <c r="B59" s="2845" t="str">
        <f>'预评函-3'!A8</f>
        <v>2.本《评估意见函》仅供金融机构进行内部审核使用，不做其他目的之用。</v>
      </c>
    </row>
    <row r="60" spans="1:2">
      <c r="A60" s="2833" t="s">
        <v>2678</v>
      </c>
      <c r="B60" s="2834" t="str">
        <f>'预评函-3'!A9</f>
        <v>3.抵押双方在办理抵押登记手续时，应使用本公司出具的正式《土地估价报告》，特提请报告使用者注意。</v>
      </c>
    </row>
    <row r="61" spans="1:2">
      <c r="A61" s="2833" t="s">
        <v>2680</v>
      </c>
      <c r="B61" s="2834" t="str">
        <f>'预评函-3'!A10</f>
        <v>4.估价师所知悉的法定优先受偿款情况为：</v>
      </c>
    </row>
    <row r="62" spans="1:2">
      <c r="A62" s="2833" t="s">
        <v>2679</v>
      </c>
      <c r="B62" s="2834"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2681</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2682</v>
      </c>
      <c r="B64" s="2839" t="str">
        <f>'预评函-3'!A13</f>
        <v>（3）。</v>
      </c>
    </row>
    <row r="65" spans="1:2">
      <c r="A65" s="2833" t="s">
        <v>2683</v>
      </c>
      <c r="B65" s="2840" t="str">
        <f>'预评函-3'!A14</f>
        <v>综上，本次评估不存在估价师知悉的法定优先受偿款</v>
      </c>
    </row>
    <row r="66" spans="1:2">
      <c r="A66" s="2833" t="s">
        <v>2684</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2685</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2688</v>
      </c>
      <c r="B68" s="2859">
        <f>'预评函-3'!D30</f>
        <v>42558</v>
      </c>
    </row>
    <row r="69" spans="1:2" ht="15" thickTop="1">
      <c r="A69" s="2844" t="s">
        <v>2686</v>
      </c>
      <c r="B69" s="2845" t="str">
        <f>'预评函-3'!A20</f>
        <v>王鹏</v>
      </c>
    </row>
    <row r="70" spans="1:2">
      <c r="A70" s="2833" t="s">
        <v>2686</v>
      </c>
      <c r="B70" s="2840">
        <f ca="1">'预评函-3'!B20</f>
        <v>2002110030</v>
      </c>
    </row>
    <row r="71" spans="1:2">
      <c r="A71" s="2833" t="s">
        <v>2687</v>
      </c>
      <c r="B71" s="2834" t="str">
        <f>'预评函-3'!A21</f>
        <v>郑燚</v>
      </c>
    </row>
    <row r="72" spans="1:2" s="2848" customFormat="1" ht="15" thickBot="1">
      <c r="A72" s="2855" t="s">
        <v>2687</v>
      </c>
      <c r="B72" s="2861">
        <f ca="1">'预评函-3'!B21</f>
        <v>2014110011</v>
      </c>
    </row>
    <row r="73" spans="1:2" ht="15" thickTop="1">
      <c r="A73" s="2844" t="s">
        <v>2746</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2747</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2748</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H28" sqref="H2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1936</v>
      </c>
      <c r="B1" s="3255" t="str">
        <f>IF(B10="北京市","北京市",C10)&amp;F10&amp;B16&amp;"国有建设用地使用权"&amp;B9&amp;"预评估"</f>
        <v>山东省潍坊市诸城市南环路共计8宗商业用地出让国有建设用地使用权抵押价格预评估</v>
      </c>
      <c r="C1" s="3256"/>
      <c r="D1" s="3256"/>
      <c r="E1" s="3256"/>
      <c r="F1" s="3256"/>
      <c r="G1" s="3256"/>
      <c r="H1" s="3256"/>
      <c r="I1" s="3257"/>
      <c r="J1" s="1678"/>
      <c r="K1" s="2419" t="str">
        <f>IF(B10="北京市","北京市",C10)&amp;F10&amp;B16&amp;"国有建设用地使用权"&amp;B9</f>
        <v>山东省潍坊市诸城市南环路共计8宗商业用地出让国有建设用地使用权抵押价格</v>
      </c>
      <c r="L1" s="1707"/>
      <c r="M1" s="1707"/>
      <c r="N1" s="1678"/>
      <c r="O1" s="1679"/>
      <c r="P1" s="1678"/>
      <c r="Q1" s="1678"/>
      <c r="R1" s="1678"/>
      <c r="S1" s="1678"/>
      <c r="T1" s="1678"/>
      <c r="U1" s="1678"/>
    </row>
    <row r="2" spans="1:21">
      <c r="A2" s="1644" t="s">
        <v>1937</v>
      </c>
      <c r="B2" s="1826" t="s">
        <v>3337</v>
      </c>
      <c r="D2" s="1678"/>
      <c r="E2" s="1678"/>
      <c r="F2" s="1678"/>
      <c r="G2" s="1678"/>
      <c r="H2" s="1644"/>
      <c r="I2" s="1679"/>
      <c r="J2" s="1678"/>
      <c r="K2" s="2419" t="str">
        <f>IF(B10="北京市","北京市",C10)&amp;F10&amp;B16&amp;"国有建设用地使用权"</f>
        <v>山东省潍坊市诸城市南环路共计8宗商业用地出让国有建设用地使用权</v>
      </c>
      <c r="L2" s="1707"/>
      <c r="M2" s="1707"/>
      <c r="N2" s="1678"/>
      <c r="O2" s="1679"/>
      <c r="P2" s="1678"/>
      <c r="Q2" s="1678"/>
      <c r="R2" s="1678"/>
      <c r="S2" s="1678"/>
      <c r="T2" s="1678"/>
      <c r="U2" s="1678"/>
    </row>
    <row r="3" spans="1:21">
      <c r="A3" s="1645" t="s">
        <v>1938</v>
      </c>
      <c r="B3" s="1646"/>
      <c r="C3" s="1647" t="s">
        <v>1993</v>
      </c>
      <c r="D3" s="1646">
        <v>43607</v>
      </c>
      <c r="E3" s="1678"/>
      <c r="F3" s="1678"/>
      <c r="G3" s="1678"/>
      <c r="H3" s="1644"/>
      <c r="I3" s="1679"/>
      <c r="J3" s="1678"/>
      <c r="K3" s="1758"/>
      <c r="L3" s="1707"/>
      <c r="M3" s="1707"/>
      <c r="N3" s="1678"/>
      <c r="O3" s="1679"/>
      <c r="P3" s="1678"/>
      <c r="Q3" s="1678"/>
      <c r="R3" s="1678"/>
      <c r="S3" s="1678"/>
      <c r="T3" s="1678"/>
      <c r="U3" s="1678"/>
    </row>
    <row r="4" spans="1:21" ht="15" thickBot="1">
      <c r="A4" s="1648" t="s">
        <v>1939</v>
      </c>
      <c r="B4" s="1827" t="s">
        <v>3342</v>
      </c>
      <c r="C4" s="1830">
        <f ca="1">SUMIF(土地估价师,B4,估价师及机构信息!E3:E24)</f>
        <v>2002110030</v>
      </c>
      <c r="D4" s="1827" t="s">
        <v>3343</v>
      </c>
      <c r="E4" s="1830">
        <f ca="1">SUMIF(土地估价师,D4,估价师及机构信息!E3:E24)</f>
        <v>2014110011</v>
      </c>
      <c r="F4" s="1827" t="s">
        <v>951</v>
      </c>
      <c r="G4" s="1830">
        <f>SUMIF(土地估价师,F4,估价师及机构信息!E3:E24)</f>
        <v>0</v>
      </c>
      <c r="H4" s="1827" t="s">
        <v>951</v>
      </c>
      <c r="I4" s="1830">
        <f>SUMIF(土地估价师,H4,估价师及机构信息!E3:E24)</f>
        <v>0</v>
      </c>
      <c r="J4" s="1678"/>
      <c r="K4" s="2419" t="str">
        <f>IF(AND(F4="——",H4="——"),B4&amp;"、"&amp;D4,IF(AND(F4&lt;&gt;"——",H4="——"),B4&amp;"、"&amp;D4&amp;"、"&amp;F4,B4&amp;"、"&amp;D4&amp;"、"&amp;F4&amp;"、"&amp;H4))</f>
        <v>王鹏、郑燚</v>
      </c>
      <c r="L4" s="1707"/>
      <c r="M4" s="1707"/>
      <c r="N4" s="1678"/>
      <c r="O4" s="1679"/>
      <c r="P4" s="1678"/>
      <c r="Q4" s="1678"/>
      <c r="R4" s="1678"/>
      <c r="S4" s="1678"/>
      <c r="T4" s="1678"/>
      <c r="U4" s="1678"/>
    </row>
    <row r="5" spans="1:21" ht="15" thickTop="1">
      <c r="A5" s="1649" t="s">
        <v>1940</v>
      </c>
      <c r="B5" s="1773" t="s">
        <v>3344</v>
      </c>
      <c r="C5" s="1650"/>
      <c r="D5" s="1651"/>
      <c r="E5" s="1678"/>
      <c r="F5" s="1678"/>
      <c r="G5" s="1678"/>
      <c r="H5" s="1644"/>
      <c r="I5" s="1679"/>
      <c r="J5" s="1678"/>
      <c r="K5" s="1758"/>
      <c r="L5" s="1707"/>
      <c r="M5" s="1707"/>
      <c r="N5" s="1678"/>
      <c r="O5" s="1679"/>
      <c r="P5" s="1678"/>
      <c r="Q5" s="1678"/>
      <c r="R5" s="1678"/>
      <c r="S5" s="1678"/>
      <c r="T5" s="1678"/>
      <c r="U5" s="1678"/>
    </row>
    <row r="6" spans="1:21" ht="26.25">
      <c r="A6" s="1647" t="s">
        <v>2702</v>
      </c>
      <c r="B6" s="1773" t="s">
        <v>3345</v>
      </c>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2703</v>
      </c>
      <c r="B7" s="1773" t="s">
        <v>3338</v>
      </c>
      <c r="C7" s="1745"/>
      <c r="D7" s="1652"/>
      <c r="E7" s="1678"/>
      <c r="F7" s="1678"/>
      <c r="G7" s="1678"/>
      <c r="H7" s="1644"/>
      <c r="I7" s="1679"/>
      <c r="J7" s="1678"/>
      <c r="K7" s="1758"/>
      <c r="L7" s="1707"/>
      <c r="M7" s="1707"/>
      <c r="N7" s="1678"/>
      <c r="O7" s="1679"/>
      <c r="P7" s="1678"/>
      <c r="Q7" s="1678"/>
      <c r="R7" s="1678"/>
      <c r="S7" s="1678"/>
      <c r="T7" s="1678"/>
      <c r="U7" s="1678"/>
    </row>
    <row r="8" spans="1:21">
      <c r="A8" s="1653" t="s">
        <v>1941</v>
      </c>
      <c r="B8" s="1654" t="s">
        <v>2997</v>
      </c>
      <c r="C8" s="1655"/>
      <c r="D8" s="3261" t="s">
        <v>1943</v>
      </c>
      <c r="E8" s="1828" t="s">
        <v>2998</v>
      </c>
      <c r="F8" s="1656"/>
      <c r="G8" s="1644"/>
      <c r="H8" s="1644"/>
      <c r="I8" s="1691"/>
      <c r="J8" s="1678"/>
      <c r="K8" s="1758"/>
      <c r="L8" s="1707"/>
      <c r="M8" s="1707"/>
      <c r="N8" s="1678"/>
      <c r="O8" s="1679"/>
      <c r="P8" s="1678"/>
      <c r="Q8" s="1678"/>
      <c r="R8" s="1678"/>
      <c r="S8" s="1678"/>
      <c r="T8" s="1678"/>
      <c r="U8" s="1678"/>
    </row>
    <row r="9" spans="1:21" ht="15" thickBot="1">
      <c r="A9" s="1657" t="s">
        <v>1942</v>
      </c>
      <c r="B9" s="1658" t="s">
        <v>2998</v>
      </c>
      <c r="C9" s="1659"/>
      <c r="D9" s="3262"/>
      <c r="E9" s="1658" t="s">
        <v>2850</v>
      </c>
      <c r="F9" s="1731"/>
      <c r="G9" s="1726"/>
      <c r="H9" s="1726"/>
      <c r="I9" s="1727"/>
      <c r="J9" s="1678"/>
      <c r="K9" s="1758"/>
      <c r="L9" s="1707"/>
      <c r="M9" s="1707"/>
      <c r="N9" s="1678"/>
      <c r="O9" s="1679"/>
      <c r="P9" s="1678"/>
      <c r="Q9" s="1678"/>
      <c r="R9" s="1678"/>
      <c r="S9" s="1678"/>
      <c r="T9" s="1678"/>
      <c r="U9" s="1678"/>
    </row>
    <row r="10" spans="1:21" ht="15" thickTop="1">
      <c r="A10" s="1728" t="s">
        <v>1997</v>
      </c>
      <c r="B10" s="1703" t="s">
        <v>2999</v>
      </c>
      <c r="C10" s="1660"/>
      <c r="D10" s="1651"/>
      <c r="E10" s="1661" t="s">
        <v>1945</v>
      </c>
      <c r="F10" s="1662" t="s">
        <v>3346</v>
      </c>
      <c r="G10" s="1729"/>
      <c r="H10" s="1730"/>
      <c r="I10" s="1651"/>
      <c r="J10" s="1678"/>
      <c r="K10" s="1758"/>
      <c r="L10" s="1707"/>
      <c r="M10" s="1707"/>
      <c r="N10" s="1678"/>
      <c r="O10" s="1679"/>
      <c r="P10" s="1678"/>
      <c r="Q10" s="1678"/>
      <c r="R10" s="1678"/>
      <c r="S10" s="1678"/>
      <c r="T10" s="1678"/>
      <c r="U10" s="1678"/>
    </row>
    <row r="11" spans="1:21" ht="28.5">
      <c r="A11" s="1681" t="s">
        <v>1998</v>
      </c>
      <c r="B11" s="1682" t="s">
        <v>3000</v>
      </c>
      <c r="C11" s="1663" t="s">
        <v>3344</v>
      </c>
      <c r="D11" s="1746"/>
      <c r="E11" s="1644"/>
      <c r="F11" s="1644"/>
      <c r="G11" s="1644"/>
      <c r="H11" s="1644"/>
      <c r="I11" s="1644"/>
      <c r="J11" s="1678"/>
      <c r="K11" s="1758"/>
      <c r="L11" s="1707"/>
      <c r="M11" s="1707"/>
      <c r="N11" s="1678"/>
      <c r="O11" s="1679"/>
      <c r="P11" s="1678"/>
      <c r="Q11" s="1678"/>
      <c r="R11" s="1678"/>
      <c r="S11" s="1678"/>
      <c r="T11" s="1678"/>
      <c r="U11" s="1678"/>
    </row>
    <row r="12" spans="1:21">
      <c r="A12" s="1769" t="s">
        <v>2056</v>
      </c>
      <c r="B12" s="3258" t="s">
        <v>3339</v>
      </c>
      <c r="C12" s="3259"/>
      <c r="D12" s="3260"/>
      <c r="E12" s="1683" t="s">
        <v>2059</v>
      </c>
      <c r="F12" s="3276" t="s">
        <v>3340</v>
      </c>
      <c r="G12" s="3277"/>
      <c r="H12" s="3277"/>
      <c r="I12" s="3278"/>
      <c r="J12" s="1678"/>
      <c r="K12" s="1758"/>
      <c r="L12" s="1707"/>
      <c r="M12" s="1707"/>
      <c r="N12" s="1678"/>
      <c r="O12" s="1679"/>
      <c r="P12" s="1678"/>
      <c r="Q12" s="1678"/>
      <c r="R12" s="1678"/>
      <c r="S12" s="1678"/>
      <c r="T12" s="1678"/>
      <c r="U12" s="1678"/>
    </row>
    <row r="13" spans="1:21">
      <c r="A13" s="1671" t="s">
        <v>2057</v>
      </c>
      <c r="B13" s="3258" t="s">
        <v>3341</v>
      </c>
      <c r="C13" s="3259"/>
      <c r="D13" s="3260"/>
      <c r="E13" s="1683" t="s">
        <v>2059</v>
      </c>
      <c r="F13" s="3276" t="s">
        <v>2885</v>
      </c>
      <c r="G13" s="3277"/>
      <c r="H13" s="3277"/>
      <c r="I13" s="3278"/>
      <c r="J13" s="1678"/>
      <c r="K13" s="1758"/>
      <c r="L13" s="1707"/>
      <c r="M13" s="1707"/>
      <c r="N13" s="1678"/>
      <c r="O13" s="1679"/>
      <c r="P13" s="1678"/>
      <c r="Q13" s="1678"/>
      <c r="R13" s="1678"/>
      <c r="S13" s="1678"/>
      <c r="T13" s="1678"/>
      <c r="U13" s="1678"/>
    </row>
    <row r="14" spans="1:21">
      <c r="A14" s="1645" t="s">
        <v>2060</v>
      </c>
      <c r="B14" s="1683"/>
      <c r="C14" s="1829" t="s">
        <v>3001</v>
      </c>
      <c r="D14" s="1717" t="str">
        <f>IF(C14="不一致","是否符合证载地类范围","")</f>
        <v/>
      </c>
      <c r="E14" s="1683"/>
      <c r="F14" s="1774" t="s">
        <v>3002</v>
      </c>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1948</v>
      </c>
      <c r="E15" s="1750" t="s">
        <v>1949</v>
      </c>
      <c r="F15" s="1750" t="s">
        <v>1950</v>
      </c>
      <c r="G15" s="1670" t="s">
        <v>1951</v>
      </c>
      <c r="H15" s="1670" t="s">
        <v>1952</v>
      </c>
      <c r="I15" s="1670" t="s">
        <v>1953</v>
      </c>
      <c r="J15" s="1678"/>
      <c r="K15" s="1758"/>
      <c r="L15" s="1707"/>
      <c r="M15" s="1707"/>
      <c r="N15" s="1678"/>
      <c r="O15" s="1679"/>
      <c r="P15" s="1678"/>
      <c r="Q15" s="1678"/>
      <c r="R15" s="1678"/>
      <c r="S15" s="1678"/>
      <c r="T15" s="1678"/>
      <c r="U15" s="1678"/>
    </row>
    <row r="16" spans="1:21" ht="28.5">
      <c r="A16" s="1664" t="s">
        <v>1946</v>
      </c>
      <c r="B16" s="1665" t="s">
        <v>2986</v>
      </c>
      <c r="C16" s="1683" t="s">
        <v>1947</v>
      </c>
      <c r="D16" s="2610" t="s">
        <v>1948</v>
      </c>
      <c r="E16" s="1706" t="s">
        <v>3003</v>
      </c>
      <c r="F16" s="1706"/>
      <c r="G16" s="1706"/>
      <c r="H16" s="1706"/>
      <c r="I16" s="1670" t="s">
        <v>1953</v>
      </c>
      <c r="J16" s="1678"/>
      <c r="K16" s="2420" t="str">
        <f>IF(D17="","",D16&amp;TEXT(D17,"yyyy年m月d日;;"))</f>
        <v/>
      </c>
      <c r="L16" s="1683" t="str">
        <f>IF(OR(K16="",M16=""),"","、")</f>
        <v/>
      </c>
      <c r="M16" s="2420" t="str">
        <f>IF(E17="","",E16&amp;TEXT(E17,"yyyy年m月d日;;"))</f>
        <v>商业2053年7月4日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1954</v>
      </c>
      <c r="D17" s="1684"/>
      <c r="E17" s="1684">
        <v>56069</v>
      </c>
      <c r="F17" s="1684"/>
      <c r="G17" s="1684"/>
      <c r="H17" s="1684"/>
      <c r="I17" s="1684"/>
      <c r="J17" s="1678"/>
      <c r="K17" s="2419" t="str">
        <f>CONCATENATE(K16,L16,M16,N16,O16,P16,Q16,R16,S16,T16,,U16)</f>
        <v>商业2053年7月4日</v>
      </c>
      <c r="L17" s="1707"/>
      <c r="M17" s="1707"/>
      <c r="N17" s="1678"/>
      <c r="O17" s="1679"/>
      <c r="P17" s="1678"/>
      <c r="Q17" s="1678"/>
      <c r="R17" s="1678"/>
      <c r="S17" s="1678"/>
      <c r="T17" s="1678"/>
      <c r="U17" s="1678"/>
    </row>
    <row r="18" spans="1:21">
      <c r="A18" s="1747"/>
      <c r="B18" s="1666"/>
      <c r="C18" s="1667" t="s">
        <v>1955</v>
      </c>
      <c r="D18" s="1668"/>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1956</v>
      </c>
      <c r="D19" s="1742" t="str">
        <f>IF(B16="出让",IF(D17="","",ROUNDDOWN(MIN((D17-$D$3)/365,D18),2)),D18)</f>
        <v/>
      </c>
      <c r="E19" s="1669">
        <f>IF(B16="出让",IF(E17="","",ROUNDDOWN(MIN((E17-$D$3)/365,E18),2)),E18)</f>
        <v>34.14</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2058</v>
      </c>
      <c r="D20" s="3273"/>
      <c r="E20" s="3274"/>
      <c r="F20" s="3274"/>
      <c r="G20" s="3274"/>
      <c r="H20" s="3274"/>
      <c r="I20" s="3275"/>
      <c r="J20" s="1678"/>
      <c r="K20" s="1758"/>
      <c r="L20" s="1707"/>
      <c r="M20" s="1707"/>
      <c r="N20" s="1678"/>
      <c r="O20" s="1679"/>
      <c r="P20" s="1678"/>
      <c r="Q20" s="1678"/>
      <c r="R20" s="1678"/>
      <c r="S20" s="1678"/>
      <c r="T20" s="1678"/>
      <c r="U20" s="1678"/>
    </row>
    <row r="21" spans="1:21">
      <c r="A21" s="1747" t="s">
        <v>1957</v>
      </c>
      <c r="B21" s="1748" t="s">
        <v>1958</v>
      </c>
      <c r="C21" s="1743">
        <f>'数据-汇总表'!E3</f>
        <v>60978</v>
      </c>
      <c r="D21" s="1744" t="s">
        <v>1959</v>
      </c>
      <c r="E21" s="3263" t="s">
        <v>1996</v>
      </c>
      <c r="F21" s="3264"/>
      <c r="G21" s="3264"/>
      <c r="H21" s="3264"/>
      <c r="I21" s="3265"/>
      <c r="J21" s="1678"/>
      <c r="K21" s="1758"/>
      <c r="L21" s="1707"/>
      <c r="M21" s="1707"/>
      <c r="N21" s="1678"/>
      <c r="O21" s="1679"/>
      <c r="P21" s="1678"/>
      <c r="Q21" s="1678"/>
      <c r="R21" s="1678"/>
      <c r="S21" s="1678"/>
      <c r="T21" s="1678"/>
      <c r="U21" s="1678"/>
    </row>
    <row r="22" spans="1:21">
      <c r="A22" s="3097" t="s">
        <v>951</v>
      </c>
      <c r="B22" s="1645" t="s">
        <v>1960</v>
      </c>
      <c r="C22" s="1670">
        <f>'数据-汇总表'!D3</f>
        <v>40652</v>
      </c>
      <c r="D22" s="1671" t="s">
        <v>1959</v>
      </c>
      <c r="E22" s="3263" t="s">
        <v>2886</v>
      </c>
      <c r="F22" s="3264"/>
      <c r="G22" s="3264"/>
      <c r="H22" s="3264"/>
      <c r="I22" s="3265"/>
      <c r="J22" s="1678"/>
      <c r="K22" s="1758"/>
      <c r="L22" s="1707"/>
      <c r="M22" s="1707"/>
      <c r="N22" s="1678"/>
      <c r="O22" s="1679"/>
      <c r="P22" s="1678"/>
      <c r="Q22" s="1678"/>
      <c r="R22" s="1678"/>
      <c r="S22" s="1678"/>
      <c r="T22" s="1678"/>
      <c r="U22" s="1678"/>
    </row>
    <row r="23" spans="1:21" ht="43.5" thickBot="1">
      <c r="A23" s="1749" t="s">
        <v>1961</v>
      </c>
      <c r="B23" s="1685" t="s">
        <v>1962</v>
      </c>
      <c r="C23" s="1686" t="s">
        <v>1677</v>
      </c>
      <c r="D23" s="1687" t="s">
        <v>1963</v>
      </c>
      <c r="E23" s="1688" t="s">
        <v>3004</v>
      </c>
      <c r="F23" s="1689" t="str">
        <f>IF(AND(C23="是",E23="否"),"是否提供他项权证或相关说明","")</f>
        <v>是否提供他项权证或相关说明</v>
      </c>
      <c r="G23" s="1690"/>
      <c r="H23" s="1678"/>
      <c r="I23" s="1691"/>
      <c r="J23" s="1678"/>
      <c r="K23" s="1758"/>
      <c r="L23" s="1707"/>
      <c r="M23" s="1707"/>
      <c r="N23" s="1678"/>
      <c r="O23" s="1679"/>
      <c r="P23" s="1678"/>
      <c r="Q23" s="1678"/>
      <c r="R23" s="1678"/>
      <c r="S23" s="1678"/>
      <c r="T23" s="1678"/>
      <c r="U23" s="1678"/>
    </row>
    <row r="24" spans="1:21">
      <c r="A24" s="1734" t="s">
        <v>1964</v>
      </c>
      <c r="B24" s="3266" t="s">
        <v>1965</v>
      </c>
      <c r="C24" s="3267"/>
      <c r="D24" s="3268" t="s">
        <v>1966</v>
      </c>
      <c r="E24" s="3269"/>
      <c r="F24" s="1692" t="s">
        <v>1967</v>
      </c>
      <c r="G24" s="1678"/>
      <c r="H24" s="1678"/>
      <c r="I24" s="1691"/>
      <c r="J24" s="1678"/>
      <c r="K24" s="3254" t="s">
        <v>1968</v>
      </c>
      <c r="L24" s="2421"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07"/>
      <c r="N24" s="1678"/>
      <c r="O24" s="1679"/>
      <c r="P24" s="1678"/>
      <c r="Q24" s="1678"/>
      <c r="R24" s="1678"/>
      <c r="S24" s="1678"/>
      <c r="T24" s="1678"/>
      <c r="U24" s="1678"/>
    </row>
    <row r="25" spans="1:21" ht="28.5">
      <c r="A25" s="1735"/>
      <c r="B25" s="1732" t="s">
        <v>3005</v>
      </c>
      <c r="C25" s="1693" t="s">
        <v>1969</v>
      </c>
      <c r="D25" s="1694"/>
      <c r="E25" s="1695" t="s">
        <v>951</v>
      </c>
      <c r="F25" s="1696"/>
      <c r="G25" s="1678"/>
      <c r="H25" s="1678"/>
      <c r="I25" s="1691"/>
      <c r="J25" s="1678"/>
      <c r="K25" s="3254"/>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15" thickBot="1">
      <c r="A26" s="1736"/>
      <c r="B26" s="1733" t="s">
        <v>951</v>
      </c>
      <c r="C26" s="1693" t="s">
        <v>2323</v>
      </c>
      <c r="D26" s="1644"/>
      <c r="E26" s="1644"/>
      <c r="F26" s="1672"/>
      <c r="G26" s="1678"/>
      <c r="H26" s="1678"/>
      <c r="I26" s="1691"/>
      <c r="J26" s="1678"/>
      <c r="K26" s="3254"/>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1970</v>
      </c>
      <c r="B27" s="1737" t="s">
        <v>1971</v>
      </c>
      <c r="C27" s="1697"/>
      <c r="D27" s="2615" t="s">
        <v>1971</v>
      </c>
      <c r="E27" s="1698"/>
      <c r="F27" s="1672"/>
      <c r="G27" s="1678"/>
      <c r="H27" s="1678"/>
      <c r="I27" s="1691"/>
      <c r="J27" s="1678"/>
      <c r="K27" s="1758"/>
      <c r="L27" s="1707"/>
      <c r="M27" s="1707"/>
      <c r="N27" s="1678"/>
      <c r="O27" s="1679"/>
      <c r="P27" s="1678"/>
      <c r="Q27" s="1678"/>
      <c r="R27" s="1678"/>
      <c r="S27" s="1678"/>
      <c r="T27" s="1678"/>
      <c r="U27" s="1678"/>
    </row>
    <row r="28" spans="1:21">
      <c r="A28" s="1740"/>
      <c r="B28" s="1737" t="s">
        <v>1972</v>
      </c>
      <c r="C28" s="1699"/>
      <c r="D28" s="2616" t="s">
        <v>1972</v>
      </c>
      <c r="E28" s="1700"/>
      <c r="F28" s="1672"/>
      <c r="G28" s="1678"/>
      <c r="H28" s="1678"/>
      <c r="I28" s="1691"/>
      <c r="J28" s="1678"/>
      <c r="K28" s="1758"/>
      <c r="L28" s="1707"/>
      <c r="M28" s="1707"/>
      <c r="N28" s="1678"/>
      <c r="O28" s="1679"/>
      <c r="P28" s="1678"/>
      <c r="Q28" s="1678"/>
      <c r="R28" s="1678"/>
      <c r="S28" s="1678"/>
      <c r="T28" s="1678"/>
      <c r="U28" s="1678"/>
    </row>
    <row r="29" spans="1:21">
      <c r="A29" s="1740"/>
      <c r="B29" s="1737" t="s">
        <v>1973</v>
      </c>
      <c r="C29" s="1699"/>
      <c r="D29" s="2616" t="s">
        <v>1973</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1974</v>
      </c>
      <c r="C30" s="1701"/>
      <c r="D30" s="2617" t="s">
        <v>1974</v>
      </c>
      <c r="E30" s="1702"/>
      <c r="F30" s="1673"/>
      <c r="G30" s="1726"/>
      <c r="H30" s="1726"/>
      <c r="I30" s="1727"/>
      <c r="J30" s="1678"/>
      <c r="K30" s="1758"/>
      <c r="L30" s="1707"/>
      <c r="M30" s="1707"/>
      <c r="N30" s="1678"/>
      <c r="O30" s="1679"/>
      <c r="P30" s="1678"/>
      <c r="Q30" s="1678"/>
      <c r="R30" s="1678"/>
      <c r="S30" s="1678"/>
      <c r="T30" s="1678"/>
      <c r="U30" s="1678"/>
    </row>
    <row r="31" spans="1:21" ht="15" thickTop="1">
      <c r="A31" s="3281" t="s">
        <v>1999</v>
      </c>
      <c r="B31" s="1748" t="s">
        <v>2000</v>
      </c>
      <c r="C31" s="3279"/>
      <c r="D31" s="3280"/>
      <c r="E31" s="1678"/>
      <c r="F31" s="1678"/>
      <c r="G31" s="1678"/>
      <c r="H31" s="1678"/>
      <c r="I31" s="1691"/>
      <c r="J31" s="1678"/>
      <c r="K31" s="2422"/>
      <c r="L31" s="1678"/>
      <c r="M31" s="1678"/>
      <c r="N31" s="1678"/>
      <c r="O31" s="1678"/>
      <c r="P31" s="1678"/>
      <c r="Q31" s="1678"/>
      <c r="R31" s="1678"/>
      <c r="S31" s="1678"/>
      <c r="T31" s="1678"/>
      <c r="U31" s="1678"/>
    </row>
    <row r="32" spans="1:21">
      <c r="A32" s="3281"/>
      <c r="B32" s="1645" t="s">
        <v>2001</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81"/>
      <c r="B33" s="1645" t="s">
        <v>2002</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82"/>
      <c r="B34" s="1645" t="s">
        <v>2003</v>
      </c>
      <c r="C34" s="3283"/>
      <c r="D34" s="3284"/>
      <c r="E34" s="1678"/>
      <c r="F34" s="1678"/>
      <c r="G34" s="1678"/>
      <c r="H34" s="1678"/>
      <c r="I34" s="1691"/>
      <c r="J34" s="1678"/>
      <c r="K34" s="2422"/>
      <c r="L34" s="1678"/>
      <c r="M34" s="1678"/>
      <c r="N34" s="1678"/>
      <c r="O34" s="1678"/>
      <c r="P34" s="1678"/>
      <c r="Q34" s="1678"/>
      <c r="R34" s="1678"/>
      <c r="S34" s="1678"/>
      <c r="T34" s="1678"/>
      <c r="U34" s="1678"/>
    </row>
    <row r="35" spans="1:21">
      <c r="A35" s="3285" t="s">
        <v>846</v>
      </c>
      <c r="B35" s="1706" t="s">
        <v>3010</v>
      </c>
      <c r="C35" s="1760" t="str">
        <f>IF(B35="场地平整","——","具体情况：")</f>
        <v>——</v>
      </c>
      <c r="D35" s="3287"/>
      <c r="E35" s="3288"/>
      <c r="F35" s="3288"/>
      <c r="G35" s="3288"/>
      <c r="H35" s="3288"/>
      <c r="I35" s="3289"/>
      <c r="J35" s="1678"/>
      <c r="K35" s="1759"/>
      <c r="L35" s="1707"/>
      <c r="M35" s="1707"/>
      <c r="N35" s="1678"/>
      <c r="O35" s="1679"/>
      <c r="P35" s="1678"/>
      <c r="Q35" s="1678"/>
      <c r="R35" s="1678"/>
      <c r="S35" s="1678"/>
      <c r="T35" s="1678"/>
      <c r="U35" s="1678"/>
    </row>
    <row r="36" spans="1:21">
      <c r="A36" s="3281"/>
      <c r="B36" s="3290" t="s">
        <v>2052</v>
      </c>
      <c r="C36" s="3291"/>
      <c r="D36" s="1776" t="s">
        <v>3009</v>
      </c>
      <c r="E36" s="3292"/>
      <c r="F36" s="3292"/>
      <c r="G36" s="1671" t="str">
        <f>IF(B35="场地未平整","估价结果处理","")</f>
        <v/>
      </c>
      <c r="H36" s="3293"/>
      <c r="I36" s="3293"/>
      <c r="J36" s="1678"/>
      <c r="K36" s="1759"/>
      <c r="L36" s="1707"/>
      <c r="M36" s="1707"/>
      <c r="N36" s="1678"/>
      <c r="O36" s="1679"/>
      <c r="P36" s="1678"/>
      <c r="Q36" s="1678"/>
      <c r="R36" s="1678"/>
      <c r="S36" s="1678"/>
      <c r="T36" s="1678"/>
      <c r="U36" s="1678"/>
    </row>
    <row r="37" spans="1:21" ht="28.5">
      <c r="A37" s="3281"/>
      <c r="B37" s="3270" t="s">
        <v>847</v>
      </c>
      <c r="C37" s="1708" t="s">
        <v>848</v>
      </c>
      <c r="D37" s="1709"/>
      <c r="E37" s="1710"/>
      <c r="F37" s="1678"/>
      <c r="G37" s="1678"/>
      <c r="H37" s="1678"/>
      <c r="I37" s="1691"/>
      <c r="J37" s="1678"/>
      <c r="K37" s="1759"/>
      <c r="L37" s="1678"/>
      <c r="M37" s="1678"/>
      <c r="N37" s="1678"/>
      <c r="O37" s="1678"/>
      <c r="P37" s="1678"/>
      <c r="Q37" s="1678"/>
      <c r="R37" s="1678"/>
      <c r="S37" s="1678"/>
      <c r="T37" s="1678"/>
      <c r="U37" s="1678"/>
    </row>
    <row r="38" spans="1:21">
      <c r="A38" s="3281"/>
      <c r="B38" s="3271"/>
      <c r="C38" s="1653" t="s">
        <v>849</v>
      </c>
      <c r="D38" s="1775">
        <f>ROUNDDOWN(MIN(('数据-取费表'!$B$2-D37)/365,D34),1)</f>
        <v>119.4</v>
      </c>
      <c r="E38" s="1711" t="s">
        <v>850</v>
      </c>
      <c r="F38" s="1678"/>
      <c r="G38" s="1678"/>
      <c r="H38" s="1678"/>
      <c r="I38" s="1691"/>
      <c r="J38" s="1678"/>
      <c r="K38" s="1759"/>
      <c r="L38" s="1678"/>
      <c r="M38" s="1678"/>
      <c r="N38" s="1678"/>
      <c r="O38" s="1678"/>
      <c r="P38" s="1678"/>
      <c r="Q38" s="1678"/>
      <c r="R38" s="1678"/>
      <c r="S38" s="1678"/>
      <c r="T38" s="1678"/>
      <c r="U38" s="1678"/>
    </row>
    <row r="39" spans="1:21">
      <c r="A39" s="3282"/>
      <c r="B39" s="3272"/>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1975</v>
      </c>
      <c r="B40" s="1674" t="s">
        <v>3006</v>
      </c>
      <c r="C40" s="1674" t="s">
        <v>3007</v>
      </c>
      <c r="D40" s="1674" t="s">
        <v>3008</v>
      </c>
      <c r="E40" s="1674"/>
      <c r="F40" s="1674"/>
      <c r="G40" s="1674"/>
      <c r="H40" s="1674"/>
      <c r="I40" s="1691"/>
      <c r="J40" s="1678"/>
      <c r="K40" s="1714">
        <f>COUNTIF(B40:H40,"——")</f>
        <v>0</v>
      </c>
      <c r="L40" s="1683" t="s">
        <v>1976</v>
      </c>
      <c r="M40" s="1680" t="s">
        <v>1977</v>
      </c>
      <c r="N40" s="1680" t="s">
        <v>1978</v>
      </c>
      <c r="O40" s="1680" t="s">
        <v>1979</v>
      </c>
      <c r="P40" s="1680" t="s">
        <v>1980</v>
      </c>
      <c r="Q40" s="1680" t="s">
        <v>1981</v>
      </c>
      <c r="R40" s="1680" t="s">
        <v>1982</v>
      </c>
      <c r="S40" s="3253" t="s">
        <v>1983</v>
      </c>
      <c r="T40" s="1715" t="str">
        <f>NUMBERSTRING(7-K40,1)&amp;"通"</f>
        <v>七通</v>
      </c>
      <c r="U40" s="1678"/>
    </row>
    <row r="41" spans="1:21">
      <c r="A41" s="1647"/>
      <c r="B41" s="3286" t="s">
        <v>1720</v>
      </c>
      <c r="C41" s="3286"/>
      <c r="D41" s="3286"/>
      <c r="E41" s="3286"/>
      <c r="F41" s="1716">
        <f>C10</f>
        <v>0</v>
      </c>
      <c r="G41" s="1678"/>
      <c r="H41" s="1678"/>
      <c r="I41" s="1691"/>
      <c r="J41" s="1678"/>
      <c r="K41" s="1683"/>
      <c r="L41" s="1680" t="str">
        <f>B40</f>
        <v>通路</v>
      </c>
      <c r="M41" s="1717" t="str">
        <f>B40&amp;"、"&amp;C40</f>
        <v>通路、通电</v>
      </c>
      <c r="N41" s="1718" t="str">
        <f>B40&amp;"、"&amp;C40&amp;"、"&amp;D40</f>
        <v>通路、通电、通上水</v>
      </c>
      <c r="O41" s="1718" t="str">
        <f>B40&amp;"、"&amp;C40&amp;"、"&amp;D40&amp;"、"&amp;E40</f>
        <v>通路、通电、通上水、</v>
      </c>
      <c r="P41" s="1718" t="str">
        <f>B40&amp;"、"&amp;C40&amp;"、"&amp;D40&amp;"、"&amp;E40&amp;"、"&amp;F40</f>
        <v>通路、通电、通上水、、</v>
      </c>
      <c r="Q41" s="1718" t="str">
        <f>B40&amp;"、"&amp;C40&amp;"、"&amp;D40&amp;"、"&amp;E40&amp;"、"&amp;F40&amp;"、"&amp;G40</f>
        <v>通路、通电、通上水、、、</v>
      </c>
      <c r="R41" s="1718" t="str">
        <f>B40&amp;"、"&amp;C40&amp;"、"&amp;D40&amp;"、"&amp;E40&amp;"、"&amp;F40&amp;"、"&amp;G40&amp;"、"&amp;H40</f>
        <v>通路、通电、通上水、、、、</v>
      </c>
      <c r="S41" s="3253"/>
      <c r="T41" s="1717" t="str">
        <f>IF(T40="一通",L41,IF(T40="二通",M41,IF(T40="三通",N41,IF(T40="四通",O41,IF(T40="五通",P41,IF(T40="六通",Q41,R41))))))</f>
        <v>通路、通电、通上水、、、、</v>
      </c>
      <c r="U41" s="1678"/>
    </row>
    <row r="42" spans="1:21">
      <c r="A42" s="1719"/>
      <c r="B42" s="1750" t="s">
        <v>1896</v>
      </c>
      <c r="C42" s="1750" t="s">
        <v>1897</v>
      </c>
      <c r="D42" s="1750" t="s">
        <v>1898</v>
      </c>
      <c r="E42" s="1683" t="s">
        <v>1899</v>
      </c>
      <c r="F42" s="1720"/>
      <c r="G42" s="1678"/>
      <c r="H42" s="1678"/>
      <c r="I42" s="1691"/>
      <c r="J42" s="1678"/>
      <c r="K42" s="1758"/>
      <c r="L42" s="1707"/>
      <c r="M42" s="1707"/>
      <c r="N42" s="1678"/>
      <c r="O42" s="1679"/>
      <c r="P42" s="1678"/>
      <c r="Q42" s="1678"/>
      <c r="R42" s="1678"/>
      <c r="S42" s="1678"/>
      <c r="T42" s="1678"/>
      <c r="U42" s="1678"/>
    </row>
    <row r="43" spans="1:21">
      <c r="A43" s="1721" t="s">
        <v>1705</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1706</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2887</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2004</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2005</v>
      </c>
      <c r="B48" s="1670" t="s">
        <v>2006</v>
      </c>
      <c r="C48" s="1670" t="s">
        <v>2007</v>
      </c>
      <c r="D48" s="1670" t="s">
        <v>2008</v>
      </c>
      <c r="E48" s="1670" t="s">
        <v>2009</v>
      </c>
      <c r="F48" s="1670" t="s">
        <v>2010</v>
      </c>
      <c r="G48" s="1670" t="s">
        <v>2011</v>
      </c>
      <c r="H48" s="1670" t="s">
        <v>2012</v>
      </c>
      <c r="I48" s="1670" t="s">
        <v>2013</v>
      </c>
      <c r="J48" s="1756" t="s">
        <v>2014</v>
      </c>
      <c r="K48" s="1750" t="s">
        <v>2015</v>
      </c>
      <c r="L48" s="1750" t="s">
        <v>2016</v>
      </c>
      <c r="M48" s="1750" t="s">
        <v>2017</v>
      </c>
      <c r="N48" s="1670" t="s">
        <v>2018</v>
      </c>
      <c r="O48" s="1670" t="s">
        <v>2019</v>
      </c>
      <c r="P48" s="1670" t="s">
        <v>2020</v>
      </c>
      <c r="Q48" s="1683" t="s">
        <v>2021</v>
      </c>
      <c r="R48" s="1683" t="s">
        <v>2022</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40652</v>
      </c>
      <c r="B3" s="22">
        <f>IF(C3="否",G5-AT5,G5)</f>
        <v>60978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60978</v>
      </c>
      <c r="H5" s="27">
        <f t="shared" ref="H5:AT5" si="0">SUM(H13:H641)</f>
        <v>60978</v>
      </c>
      <c r="I5" s="27">
        <f t="shared" si="0"/>
        <v>60978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60978</v>
      </c>
      <c r="BA5" s="29">
        <f t="shared" si="1"/>
        <v>60978</v>
      </c>
      <c r="BB5" s="29">
        <f t="shared" si="1"/>
        <v>60978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40652</v>
      </c>
      <c r="F6" s="27" t="s">
        <v>1</v>
      </c>
      <c r="G6" s="27" t="s">
        <v>2</v>
      </c>
      <c r="H6" s="33">
        <f>SUMIF(I$12:AB$12,"总值",I6:AB6)</f>
        <v>40652</v>
      </c>
      <c r="I6" s="27">
        <f t="shared" ref="I6:AB6" si="2">ROUND($A$3*I5/$B$3,2)</f>
        <v>40652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40652</v>
      </c>
      <c r="AZ6" s="27" t="s">
        <v>3</v>
      </c>
      <c r="BA6" s="27">
        <f>ROUND($AY$6*BA5/$AZ$5,2)</f>
        <v>40652</v>
      </c>
      <c r="BB6" s="27">
        <f>ROUND($AY$6*BB5/$AZ$5,2)</f>
        <v>40652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3011</v>
      </c>
      <c r="J9" s="51"/>
      <c r="K9" s="2971"/>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3003</v>
      </c>
      <c r="J10" s="51"/>
      <c r="K10" s="2973"/>
      <c r="L10" s="51"/>
      <c r="M10" s="2973"/>
      <c r="N10" s="51"/>
      <c r="O10" s="66"/>
      <c r="P10" s="51"/>
      <c r="Q10" s="66"/>
      <c r="R10" s="51"/>
      <c r="S10" s="66"/>
      <c r="T10" s="51"/>
      <c r="U10" s="66"/>
      <c r="V10" s="51"/>
      <c r="W10" s="66"/>
      <c r="X10" s="51"/>
      <c r="Y10" s="66"/>
      <c r="Z10" s="51"/>
      <c r="AA10" s="66"/>
      <c r="AB10" s="51"/>
      <c r="AC10" s="55"/>
      <c r="AD10" s="2299" t="s">
        <v>2315</v>
      </c>
      <c r="AE10" s="2321"/>
      <c r="AF10" s="2299" t="s">
        <v>2315</v>
      </c>
      <c r="AG10" s="2321"/>
      <c r="AH10" s="2299" t="s">
        <v>2316</v>
      </c>
      <c r="AI10" s="2321"/>
      <c r="AJ10" s="26" t="s">
        <v>2328</v>
      </c>
      <c r="AK10" s="2318"/>
      <c r="AL10" s="2299" t="s">
        <v>2317</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c r="J11" s="71"/>
      <c r="K11" s="2972"/>
      <c r="L11" s="71"/>
      <c r="M11" s="70"/>
      <c r="N11" s="71"/>
      <c r="O11" s="70"/>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1677</v>
      </c>
      <c r="E13" s="27">
        <f t="shared" ref="E13:E20" si="6">IF($C$3="是",ROUND($A$3*G13/$B$3,2),ROUND($A$3*(G13-AT13)/$B$3,2))</f>
        <v>40652</v>
      </c>
      <c r="F13" s="81"/>
      <c r="G13" s="82">
        <f t="shared" ref="G13:G20" si="7">H13+AC13+AT13</f>
        <v>60978</v>
      </c>
      <c r="H13" s="33">
        <f t="shared" ref="H13:H20" si="8">SUMIF(I$12:AB$12,"总值",I13:AB13)</f>
        <v>60978</v>
      </c>
      <c r="I13" s="3528">
        <f>Sheet2!E2</f>
        <v>60978</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f t="shared" ref="AV13:AX20" si="10">A13</f>
        <v>0</v>
      </c>
      <c r="AW13" s="17">
        <f t="shared" si="10"/>
        <v>0</v>
      </c>
      <c r="AX13" s="17">
        <f t="shared" si="10"/>
        <v>0</v>
      </c>
      <c r="AY13" s="996">
        <f t="shared" ref="AY13:AY20" si="11">ROUND($AY$6*AZ13/$AZ$5,2)</f>
        <v>40652</v>
      </c>
      <c r="AZ13" s="27">
        <f t="shared" ref="AZ13:AZ20" si="12">BA13+BL13</f>
        <v>60978</v>
      </c>
      <c r="BA13" s="27">
        <f t="shared" ref="BA13:BA20" si="13">SUM(BB13:BK13)</f>
        <v>60978</v>
      </c>
      <c r="BB13" s="27">
        <f t="shared" ref="BB13:BB20" si="14">IF($D13="是",I13-J13,0)</f>
        <v>60978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6"/>
      <c r="B14" s="2966"/>
      <c r="C14" s="2968"/>
      <c r="D14" s="2967"/>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4" t="s">
        <v>0</v>
      </c>
      <c r="B1" s="3294" t="s">
        <v>4</v>
      </c>
      <c r="C1" s="3294" t="s">
        <v>5</v>
      </c>
      <c r="D1" s="3295" t="s">
        <v>40</v>
      </c>
      <c r="E1" s="3295" t="s">
        <v>41</v>
      </c>
      <c r="F1" s="3295"/>
      <c r="G1" s="3295"/>
      <c r="H1" s="3295"/>
      <c r="I1" s="3295"/>
      <c r="J1" s="3295"/>
      <c r="K1" s="3295"/>
      <c r="L1" s="3295"/>
      <c r="M1" s="3295"/>
    </row>
    <row r="2" spans="1:13" ht="27" customHeight="1">
      <c r="A2" s="3294"/>
      <c r="B2" s="3294"/>
      <c r="C2" s="3294"/>
      <c r="D2" s="3295"/>
      <c r="E2" s="3295" t="s">
        <v>24</v>
      </c>
      <c r="F2" s="3295" t="s">
        <v>25</v>
      </c>
      <c r="G2" s="3295"/>
      <c r="H2" s="3295"/>
      <c r="I2" s="3295"/>
      <c r="J2" s="3295" t="s">
        <v>26</v>
      </c>
      <c r="K2" s="3295"/>
      <c r="L2" s="3295"/>
      <c r="M2" s="3295"/>
    </row>
    <row r="3" spans="1:13" ht="28.5">
      <c r="A3" s="3294"/>
      <c r="B3" s="3294"/>
      <c r="C3" s="3294"/>
      <c r="D3" s="3295"/>
      <c r="E3" s="329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5" t="s">
        <v>42</v>
      </c>
      <c r="B9" s="3295"/>
      <c r="C9" s="329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11" sqref="I11"/>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05" t="s">
        <v>203</v>
      </c>
      <c r="B2" s="3305"/>
      <c r="C2" s="3305"/>
      <c r="D2" s="1960" t="s">
        <v>204</v>
      </c>
      <c r="E2" s="106" t="s">
        <v>205</v>
      </c>
      <c r="F2" s="1969"/>
      <c r="G2" s="1194"/>
      <c r="H2" s="1195"/>
      <c r="I2" s="1196" t="s">
        <v>856</v>
      </c>
      <c r="J2" s="1969"/>
      <c r="K2" s="1969"/>
      <c r="L2" s="1969"/>
    </row>
    <row r="3" spans="1:16" ht="15.75" thickBot="1">
      <c r="A3" s="3306" t="s">
        <v>206</v>
      </c>
      <c r="B3" s="3306"/>
      <c r="C3" s="3306"/>
      <c r="D3" s="107">
        <f>'数据-基础表'!AY6</f>
        <v>40652</v>
      </c>
      <c r="E3" s="107">
        <f>'数据-基础表'!AZ5</f>
        <v>60978</v>
      </c>
      <c r="F3" s="1969"/>
      <c r="G3" s="280" t="s">
        <v>857</v>
      </c>
      <c r="H3" s="275" t="s">
        <v>858</v>
      </c>
      <c r="I3" s="1961">
        <f>ROUND('数据-基础表'!B3/'数据-基础表'!A3,2)</f>
        <v>1.5</v>
      </c>
      <c r="J3" s="1969"/>
      <c r="K3" s="1969"/>
      <c r="L3" s="1969"/>
    </row>
    <row r="4" spans="1:16" ht="15">
      <c r="A4" s="3307"/>
      <c r="B4" s="3308"/>
      <c r="C4" s="3309"/>
      <c r="D4" s="108" t="s">
        <v>204</v>
      </c>
      <c r="E4" s="109" t="s">
        <v>205</v>
      </c>
      <c r="F4" s="1969"/>
      <c r="G4" s="1197"/>
      <c r="H4" s="275" t="s">
        <v>859</v>
      </c>
      <c r="I4" s="1961">
        <f>ROUND(SUMIF('数据-基础表'!I9:AS9,"地上",'数据-基础表'!I5:AS5)/'数据-基础表'!A3,2)</f>
        <v>1.5</v>
      </c>
      <c r="J4" s="1969"/>
      <c r="K4" s="1969"/>
      <c r="L4" s="1969"/>
    </row>
    <row r="5" spans="1:16">
      <c r="A5" s="110" t="s">
        <v>207</v>
      </c>
      <c r="B5" s="3310" t="s">
        <v>230</v>
      </c>
      <c r="C5" s="3310"/>
      <c r="D5" s="111">
        <f>ROUND($D$3*E5/$E$3,2)</f>
        <v>0</v>
      </c>
      <c r="E5" s="112">
        <f>SUMIF('数据-基础表'!$11:$11,"住宅",'数据-基础表'!$5:$5)</f>
        <v>0</v>
      </c>
      <c r="F5" s="1969"/>
      <c r="G5" s="280" t="s">
        <v>860</v>
      </c>
      <c r="H5" s="275" t="s">
        <v>858</v>
      </c>
      <c r="I5" s="1961">
        <f>ROUND(E31/D31,2)</f>
        <v>1.5</v>
      </c>
      <c r="J5" s="1969"/>
      <c r="K5" s="1969"/>
      <c r="L5" s="1969"/>
    </row>
    <row r="6" spans="1:16" ht="15" thickBot="1">
      <c r="A6" s="113"/>
      <c r="B6" s="3310" t="s">
        <v>208</v>
      </c>
      <c r="C6" s="3310"/>
      <c r="D6" s="111">
        <f>ROUND($D$3*E6/$E$3,2)</f>
        <v>40652</v>
      </c>
      <c r="E6" s="112">
        <f>E3-E5</f>
        <v>60978</v>
      </c>
      <c r="F6" s="1969"/>
      <c r="G6" s="1197"/>
      <c r="H6" s="275" t="s">
        <v>859</v>
      </c>
      <c r="I6" s="1961">
        <f>ROUND(F31/D31,2)</f>
        <v>1.5</v>
      </c>
      <c r="J6" s="1969"/>
      <c r="K6" s="1969"/>
      <c r="L6" s="1969"/>
    </row>
    <row r="7" spans="1:16" ht="15">
      <c r="A7" s="3302"/>
      <c r="B7" s="3303"/>
      <c r="C7" s="3304"/>
      <c r="D7" s="108" t="s">
        <v>204</v>
      </c>
      <c r="E7" s="114" t="s">
        <v>231</v>
      </c>
      <c r="F7" s="1969"/>
      <c r="G7" s="1152" t="s">
        <v>1644</v>
      </c>
      <c r="H7" s="1153"/>
      <c r="I7" s="1831">
        <v>4</v>
      </c>
      <c r="J7" s="1969"/>
      <c r="K7" s="1969"/>
      <c r="L7" s="1969"/>
    </row>
    <row r="8" spans="1:16">
      <c r="A8" s="110" t="s">
        <v>209</v>
      </c>
      <c r="B8" s="115" t="s">
        <v>210</v>
      </c>
      <c r="C8" s="111" t="s">
        <v>211</v>
      </c>
      <c r="D8" s="111">
        <f t="shared" ref="D8:D15" si="0">ROUND($D$3*E8/$E$3,2)</f>
        <v>40652</v>
      </c>
      <c r="E8" s="116">
        <f>SUMIF('数据-基础表'!BB10:BK10,"地上",'数据-基础表'!BB5:BK5)</f>
        <v>60978</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40652</v>
      </c>
      <c r="E16" s="120">
        <f>SUM(E8:E15)</f>
        <v>60978</v>
      </c>
      <c r="F16" s="1969"/>
      <c r="G16" s="1971"/>
      <c r="H16" s="968" t="s">
        <v>219</v>
      </c>
      <c r="I16" s="969"/>
      <c r="J16" s="1969"/>
      <c r="K16" s="3296" t="s">
        <v>2562</v>
      </c>
      <c r="L16" s="3297"/>
      <c r="M16" s="3297"/>
      <c r="N16" s="3297"/>
      <c r="O16" s="3297"/>
      <c r="P16" s="3298"/>
    </row>
    <row r="17" spans="1:19" ht="15">
      <c r="A17" s="121" t="s">
        <v>216</v>
      </c>
      <c r="B17" s="122" t="s">
        <v>217</v>
      </c>
      <c r="C17" s="2283" t="s">
        <v>2311</v>
      </c>
      <c r="D17" s="108" t="s">
        <v>204</v>
      </c>
      <c r="E17" s="124" t="s">
        <v>205</v>
      </c>
      <c r="F17" s="125"/>
      <c r="G17" s="1362"/>
      <c r="H17" s="970" t="s">
        <v>218</v>
      </c>
      <c r="I17" s="971" t="s">
        <v>2310</v>
      </c>
      <c r="J17" s="1969"/>
      <c r="K17" s="3299" t="s">
        <v>2563</v>
      </c>
      <c r="L17" s="3300"/>
      <c r="M17" s="3301"/>
      <c r="N17" s="3299" t="s">
        <v>2564</v>
      </c>
      <c r="O17" s="3300"/>
      <c r="P17" s="3301"/>
      <c r="R17" s="2284" t="s">
        <v>2309</v>
      </c>
      <c r="S17" s="144"/>
    </row>
    <row r="18" spans="1:19" ht="15">
      <c r="A18" s="117"/>
      <c r="B18" s="128"/>
      <c r="C18" s="129"/>
      <c r="D18" s="2606"/>
      <c r="E18" s="130" t="s">
        <v>220</v>
      </c>
      <c r="F18" s="131" t="s">
        <v>221</v>
      </c>
      <c r="G18" s="1363" t="s">
        <v>222</v>
      </c>
      <c r="H18" s="972" t="s">
        <v>223</v>
      </c>
      <c r="I18" s="973" t="s">
        <v>224</v>
      </c>
      <c r="J18" s="1969"/>
      <c r="K18" s="2569" t="s">
        <v>2565</v>
      </c>
      <c r="L18" s="2570" t="s">
        <v>2566</v>
      </c>
      <c r="M18" s="2571" t="s">
        <v>2567</v>
      </c>
      <c r="N18" s="2569" t="s">
        <v>2565</v>
      </c>
      <c r="O18" s="2570" t="s">
        <v>2566</v>
      </c>
      <c r="P18" s="2571" t="s">
        <v>2567</v>
      </c>
      <c r="R18" s="2285" t="s">
        <v>2307</v>
      </c>
      <c r="S18" s="2285" t="s">
        <v>2308</v>
      </c>
    </row>
    <row r="19" spans="1:19">
      <c r="A19" s="133"/>
      <c r="B19" s="115" t="s">
        <v>225</v>
      </c>
      <c r="C19" s="2977" t="s">
        <v>3012</v>
      </c>
      <c r="D19" s="111">
        <f t="shared" ref="D19:D26" si="1">ROUND($D$3*E19/$E$3,2)</f>
        <v>40652</v>
      </c>
      <c r="E19" s="134">
        <f t="shared" ref="E19:E26" si="2">SUM(F19:G19)</f>
        <v>60978</v>
      </c>
      <c r="F19" s="135">
        <f>'数据-基础表'!I13</f>
        <v>60978</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40652</v>
      </c>
      <c r="S19" s="2286">
        <f t="shared" si="5"/>
        <v>60978</v>
      </c>
    </row>
    <row r="20" spans="1:19">
      <c r="A20" s="138"/>
      <c r="B20" s="115" t="s">
        <v>226</v>
      </c>
      <c r="C20" s="2977"/>
      <c r="D20" s="111">
        <f t="shared" si="1"/>
        <v>0</v>
      </c>
      <c r="E20" s="134">
        <f t="shared" si="2"/>
        <v>0</v>
      </c>
      <c r="F20" s="135"/>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215</v>
      </c>
      <c r="D27" s="134">
        <f>SUM(D19:D26)</f>
        <v>40652</v>
      </c>
      <c r="E27" s="143">
        <f>IF(SUM(E19:E26)='数据-基础表'!BA5,SUM(E19:E26),IF(F27="地上面积有误","面积有误","地下面积有误"))</f>
        <v>60978</v>
      </c>
      <c r="F27" s="134">
        <f>IF(SUM(F19:F26)=E8,SUM(F19:F26),"地上面积有误")</f>
        <v>60978</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40652</v>
      </c>
      <c r="S27" s="275">
        <f>IF(SUM(S19:S26)=$E$3,SUM(S19:S26),SUM(S19:S26)&amp;"误差"&amp;ROUND(SUM(S19:S26)-E3,2))</f>
        <v>60978</v>
      </c>
    </row>
    <row r="28" spans="1:19">
      <c r="A28" s="138"/>
      <c r="B28" s="115" t="s">
        <v>227</v>
      </c>
      <c r="C28" s="136" t="s">
        <v>228</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227</v>
      </c>
      <c r="C29" s="2298" t="s">
        <v>2318</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0</v>
      </c>
      <c r="E30" s="134">
        <f>SUM(E28:E29)</f>
        <v>0</v>
      </c>
      <c r="F30" s="134">
        <f>SUM(F28:F29)</f>
        <v>0</v>
      </c>
      <c r="G30" s="112">
        <f>SUM(G28:G29)</f>
        <v>0</v>
      </c>
      <c r="H30" s="1969"/>
      <c r="I30" s="1969"/>
      <c r="J30" s="1969"/>
      <c r="K30" s="1969"/>
      <c r="L30" s="1969"/>
    </row>
    <row r="31" spans="1:19" ht="32.25" customHeight="1" thickBot="1">
      <c r="A31" s="1366"/>
      <c r="B31" s="1367" t="s">
        <v>229</v>
      </c>
      <c r="C31" s="2315" t="s">
        <v>2320</v>
      </c>
      <c r="D31" s="1368">
        <f>D27+D30</f>
        <v>40652</v>
      </c>
      <c r="E31" s="1368">
        <f>E27+E30</f>
        <v>60978</v>
      </c>
      <c r="F31" s="1369">
        <f>F27+F30</f>
        <v>60978</v>
      </c>
      <c r="G31" s="1370">
        <f>G27+G30</f>
        <v>0</v>
      </c>
      <c r="H31" s="1969"/>
      <c r="I31" s="1969"/>
      <c r="J31" s="1969"/>
      <c r="K31" s="1969"/>
      <c r="L31" s="1969"/>
    </row>
    <row r="32" spans="1:19">
      <c r="A32" s="1969"/>
      <c r="B32" s="2327" t="s">
        <v>2319</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S31" sqref="S3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43607</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2322</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2824</v>
      </c>
      <c r="O5" s="163" t="s">
        <v>246</v>
      </c>
      <c r="P5" s="165" t="s">
        <v>247</v>
      </c>
      <c r="Q5" s="166" t="s">
        <v>248</v>
      </c>
      <c r="R5" s="167" t="s">
        <v>249</v>
      </c>
      <c r="S5" s="2585" t="s">
        <v>2568</v>
      </c>
      <c r="T5" s="168" t="s">
        <v>250</v>
      </c>
      <c r="U5" s="169" t="s">
        <v>251</v>
      </c>
      <c r="V5" s="159" t="s">
        <v>252</v>
      </c>
      <c r="W5" s="159" t="s">
        <v>253</v>
      </c>
      <c r="X5" s="1803"/>
      <c r="Y5" s="170" t="s">
        <v>254</v>
      </c>
      <c r="Z5" s="171" t="s">
        <v>255</v>
      </c>
      <c r="AA5" s="159" t="s">
        <v>252</v>
      </c>
      <c r="AB5" s="159" t="s">
        <v>253</v>
      </c>
      <c r="AC5" s="1804"/>
      <c r="AD5" s="172" t="s">
        <v>254</v>
      </c>
      <c r="AE5" s="1" t="s">
        <v>869</v>
      </c>
      <c r="AF5" s="159" t="s">
        <v>256</v>
      </c>
      <c r="AG5" s="170" t="s">
        <v>257</v>
      </c>
      <c r="AH5" s="1804" t="s">
        <v>2321</v>
      </c>
      <c r="AI5" s="171" t="s">
        <v>2290</v>
      </c>
      <c r="AJ5" s="171" t="s">
        <v>258</v>
      </c>
      <c r="AK5" s="159" t="s">
        <v>259</v>
      </c>
      <c r="AL5" s="159" t="s">
        <v>260</v>
      </c>
      <c r="AM5" s="172" t="s">
        <v>261</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商业</v>
      </c>
      <c r="B6" s="2322" t="str">
        <f>IF(A6=0,"","经营性")</f>
        <v>经营性</v>
      </c>
      <c r="C6" s="173" t="s">
        <v>3003</v>
      </c>
      <c r="D6" s="2293">
        <f>SUMIF(项目基本情况!D$15:I$15,C6,项目基本情况!D$18:I$18)</f>
        <v>40</v>
      </c>
      <c r="E6" s="2294">
        <f>IF(B6="","",SUMIF(项目基本情况!D$15:I$15,C6,项目基本情况!D$17:I$17))</f>
        <v>56069</v>
      </c>
      <c r="F6" s="174">
        <f>SUMIF(项目基本情况!D$15:I$15,C6,项目基本情况!D$19:I$19)</f>
        <v>34.14</v>
      </c>
      <c r="G6" s="175">
        <f>IF(ISERROR(ROUND(POWER(1+H6,D6-F6)*(POWER(1+H6,F6)-1)/(POWER(1+H6,D6)-1),3)),0,ROUND(POWER(1+H6,D6-F6)*(POWER(1+H6,F6)-1)/(POWER(1+H6,D6)-1),3))</f>
        <v>0.94499999999999995</v>
      </c>
      <c r="H6" s="2978">
        <v>0.05</v>
      </c>
      <c r="I6" s="2978">
        <v>5.5E-2</v>
      </c>
      <c r="J6" s="176">
        <v>0.08</v>
      </c>
      <c r="K6" s="179">
        <f>SUMIF('数据-汇总表'!C$19:C$33,'数据-取费表'!A6,'数据-汇总表'!E$19:E$33)</f>
        <v>60978</v>
      </c>
      <c r="L6" s="2979">
        <v>2400</v>
      </c>
      <c r="M6" s="177">
        <f t="shared" ref="M6:M14" si="0">ROUND(K6*L6/10000,0)</f>
        <v>14635</v>
      </c>
      <c r="N6" s="2980">
        <v>0</v>
      </c>
      <c r="O6" s="177">
        <f>IF($N$5="成新度","——",ROUND(M6*N6,0))</f>
        <v>0</v>
      </c>
      <c r="P6" s="178">
        <f>IF($N$5="成新度","——",M6-O6)</f>
        <v>14635</v>
      </c>
      <c r="Q6" s="2981">
        <v>0.15</v>
      </c>
      <c r="R6" s="179">
        <f>SUMIF('数据-汇总表'!C$19:C$33,A6,'数据-汇总表'!R$19:R$33)</f>
        <v>40652</v>
      </c>
      <c r="S6" s="132">
        <f>IF('数据-汇总表'!$I$17="按面积比例",SUMIF('数据-汇总表'!C$19:C$33,A6,'数据-汇总表'!K$19:K$33),SUMIF('数据-汇总表'!C$19:C$33,A6,'数据-汇总表'!N$19:N$33))</f>
        <v>0</v>
      </c>
      <c r="T6" s="2219" t="str">
        <f>IF($T$4="按面积比例",IF(ISERROR(ROUND($M$14*S6/S$16,0)),"0",ROUND($M$14*S6/S$16,0)),"需自行计算录入")</f>
        <v>0</v>
      </c>
      <c r="U6" s="180">
        <f>U27</f>
        <v>1.68</v>
      </c>
      <c r="V6" s="181">
        <v>0.03</v>
      </c>
      <c r="W6" s="181">
        <v>0.1</v>
      </c>
      <c r="X6" s="2306"/>
      <c r="Y6" s="182">
        <v>1</v>
      </c>
      <c r="Z6" s="183"/>
      <c r="AA6" s="176"/>
      <c r="AB6" s="176"/>
      <c r="AC6" s="2309"/>
      <c r="AD6" s="184"/>
      <c r="AE6" s="972">
        <f ca="1">IF(AN6="",0,SUMIF(INDIRECT("'"&amp;AN6&amp;"'"&amp;"!E:E"),$AE$5,INDIRECT("'"&amp;AN6&amp;"'"&amp;"!F:F")))</f>
        <v>33.14</v>
      </c>
      <c r="AF6" s="141"/>
      <c r="AG6" s="1209">
        <f>IF(AF6="",0,AE6-AF6)</f>
        <v>0</v>
      </c>
      <c r="AH6" s="141"/>
      <c r="AI6" s="187">
        <v>365</v>
      </c>
      <c r="AJ6" s="188"/>
      <c r="AK6" s="189">
        <v>1.4999999999999999E-2</v>
      </c>
      <c r="AL6" s="190">
        <v>1.5E-3</v>
      </c>
      <c r="AM6" s="2992">
        <v>0.01</v>
      </c>
      <c r="AN6" s="2356" t="s">
        <v>3022</v>
      </c>
      <c r="AO6" s="1985"/>
      <c r="AP6" s="1200">
        <f>ROUND(1-1/(1+H6)^F6,3)</f>
        <v>0.81100000000000005</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f>'数据-汇总表'!C20</f>
        <v>0</v>
      </c>
      <c r="B7" s="2322" t="str">
        <f t="shared" ref="B7:B13" si="1">IF(A7=0,"","经营性")</f>
        <v/>
      </c>
      <c r="C7" s="173"/>
      <c r="D7" s="2293">
        <f>SUMIF(项目基本情况!D$15:I$15,C7,项目基本情况!D$18:I$18)</f>
        <v>0</v>
      </c>
      <c r="E7" s="2294"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2312</v>
      </c>
      <c r="B14" s="2291" t="s">
        <v>1678</v>
      </c>
      <c r="C14" s="2292" t="s">
        <v>2312</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2314</v>
      </c>
      <c r="B15" s="2291" t="s">
        <v>1678</v>
      </c>
      <c r="C15" s="2292" t="s">
        <v>2313</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0.94499999999999995</v>
      </c>
      <c r="H16" s="203">
        <f>ROUND(SUMPRODUCT(H6:H13,K6:K13)/SUMPRODUCT((H6:H13&gt;0)*(K6:K13)),3)</f>
        <v>0.05</v>
      </c>
      <c r="I16" s="204"/>
      <c r="J16" s="204"/>
      <c r="K16" s="205">
        <f>SUM(K6:K15)</f>
        <v>60978</v>
      </c>
      <c r="L16" s="206">
        <f>ROUND(M16*10000/SUM(K6:K14),0)</f>
        <v>2400</v>
      </c>
      <c r="M16" s="206">
        <f>SUM(M6:M14)</f>
        <v>14635</v>
      </c>
      <c r="N16" s="207">
        <f>ROUND(SUMPRODUCT(M6:M14,N6:N14)/M16,3)</f>
        <v>0</v>
      </c>
      <c r="O16" s="206">
        <f>SUM(O6:O14)</f>
        <v>0</v>
      </c>
      <c r="P16" s="206">
        <f>SUM(P6:P14)</f>
        <v>14635</v>
      </c>
      <c r="Q16" s="208">
        <f>ROUND(SUMPRODUCT(Q6:Q13,K6:K13)/SUMPRODUCT((Q6:Q13&gt;0)*(K6:K13)),2)</f>
        <v>0.15</v>
      </c>
      <c r="R16" s="2296">
        <f>SUM(R6:R13)</f>
        <v>40652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0.81100000000000005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1</v>
      </c>
      <c r="C20" s="2328" t="s">
        <v>2332</v>
      </c>
      <c r="D20" s="1978"/>
      <c r="E20" s="1977"/>
      <c r="F20" s="1977"/>
      <c r="G20" s="1977"/>
      <c r="H20" s="1977"/>
      <c r="I20" s="1977"/>
      <c r="J20" s="1977"/>
      <c r="K20" s="1976"/>
      <c r="L20" s="1976"/>
      <c r="M20" s="1974"/>
      <c r="N20" s="1974"/>
      <c r="O20" s="1974"/>
      <c r="P20" s="1974"/>
      <c r="Q20" s="1974"/>
      <c r="R20" s="1974"/>
      <c r="S20" s="1974"/>
      <c r="T20" s="3194" t="s">
        <v>3033</v>
      </c>
      <c r="U20" s="3194" t="s">
        <v>3034</v>
      </c>
      <c r="V20" s="319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t="s">
        <v>3028</v>
      </c>
      <c r="T21" s="1974">
        <v>0.2</v>
      </c>
      <c r="U21" s="1974">
        <v>2.5</v>
      </c>
      <c r="V21" s="1974">
        <v>1</v>
      </c>
      <c r="W21" s="1974"/>
      <c r="X21" s="1974">
        <v>7000</v>
      </c>
      <c r="Y21" s="1974">
        <f ca="1">Y27/(V21*T21+V22*T22+V23*T23+V24*T24+V25*T25)</f>
        <v>12701.492537313434</v>
      </c>
      <c r="Z21" s="1974"/>
      <c r="AA21" s="1974"/>
      <c r="AB21" s="1974"/>
      <c r="AC21" s="1974"/>
      <c r="AD21" s="1974"/>
      <c r="AE21" s="1974"/>
      <c r="AF21" s="1974"/>
      <c r="AG21" s="1974"/>
      <c r="AH21" s="1974"/>
      <c r="AI21" s="1974"/>
      <c r="AJ21" s="1974"/>
      <c r="AK21" s="1974"/>
      <c r="AL21" s="1974"/>
      <c r="AM21" s="1974"/>
    </row>
    <row r="22" spans="1:83" ht="14.25">
      <c r="A22" s="219" t="s">
        <v>267</v>
      </c>
      <c r="B22" s="222">
        <f>B19+B20</f>
        <v>1</v>
      </c>
      <c r="C22" s="1977"/>
      <c r="D22" s="1978"/>
      <c r="E22" s="1977"/>
      <c r="F22" s="1977"/>
      <c r="G22" s="1977"/>
      <c r="H22" s="1977"/>
      <c r="I22" s="1977"/>
      <c r="J22" s="1977"/>
      <c r="K22" s="1976"/>
      <c r="L22" s="1976"/>
      <c r="M22" s="1974"/>
      <c r="N22" s="1974"/>
      <c r="O22" s="1974"/>
      <c r="P22" s="1974"/>
      <c r="Q22" s="1974"/>
      <c r="R22" s="1974"/>
      <c r="S22" s="1974" t="s">
        <v>3029</v>
      </c>
      <c r="T22" s="1974">
        <v>0.2</v>
      </c>
      <c r="U22" s="1974">
        <f>$U$21*V22</f>
        <v>1.75</v>
      </c>
      <c r="V22" s="1974">
        <v>0.7</v>
      </c>
      <c r="W22" s="1974"/>
      <c r="X22" s="1974">
        <f>$X$21*V22</f>
        <v>4900</v>
      </c>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t="s">
        <v>3030</v>
      </c>
      <c r="T23" s="1974">
        <v>0.2</v>
      </c>
      <c r="U23" s="1974">
        <f t="shared" ref="U23:U26" si="9">$U$21*V23</f>
        <v>1.5</v>
      </c>
      <c r="V23" s="1974">
        <v>0.6</v>
      </c>
      <c r="W23" s="1974"/>
      <c r="X23" s="1974">
        <f t="shared" ref="X23:X26" si="10">$X$21*V23</f>
        <v>4200</v>
      </c>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1</v>
      </c>
      <c r="C24" s="1977"/>
      <c r="D24" s="1978"/>
      <c r="E24" s="1977"/>
      <c r="F24" s="1977"/>
      <c r="G24" s="1977"/>
      <c r="H24" s="1977"/>
      <c r="I24" s="1977"/>
      <c r="J24" s="1977"/>
      <c r="K24" s="1976"/>
      <c r="L24" s="1976"/>
      <c r="M24" s="1974"/>
      <c r="N24" s="1974"/>
      <c r="O24" s="1974"/>
      <c r="P24" s="1974"/>
      <c r="Q24" s="1974"/>
      <c r="R24" s="1974"/>
      <c r="S24" s="1974" t="s">
        <v>3031</v>
      </c>
      <c r="T24" s="1974">
        <v>0.2</v>
      </c>
      <c r="U24" s="1974">
        <f t="shared" si="9"/>
        <v>1.375</v>
      </c>
      <c r="V24" s="1974">
        <v>0.55000000000000004</v>
      </c>
      <c r="W24" s="1974"/>
      <c r="X24" s="1974">
        <f t="shared" si="10"/>
        <v>3850.0000000000005</v>
      </c>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t="s">
        <v>3032</v>
      </c>
      <c r="T25" s="1974">
        <v>0.2</v>
      </c>
      <c r="U25" s="1974">
        <f t="shared" si="9"/>
        <v>1.25</v>
      </c>
      <c r="V25" s="1974">
        <v>0.5</v>
      </c>
      <c r="W25" s="1974"/>
      <c r="X25" s="1974">
        <f t="shared" si="10"/>
        <v>3500</v>
      </c>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v>40</v>
      </c>
      <c r="C27" s="2331" t="s">
        <v>2339</v>
      </c>
      <c r="D27" s="1981"/>
      <c r="E27" s="1979"/>
      <c r="F27" s="1979"/>
      <c r="G27" s="1977"/>
      <c r="H27" s="1977"/>
      <c r="I27" s="1977"/>
      <c r="J27" s="1977"/>
      <c r="K27" s="1976"/>
      <c r="L27" s="1976"/>
      <c r="M27" s="1974"/>
      <c r="N27" s="1974"/>
      <c r="O27" s="1974"/>
      <c r="P27" s="1974"/>
      <c r="Q27" s="1974"/>
      <c r="R27" s="1974"/>
      <c r="S27" s="1974"/>
      <c r="T27" s="1974"/>
      <c r="U27" s="1974">
        <f>ROUND(T21*U21+T22*U22+T23*U23+T24*U24+T25*U25,2)</f>
        <v>1.68</v>
      </c>
      <c r="V27" s="1974"/>
      <c r="W27" s="1974"/>
      <c r="X27" s="1974">
        <f>X21*T21+X22*T22+X23*T23+X24*T24+X25*T25</f>
        <v>4690</v>
      </c>
      <c r="Y27" s="1974">
        <f ca="1">'剩余法-待开发'!C8</f>
        <v>8510</v>
      </c>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v>40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50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2888</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2889</v>
      </c>
      <c r="D34" s="1978" t="s">
        <v>870</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2890</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2891</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2892</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2892</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2452</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2453</v>
      </c>
      <c r="B40" s="2445">
        <f ca="1">存贷款利率!E2</f>
        <v>4.3499999999999997E-2</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5.6000000000000001E-2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6.000000000000001E-3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7.0000000000000007E-2</v>
      </c>
      <c r="C44" s="2329" t="s">
        <v>2893</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2894</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2895</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2896</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2897</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2898</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8</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1095</v>
      </c>
      <c r="C53" s="3028" t="s">
        <v>2899</v>
      </c>
      <c r="D53" s="3029" t="s">
        <v>2900</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2901</v>
      </c>
      <c r="B54" s="186">
        <v>8</v>
      </c>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2902</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2903</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2904</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2905</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2906</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2907</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2908</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2909</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2910</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11" t="s">
        <v>1662</v>
      </c>
      <c r="B1" s="3312"/>
      <c r="C1" s="3312"/>
      <c r="D1" s="3312"/>
      <c r="E1" s="3312"/>
      <c r="F1" s="3312"/>
      <c r="G1" s="3312"/>
      <c r="H1" s="1987"/>
      <c r="I1" s="1988"/>
      <c r="J1" s="1989"/>
      <c r="K1" s="1987"/>
      <c r="L1" s="1988"/>
      <c r="M1" s="1989"/>
      <c r="N1" s="1987"/>
      <c r="O1" s="1988"/>
      <c r="P1" s="1989"/>
      <c r="Q1" s="1990"/>
      <c r="R1" s="1991"/>
    </row>
    <row r="2" spans="1:18" ht="14.25" thickBot="1">
      <c r="A2" s="1217"/>
      <c r="B2" s="1218"/>
      <c r="C2" s="1219" t="s">
        <v>1663</v>
      </c>
      <c r="D2" s="1220"/>
      <c r="E2" s="1221"/>
      <c r="F2" s="1222"/>
      <c r="G2" s="1219" t="s">
        <v>1664</v>
      </c>
      <c r="H2" s="1993"/>
      <c r="I2" s="1993"/>
      <c r="J2" s="1993"/>
      <c r="K2" s="1993"/>
      <c r="L2" s="1993"/>
      <c r="M2" s="1993"/>
      <c r="N2" s="1993"/>
      <c r="O2" s="1993"/>
      <c r="P2" s="1993"/>
      <c r="Q2" s="1993"/>
      <c r="R2" s="1993"/>
    </row>
    <row r="3" spans="1:18" ht="54">
      <c r="A3" s="1223" t="s">
        <v>1665</v>
      </c>
      <c r="B3" s="1224" t="s">
        <v>1652</v>
      </c>
      <c r="C3" s="3033" t="s">
        <v>2917</v>
      </c>
      <c r="D3" s="1994"/>
      <c r="E3" s="1225" t="s">
        <v>1665</v>
      </c>
      <c r="F3" s="1226" t="s">
        <v>1653</v>
      </c>
      <c r="G3" s="3037" t="s">
        <v>2916</v>
      </c>
      <c r="H3" s="1993"/>
      <c r="I3" s="1993"/>
      <c r="J3" s="1993"/>
      <c r="K3" s="1993"/>
      <c r="L3" s="1993"/>
      <c r="M3" s="1993"/>
      <c r="N3" s="1993"/>
      <c r="O3" s="1993"/>
      <c r="P3" s="1993"/>
      <c r="Q3" s="1993"/>
      <c r="R3" s="1993"/>
    </row>
    <row r="4" spans="1:18" ht="41.25">
      <c r="A4" s="1225"/>
      <c r="B4" s="1227" t="s">
        <v>1666</v>
      </c>
      <c r="C4" s="3034" t="s">
        <v>2918</v>
      </c>
      <c r="D4" s="1994"/>
      <c r="E4" s="1228"/>
      <c r="F4" s="1229" t="s">
        <v>1667</v>
      </c>
      <c r="G4" s="3035" t="s">
        <v>2913</v>
      </c>
      <c r="H4" s="1993"/>
      <c r="I4" s="1993"/>
      <c r="J4" s="1993"/>
      <c r="K4" s="1993"/>
      <c r="L4" s="1993"/>
      <c r="M4" s="1993"/>
      <c r="N4" s="1993"/>
      <c r="O4" s="1993"/>
      <c r="P4" s="1993"/>
      <c r="Q4" s="1993"/>
      <c r="R4" s="1993"/>
    </row>
    <row r="5" spans="1:18" ht="41.25">
      <c r="A5" s="1225"/>
      <c r="B5" s="1227" t="s">
        <v>1668</v>
      </c>
      <c r="C5" s="3034" t="s">
        <v>2919</v>
      </c>
      <c r="D5" s="1994"/>
      <c r="E5" s="1228"/>
      <c r="F5" s="1227" t="s">
        <v>2542</v>
      </c>
      <c r="G5" s="3035" t="s">
        <v>2914</v>
      </c>
      <c r="H5" s="1993"/>
      <c r="I5" s="1993"/>
      <c r="J5" s="1993"/>
      <c r="K5" s="1993"/>
      <c r="L5" s="1993"/>
      <c r="M5" s="1993"/>
      <c r="N5" s="1993"/>
      <c r="O5" s="1993"/>
      <c r="P5" s="1993"/>
      <c r="Q5" s="1993"/>
      <c r="R5" s="1993"/>
    </row>
    <row r="6" spans="1:18" ht="54">
      <c r="A6" s="1225"/>
      <c r="B6" s="1227" t="s">
        <v>1654</v>
      </c>
      <c r="C6" s="3035" t="s">
        <v>2913</v>
      </c>
      <c r="D6" s="1994"/>
      <c r="E6" s="1228"/>
      <c r="F6" s="1227" t="s">
        <v>2543</v>
      </c>
      <c r="G6" s="3035" t="s">
        <v>2911</v>
      </c>
      <c r="H6" s="1993"/>
      <c r="I6" s="1993"/>
      <c r="J6" s="1993"/>
      <c r="K6" s="1993"/>
      <c r="L6" s="1993"/>
      <c r="M6" s="1993"/>
      <c r="N6" s="1993"/>
      <c r="O6" s="1993"/>
      <c r="P6" s="1993"/>
      <c r="Q6" s="1993"/>
      <c r="R6" s="1993"/>
    </row>
    <row r="7" spans="1:18" ht="41.25" thickBot="1">
      <c r="A7" s="1225"/>
      <c r="B7" s="1227" t="s">
        <v>2542</v>
      </c>
      <c r="C7" s="3035" t="s">
        <v>2914</v>
      </c>
      <c r="D7" s="1995"/>
      <c r="E7" s="1230"/>
      <c r="F7" s="1231" t="s">
        <v>1669</v>
      </c>
      <c r="G7" s="3038" t="s">
        <v>2915</v>
      </c>
      <c r="H7" s="1993"/>
      <c r="I7" s="1993"/>
      <c r="J7" s="1993"/>
      <c r="K7" s="1993"/>
      <c r="L7" s="1993"/>
      <c r="M7" s="1993"/>
      <c r="N7" s="1993"/>
      <c r="O7" s="1993"/>
      <c r="P7" s="1993"/>
      <c r="Q7" s="1993"/>
      <c r="R7" s="1993"/>
    </row>
    <row r="8" spans="1:18" ht="27">
      <c r="A8" s="1225"/>
      <c r="B8" s="1227" t="s">
        <v>2543</v>
      </c>
      <c r="C8" s="3035" t="s">
        <v>2911</v>
      </c>
      <c r="D8" s="1995"/>
      <c r="E8" s="1995"/>
      <c r="F8" s="1540"/>
      <c r="G8" s="1540"/>
      <c r="H8" s="1993"/>
      <c r="I8" s="1993"/>
      <c r="J8" s="1993"/>
      <c r="K8" s="1993"/>
      <c r="L8" s="1993"/>
      <c r="M8" s="1993"/>
      <c r="N8" s="1993"/>
      <c r="O8" s="1993"/>
      <c r="P8" s="1993"/>
      <c r="Q8" s="1993"/>
      <c r="R8" s="1993"/>
    </row>
    <row r="9" spans="1:18" ht="40.5">
      <c r="A9" s="1225"/>
      <c r="B9" s="1227" t="s">
        <v>1655</v>
      </c>
      <c r="C9" s="3034" t="s">
        <v>2912</v>
      </c>
      <c r="D9" s="1994"/>
      <c r="E9" s="1995"/>
      <c r="F9" s="1540"/>
      <c r="G9" s="1540"/>
      <c r="H9" s="1993"/>
      <c r="I9" s="1993"/>
      <c r="J9" s="1993"/>
      <c r="K9" s="1993"/>
      <c r="L9" s="1993"/>
      <c r="M9" s="1993"/>
      <c r="N9" s="1993"/>
      <c r="O9" s="1993"/>
      <c r="P9" s="1993"/>
      <c r="Q9" s="1993"/>
      <c r="R9" s="1993"/>
    </row>
    <row r="10" spans="1:18" s="2001" customFormat="1" ht="15" thickBot="1">
      <c r="A10" s="1232"/>
      <c r="B10" s="1233" t="s">
        <v>1670</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1671</v>
      </c>
      <c r="B13" s="2542"/>
      <c r="C13" s="2542"/>
      <c r="D13" s="1220"/>
      <c r="E13" s="2542"/>
      <c r="F13" s="2542"/>
      <c r="G13" s="2542"/>
    </row>
    <row r="14" spans="1:18" ht="14.25" thickBot="1">
      <c r="A14" s="1234"/>
      <c r="B14" s="1235"/>
      <c r="C14" s="1236" t="s">
        <v>1663</v>
      </c>
      <c r="D14" s="1994"/>
      <c r="E14" s="1237"/>
      <c r="F14" s="1237"/>
      <c r="G14" s="1219" t="s">
        <v>1664</v>
      </c>
    </row>
    <row r="15" spans="1:18" ht="54">
      <c r="A15" s="2552" t="s">
        <v>1656</v>
      </c>
      <c r="B15" s="1238" t="s">
        <v>1652</v>
      </c>
      <c r="C15" s="1239" t="str">
        <f>C3</f>
        <v>估价对象周边居住用地比例、居住小区规模和社区发展完善程度，综合评价居住社区成熟度一般</v>
      </c>
      <c r="D15" s="1994"/>
      <c r="E15" s="2549" t="s">
        <v>1657</v>
      </c>
      <c r="F15" s="1238" t="s">
        <v>1672</v>
      </c>
      <c r="G15" s="1240" t="str">
        <f>G3</f>
        <v>估价对象位于XX开发区，园区建设成熟度XX，产业集聚程度XX</v>
      </c>
    </row>
    <row r="16" spans="1:18" ht="40.5">
      <c r="A16" s="2553"/>
      <c r="B16" s="1241" t="s">
        <v>1666</v>
      </c>
      <c r="C16" s="1242" t="str">
        <f>C4</f>
        <v>估价对象位于XX商圈，周边商业氛围成熟，人流量大，商业繁华度好</v>
      </c>
      <c r="D16" s="1994"/>
      <c r="E16" s="2550"/>
      <c r="F16" s="1243" t="s">
        <v>1667</v>
      </c>
      <c r="G16" s="1005" t="str">
        <f>G4</f>
        <v>估价对象周边道路状况、公共交通通达情况、停车便捷程度，综合评价交通便捷度较好</v>
      </c>
    </row>
    <row r="17" spans="1:7" ht="40.5">
      <c r="A17" s="2553"/>
      <c r="B17" s="1241" t="s">
        <v>1668</v>
      </c>
      <c r="C17" s="1242" t="str">
        <f>C5</f>
        <v>估价对象位于XX商圈，周边办公楼项目较多，入驻率高，办公集聚程度较好</v>
      </c>
      <c r="D17" s="1995"/>
      <c r="E17" s="2550"/>
      <c r="F17" s="1243" t="s">
        <v>1673</v>
      </c>
      <c r="G17" s="2750"/>
    </row>
    <row r="18" spans="1:7" ht="54">
      <c r="A18" s="2553"/>
      <c r="B18" s="1243" t="s">
        <v>1654</v>
      </c>
      <c r="C18" s="1005" t="str">
        <f>C6</f>
        <v>估价对象周边道路状况、公共交通通达情况、停车便捷程度，综合评价交通便捷度较好</v>
      </c>
      <c r="D18" s="1995"/>
      <c r="E18" s="2550"/>
      <c r="F18" s="1243" t="s">
        <v>1669</v>
      </c>
      <c r="G18" s="1005" t="str">
        <f>G7</f>
        <v>该园区内是否有污染型企业，绿化情况，卫生条件，整体环境状况判断</v>
      </c>
    </row>
    <row r="19" spans="1:7" ht="27">
      <c r="A19" s="2553"/>
      <c r="B19" s="1243" t="s">
        <v>1658</v>
      </c>
      <c r="C19" s="2750"/>
      <c r="D19" s="1994"/>
      <c r="E19" s="2550"/>
      <c r="F19" s="1227" t="s">
        <v>2542</v>
      </c>
      <c r="G19" s="1005" t="str">
        <f>G5</f>
        <v>估价对象所在区域公共配套设施齐备情况</v>
      </c>
    </row>
    <row r="20" spans="1:7" ht="40.5">
      <c r="A20" s="2553"/>
      <c r="B20" s="1243" t="s">
        <v>1659</v>
      </c>
      <c r="C20" s="1242" t="str">
        <f>C9</f>
        <v>区域自然环境：；人文环境；综合评价环境状况一般</v>
      </c>
      <c r="D20" s="1995"/>
      <c r="E20" s="2550"/>
      <c r="F20" s="1227" t="s">
        <v>2543</v>
      </c>
      <c r="G20" s="1005" t="str">
        <f>G6</f>
        <v>估价对象所在区域基础设施水平</v>
      </c>
    </row>
    <row r="21" spans="1:7" ht="27">
      <c r="A21" s="2553"/>
      <c r="B21" s="1227" t="s">
        <v>2542</v>
      </c>
      <c r="C21" s="1005" t="str">
        <f>C7</f>
        <v>估价对象所在区域公共配套设施齐备情况</v>
      </c>
      <c r="D21" s="1994"/>
      <c r="E21" s="2550"/>
      <c r="F21" s="1243" t="s">
        <v>1660</v>
      </c>
      <c r="G21" s="3039"/>
    </row>
    <row r="22" spans="1:7" ht="27">
      <c r="A22" s="2553"/>
      <c r="B22" s="1227" t="s">
        <v>2543</v>
      </c>
      <c r="C22" s="1005" t="str">
        <f>C8</f>
        <v>估价对象所在区域基础设施水平</v>
      </c>
      <c r="D22" s="1994"/>
      <c r="E22" s="2550"/>
      <c r="F22" s="1243" t="s">
        <v>1670</v>
      </c>
      <c r="G22" s="2750"/>
    </row>
    <row r="23" spans="1:7" ht="15" thickBot="1">
      <c r="A23" s="2553"/>
      <c r="B23" s="1243" t="s">
        <v>1660</v>
      </c>
      <c r="C23" s="3039"/>
      <c r="E23" s="2551"/>
      <c r="F23" s="1244" t="s">
        <v>1674</v>
      </c>
      <c r="G23" s="3040"/>
    </row>
    <row r="24" spans="1:7" ht="14.25" thickBot="1">
      <c r="A24" s="2554"/>
      <c r="B24" s="1244" t="s">
        <v>1661</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27" sqref="H27"/>
    </sheetView>
  </sheetViews>
  <sheetFormatPr defaultColWidth="14.625" defaultRowHeight="13.5"/>
  <cols>
    <col min="1" max="1" width="24.375" customWidth="1"/>
  </cols>
  <sheetData>
    <row r="1" spans="1:9" ht="16.5">
      <c r="A1" s="2997" t="s">
        <v>2840</v>
      </c>
      <c r="B1" s="2997">
        <f>SUM(B14:B23)</f>
        <v>264427.3</v>
      </c>
      <c r="C1" s="2998"/>
      <c r="D1" s="2998"/>
      <c r="E1" s="2998"/>
      <c r="F1" s="2998"/>
    </row>
    <row r="2" spans="1:9" ht="16.5">
      <c r="A2" s="2997" t="s">
        <v>2841</v>
      </c>
      <c r="B2" s="2997">
        <f>SUM(C14:C23)</f>
        <v>175351</v>
      </c>
      <c r="C2" s="2998"/>
      <c r="D2" s="2998"/>
      <c r="E2" s="2998"/>
      <c r="F2" s="2998"/>
    </row>
    <row r="3" spans="1:9" ht="16.5">
      <c r="A3" s="2997" t="s">
        <v>2842</v>
      </c>
      <c r="B3" s="2999">
        <f>项目基本情况!D3</f>
        <v>43607</v>
      </c>
      <c r="C3" s="2998"/>
      <c r="D3" s="2998"/>
      <c r="E3" s="2998"/>
      <c r="F3" s="2998"/>
    </row>
    <row r="4" spans="1:9" ht="33">
      <c r="A4" s="2997" t="s">
        <v>2843</v>
      </c>
      <c r="B4" s="2997" t="s">
        <v>2844</v>
      </c>
      <c r="C4" s="2997" t="s">
        <v>2845</v>
      </c>
      <c r="D4" s="2997" t="s">
        <v>2846</v>
      </c>
      <c r="E4" s="2998"/>
      <c r="F4" s="2998"/>
    </row>
    <row r="5" spans="1:9" ht="16.5">
      <c r="A5" s="2997" t="s">
        <v>2847</v>
      </c>
      <c r="B5" s="2997">
        <f ca="1">SUM(D14:D23)</f>
        <v>81866</v>
      </c>
      <c r="C5" s="2997">
        <f ca="1">ROUND(B5*10000/$B$1,0)</f>
        <v>3096</v>
      </c>
      <c r="D5" s="2997">
        <f ca="1">ROUND(B5*10000/$B$2,0)</f>
        <v>4669</v>
      </c>
      <c r="E5" s="2998"/>
      <c r="F5" s="2998"/>
    </row>
    <row r="6" spans="1:9" ht="16.5">
      <c r="A6" s="2997" t="s">
        <v>2848</v>
      </c>
      <c r="B6" s="2997">
        <f ca="1">SUM(G14:G23)</f>
        <v>81866</v>
      </c>
      <c r="C6" s="2997">
        <f t="shared" ref="C6:C8" ca="1" si="0">ROUND(B6*10000/$B$1,0)</f>
        <v>3096</v>
      </c>
      <c r="D6" s="2997">
        <f t="shared" ref="D6:D8" ca="1" si="1">ROUND(B6*10000/$B$2,0)</f>
        <v>4669</v>
      </c>
      <c r="E6" s="2998"/>
      <c r="F6" s="2998"/>
    </row>
    <row r="7" spans="1:9" ht="16.5">
      <c r="A7" s="2997" t="s">
        <v>2849</v>
      </c>
      <c r="B7" s="2997">
        <f>SUM(H14:H23)</f>
        <v>0</v>
      </c>
      <c r="C7" s="2997">
        <f t="shared" si="0"/>
        <v>0</v>
      </c>
      <c r="D7" s="2997">
        <f t="shared" si="1"/>
        <v>0</v>
      </c>
      <c r="E7" s="2998"/>
      <c r="F7" s="2998"/>
    </row>
    <row r="8" spans="1:9" ht="16.5">
      <c r="A8" s="2997" t="s">
        <v>2850</v>
      </c>
      <c r="B8" s="2997">
        <f ca="1">SUM(I14:I23)</f>
        <v>69490</v>
      </c>
      <c r="C8" s="2997">
        <f t="shared" ca="1" si="0"/>
        <v>2628</v>
      </c>
      <c r="D8" s="2997">
        <f t="shared" ca="1" si="1"/>
        <v>3963</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60978</v>
      </c>
      <c r="C14" s="3001">
        <f>结果表!K38</f>
        <v>40652</v>
      </c>
      <c r="D14" s="3001">
        <f ca="1">结果表!C42</f>
        <v>19269</v>
      </c>
      <c r="E14" s="3001">
        <f ca="1">ROUND(D14*10000/B14,0)</f>
        <v>3160</v>
      </c>
      <c r="F14" s="3001">
        <f ca="1">ROUND(D14*10000/C14,0)</f>
        <v>4740</v>
      </c>
      <c r="G14" s="3001">
        <f ca="1">结果表!C44</f>
        <v>19269</v>
      </c>
      <c r="H14" s="3001" t="str">
        <f>结果表!C45</f>
        <v>——</v>
      </c>
      <c r="I14" s="3001">
        <f ca="1">结果表!C46</f>
        <v>6893</v>
      </c>
    </row>
    <row r="15" spans="1:9" ht="16.5">
      <c r="A15" s="3004" t="s">
        <v>2857</v>
      </c>
      <c r="B15" s="3005">
        <f>典型户型修正!B22-系统读取表!B14</f>
        <v>203449.3</v>
      </c>
      <c r="C15" s="3005">
        <f>Sheet2!D10-系统读取表!C14</f>
        <v>134699</v>
      </c>
      <c r="D15" s="3005">
        <f ca="1">典型户型修正!S22-系统读取表!D14</f>
        <v>62597</v>
      </c>
      <c r="E15" s="3001">
        <f t="shared" ref="E15:E23" ca="1" si="2">ROUND(D15*10000/B15,0)</f>
        <v>3077</v>
      </c>
      <c r="F15" s="3001">
        <f t="shared" ref="F15:F23" ca="1" si="3">ROUND(D15*10000/C15,0)</f>
        <v>4647</v>
      </c>
      <c r="G15" s="3002">
        <f ca="1">D15</f>
        <v>62597</v>
      </c>
      <c r="H15" s="3002"/>
      <c r="I15" s="3005">
        <f ca="1">G15</f>
        <v>62597</v>
      </c>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64" zoomScaleNormal="100" zoomScaleSheetLayoutView="100" zoomScalePageLayoutView="80" workbookViewId="0">
      <selection activeCell="I80" sqref="I80"/>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2053</v>
      </c>
      <c r="B1" s="1762"/>
      <c r="C1" s="1790" t="s">
        <v>2054</v>
      </c>
      <c r="D1" s="1791"/>
      <c r="E1" s="1790" t="s">
        <v>2055</v>
      </c>
      <c r="F1" s="1792" t="s">
        <v>3021</v>
      </c>
      <c r="G1" s="311"/>
      <c r="H1" s="311"/>
      <c r="I1" s="311"/>
      <c r="J1" s="2014"/>
      <c r="K1" s="2014"/>
      <c r="L1" s="2014"/>
      <c r="M1" s="2014"/>
      <c r="N1" s="2014"/>
      <c r="O1" s="2014"/>
      <c r="P1" s="2014"/>
      <c r="Q1" s="2014"/>
      <c r="R1" s="2014"/>
      <c r="S1" s="2014"/>
      <c r="T1" s="2014"/>
      <c r="U1" s="2014"/>
      <c r="V1" s="2014"/>
    </row>
    <row r="2" spans="1:22" ht="21.75" customHeight="1" thickBot="1">
      <c r="A2" s="3358" t="str">
        <f>项目基本情况!K2</f>
        <v>山东省潍坊市诸城市南环路共计8宗商业用地出让国有建设用地使用权</v>
      </c>
      <c r="B2" s="3359"/>
      <c r="C2" s="3360"/>
      <c r="D2" s="3360"/>
      <c r="E2" s="3360"/>
      <c r="F2" s="3360"/>
      <c r="G2" s="3359"/>
      <c r="H2" s="3359"/>
      <c r="I2" s="3361"/>
      <c r="J2" s="2015"/>
      <c r="K2" s="2014"/>
      <c r="L2" s="2014"/>
      <c r="M2" s="2014"/>
      <c r="N2" s="2014"/>
      <c r="O2" s="2014"/>
      <c r="P2" s="2014"/>
      <c r="Q2" s="2014"/>
      <c r="R2" s="2014"/>
      <c r="S2" s="2014"/>
      <c r="T2" s="2014"/>
      <c r="U2" s="2014"/>
      <c r="V2" s="2014"/>
    </row>
    <row r="3" spans="1:22" ht="14.25">
      <c r="A3" s="3369" t="s">
        <v>298</v>
      </c>
      <c r="B3" s="3370"/>
      <c r="C3" s="3370"/>
      <c r="D3" s="3370"/>
      <c r="E3" s="3370"/>
      <c r="F3" s="3370"/>
      <c r="G3" s="3370"/>
      <c r="H3" s="3370"/>
      <c r="I3" s="3370"/>
      <c r="J3" s="2015"/>
      <c r="K3" s="2014"/>
      <c r="L3" s="2014"/>
      <c r="M3" s="2014"/>
      <c r="N3" s="2014"/>
      <c r="O3" s="2014"/>
      <c r="P3" s="2014"/>
      <c r="Q3" s="2014"/>
      <c r="R3" s="2014"/>
      <c r="S3" s="2014"/>
      <c r="T3" s="2014"/>
      <c r="U3" s="2014"/>
      <c r="V3" s="2014"/>
    </row>
    <row r="4" spans="1:22" ht="14.25">
      <c r="A4" s="258" t="s">
        <v>299</v>
      </c>
      <c r="B4" s="259" t="s">
        <v>300</v>
      </c>
      <c r="C4" s="260" t="s">
        <v>3041</v>
      </c>
      <c r="D4" s="260" t="s">
        <v>3027</v>
      </c>
      <c r="E4" s="3333" t="s">
        <v>301</v>
      </c>
      <c r="F4" s="3375"/>
      <c r="G4" s="3375"/>
      <c r="H4" s="3375"/>
      <c r="I4" s="3334"/>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62" t="s">
        <v>302</v>
      </c>
      <c r="B5" s="3363">
        <v>25</v>
      </c>
      <c r="C5" s="3371"/>
      <c r="D5" s="3374"/>
      <c r="E5" s="261" t="s">
        <v>303</v>
      </c>
      <c r="F5" s="262"/>
      <c r="G5" s="262"/>
      <c r="H5" s="262"/>
      <c r="I5" s="263"/>
      <c r="J5" s="2015"/>
      <c r="K5" s="2014"/>
      <c r="L5" s="2014"/>
      <c r="M5" s="2014"/>
      <c r="N5" s="2014"/>
      <c r="O5" s="2014"/>
      <c r="P5" s="2014"/>
      <c r="Q5" s="2014"/>
      <c r="R5" s="2014"/>
      <c r="S5" s="2014"/>
      <c r="T5" s="2014"/>
      <c r="U5" s="2014"/>
      <c r="V5" s="2014"/>
    </row>
    <row r="6" spans="1:22" ht="14.25">
      <c r="A6" s="3362"/>
      <c r="B6" s="3363"/>
      <c r="C6" s="3372"/>
      <c r="D6" s="3374"/>
      <c r="E6" s="261" t="s">
        <v>304</v>
      </c>
      <c r="F6" s="262"/>
      <c r="G6" s="262"/>
      <c r="H6" s="262"/>
      <c r="I6" s="263"/>
      <c r="J6" s="2015"/>
      <c r="K6" s="2014"/>
      <c r="L6" s="2014"/>
      <c r="M6" s="2014"/>
      <c r="N6" s="2014"/>
      <c r="O6" s="2014"/>
      <c r="P6" s="2014"/>
      <c r="Q6" s="2014"/>
      <c r="R6" s="2014"/>
      <c r="S6" s="2014"/>
      <c r="T6" s="2014"/>
      <c r="U6" s="2014"/>
      <c r="V6" s="2014"/>
    </row>
    <row r="7" spans="1:22" ht="14.25">
      <c r="A7" s="3362"/>
      <c r="B7" s="3363"/>
      <c r="C7" s="3373"/>
      <c r="D7" s="3374"/>
      <c r="E7" s="261" t="s">
        <v>305</v>
      </c>
      <c r="F7" s="262"/>
      <c r="G7" s="262"/>
      <c r="H7" s="262"/>
      <c r="I7" s="263"/>
      <c r="J7" s="2015"/>
      <c r="K7" s="2014"/>
      <c r="L7" s="2014"/>
      <c r="M7" s="2014"/>
      <c r="N7" s="2014"/>
      <c r="O7" s="2014"/>
      <c r="P7" s="2014"/>
      <c r="Q7" s="2014"/>
      <c r="R7" s="2014"/>
      <c r="S7" s="2014"/>
      <c r="T7" s="2014"/>
      <c r="U7" s="2014"/>
      <c r="V7" s="2014"/>
    </row>
    <row r="8" spans="1:22" ht="14.25">
      <c r="A8" s="3362" t="s">
        <v>306</v>
      </c>
      <c r="B8" s="3363">
        <v>15</v>
      </c>
      <c r="C8" s="3371"/>
      <c r="D8" s="3374"/>
      <c r="E8" s="261" t="s">
        <v>307</v>
      </c>
      <c r="F8" s="262"/>
      <c r="G8" s="262"/>
      <c r="H8" s="262"/>
      <c r="I8" s="263"/>
      <c r="J8" s="2015"/>
      <c r="K8" s="2014"/>
      <c r="L8" s="2014"/>
      <c r="M8" s="2014"/>
      <c r="N8" s="2014"/>
      <c r="O8" s="2014"/>
      <c r="P8" s="2014"/>
      <c r="Q8" s="2014"/>
      <c r="R8" s="2014"/>
      <c r="S8" s="2014"/>
      <c r="T8" s="2014"/>
      <c r="U8" s="2014"/>
      <c r="V8" s="2014"/>
    </row>
    <row r="9" spans="1:22" ht="14.25">
      <c r="A9" s="3362"/>
      <c r="B9" s="3363"/>
      <c r="C9" s="3373"/>
      <c r="D9" s="3374"/>
      <c r="E9" s="261" t="s">
        <v>308</v>
      </c>
      <c r="F9" s="262"/>
      <c r="G9" s="262"/>
      <c r="H9" s="262"/>
      <c r="I9" s="263"/>
      <c r="J9" s="2015"/>
      <c r="K9" s="2014"/>
      <c r="L9" s="2014"/>
      <c r="M9" s="2014"/>
      <c r="N9" s="2014"/>
      <c r="O9" s="2014"/>
      <c r="P9" s="2014"/>
      <c r="Q9" s="2014"/>
      <c r="R9" s="2014"/>
      <c r="S9" s="2014"/>
      <c r="T9" s="2014"/>
      <c r="U9" s="2014"/>
      <c r="V9" s="2014"/>
    </row>
    <row r="10" spans="1:22" ht="14.25">
      <c r="A10" s="3362" t="s">
        <v>309</v>
      </c>
      <c r="B10" s="3363">
        <v>15</v>
      </c>
      <c r="C10" s="3371"/>
      <c r="D10" s="3374"/>
      <c r="E10" s="261" t="s">
        <v>310</v>
      </c>
      <c r="F10" s="262"/>
      <c r="G10" s="262"/>
      <c r="H10" s="262"/>
      <c r="I10" s="263"/>
      <c r="J10" s="2015"/>
      <c r="K10" s="2014"/>
      <c r="L10" s="2014"/>
      <c r="M10" s="2014"/>
      <c r="N10" s="2014"/>
      <c r="O10" s="2014"/>
      <c r="P10" s="2014"/>
      <c r="Q10" s="2014"/>
      <c r="R10" s="2014"/>
      <c r="S10" s="2014"/>
      <c r="T10" s="2014"/>
      <c r="U10" s="2014"/>
      <c r="V10" s="2014"/>
    </row>
    <row r="11" spans="1:22" ht="14.25">
      <c r="A11" s="3362"/>
      <c r="B11" s="3363"/>
      <c r="C11" s="3373"/>
      <c r="D11" s="3374"/>
      <c r="E11" s="261" t="s">
        <v>311</v>
      </c>
      <c r="F11" s="262"/>
      <c r="G11" s="262"/>
      <c r="H11" s="262"/>
      <c r="I11" s="263"/>
      <c r="J11" s="2015"/>
      <c r="K11" s="2014"/>
      <c r="L11" s="2014"/>
      <c r="M11" s="2014"/>
      <c r="N11" s="2014"/>
      <c r="O11" s="2014"/>
      <c r="P11" s="2014"/>
      <c r="Q11" s="2014"/>
      <c r="R11" s="2014"/>
      <c r="S11" s="2014"/>
      <c r="T11" s="2014"/>
      <c r="U11" s="2014"/>
      <c r="V11" s="2014"/>
    </row>
    <row r="12" spans="1:22" ht="14.25">
      <c r="A12" s="3362" t="s">
        <v>312</v>
      </c>
      <c r="B12" s="3363">
        <v>15</v>
      </c>
      <c r="C12" s="3371"/>
      <c r="D12" s="3374"/>
      <c r="E12" s="261" t="s">
        <v>313</v>
      </c>
      <c r="F12" s="262"/>
      <c r="G12" s="262"/>
      <c r="H12" s="262"/>
      <c r="I12" s="263"/>
      <c r="J12" s="2015"/>
      <c r="K12" s="2014"/>
      <c r="L12" s="2014"/>
      <c r="M12" s="2014"/>
      <c r="N12" s="2014"/>
      <c r="O12" s="2014"/>
      <c r="P12" s="2014"/>
      <c r="Q12" s="2014"/>
      <c r="R12" s="2014"/>
      <c r="S12" s="2014"/>
      <c r="T12" s="2014"/>
      <c r="U12" s="2014"/>
      <c r="V12" s="2014"/>
    </row>
    <row r="13" spans="1:22" ht="14.25">
      <c r="A13" s="3362"/>
      <c r="B13" s="3363"/>
      <c r="C13" s="3373"/>
      <c r="D13" s="3374"/>
      <c r="E13" s="261" t="s">
        <v>314</v>
      </c>
      <c r="F13" s="262"/>
      <c r="G13" s="262"/>
      <c r="H13" s="262"/>
      <c r="I13" s="263"/>
      <c r="J13" s="2015"/>
      <c r="K13" s="2014"/>
      <c r="L13" s="2014"/>
      <c r="M13" s="2014"/>
      <c r="N13" s="2014"/>
      <c r="O13" s="2014"/>
      <c r="P13" s="2014"/>
      <c r="Q13" s="2014"/>
      <c r="R13" s="2014"/>
      <c r="S13" s="2014"/>
      <c r="T13" s="2014"/>
      <c r="U13" s="2014"/>
      <c r="V13" s="2014"/>
    </row>
    <row r="14" spans="1:22" ht="14.25">
      <c r="A14" s="3362" t="s">
        <v>315</v>
      </c>
      <c r="B14" s="3363">
        <v>30</v>
      </c>
      <c r="C14" s="3371">
        <v>4</v>
      </c>
      <c r="D14" s="3374">
        <v>6</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62"/>
      <c r="B15" s="3363"/>
      <c r="C15" s="3372"/>
      <c r="D15" s="3374"/>
      <c r="E15" s="261" t="s">
        <v>317</v>
      </c>
      <c r="F15" s="262"/>
      <c r="G15" s="262"/>
      <c r="H15" s="262"/>
      <c r="I15" s="263"/>
      <c r="J15" s="2015"/>
      <c r="K15" s="2014"/>
      <c r="L15" s="2014"/>
      <c r="M15" s="2014"/>
      <c r="N15" s="2014"/>
      <c r="O15" s="2014"/>
      <c r="P15" s="2014"/>
      <c r="Q15" s="2014"/>
      <c r="R15" s="2014"/>
      <c r="S15" s="2014"/>
      <c r="T15" s="2014"/>
      <c r="U15" s="2014"/>
      <c r="V15" s="2014"/>
    </row>
    <row r="16" spans="1:22" ht="14.25">
      <c r="A16" s="3362"/>
      <c r="B16" s="3363"/>
      <c r="C16" s="3373"/>
      <c r="D16" s="3374"/>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v>
      </c>
      <c r="D17" s="265">
        <f>SUM(D5:D16)</f>
        <v>6</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v>
      </c>
      <c r="D18" s="267">
        <f>1-C18</f>
        <v>0.6</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14568</v>
      </c>
      <c r="D19" s="271">
        <f ca="1">SUMIF(INDIRECT("'"&amp;D4&amp;"'"&amp;"!A:A"),结果表!B19,INDIRECT("'"&amp;D4&amp;"'"&amp;"!B:B"))</f>
        <v>22403</v>
      </c>
      <c r="E19" s="268" t="s">
        <v>323</v>
      </c>
      <c r="F19" s="269" t="s">
        <v>322</v>
      </c>
      <c r="G19" s="272">
        <f ca="1">ROUND(C19*$C$18+D19*$D$18,0)</f>
        <v>19269</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2389</v>
      </c>
      <c r="D20" s="277">
        <f ca="1">SUMIF(INDIRECT("'"&amp;D4&amp;"'"&amp;"!A:A"),结果表!B20,INDIRECT("'"&amp;D4&amp;"'"&amp;"!B:B"))</f>
        <v>3674</v>
      </c>
      <c r="E20" s="274"/>
      <c r="F20" s="275" t="s">
        <v>325</v>
      </c>
      <c r="G20" s="278">
        <f ca="1">ROUND(C20*$C$18+D20*$D$18,0)</f>
        <v>3160</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3584</v>
      </c>
      <c r="D21" s="151">
        <f ca="1">SUMIF(INDIRECT("'"&amp;D4&amp;"'"&amp;"!A:A"),结果表!B21,INDIRECT("'"&amp;D4&amp;"'"&amp;"!B:B"))</f>
        <v>5511</v>
      </c>
      <c r="E21" s="274"/>
      <c r="F21" s="280" t="s">
        <v>327</v>
      </c>
      <c r="G21" s="282">
        <f ca="1">ROUND(C21*$C$18+D21*$D$18,0)</f>
        <v>4740</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0.53782262493135646</v>
      </c>
      <c r="E22" s="284"/>
      <c r="F22" s="285"/>
      <c r="G22" s="286">
        <f ca="1">ROUND(G19/('数据-汇总表'!D3/666.67),0)</f>
        <v>316</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5"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77"/>
      <c r="B25" s="1317" t="s">
        <v>331</v>
      </c>
      <c r="C25" s="290">
        <f>IF(B30=0,0,C30)</f>
        <v>0</v>
      </c>
      <c r="D25" s="291"/>
      <c r="E25" s="311"/>
      <c r="F25" s="311"/>
      <c r="G25" s="311"/>
      <c r="H25" s="311"/>
      <c r="I25" s="311"/>
      <c r="J25" s="2014"/>
      <c r="K25" s="1251" t="str">
        <f ca="1">项目基本情况!B16&amp;"国有建设用地使用权价格："&amp;O38&amp;"万元"</f>
        <v>出让国有建设用地使用权价格：19269万元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大写金额：人民币壹亿玖仟贰佰陆拾玖万元整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单位面积地价：4740元/平方米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楼面地价：3160元/平方米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抵押价格：19269万元</v>
      </c>
      <c r="L29" s="1248"/>
      <c r="M29" s="1248"/>
      <c r="N29" s="1248"/>
      <c r="O29" s="1247"/>
      <c r="P29" s="2014"/>
      <c r="V29" s="2014"/>
    </row>
    <row r="30" spans="1:26" ht="18.75" thickBot="1">
      <c r="A30" s="3082" t="s">
        <v>336</v>
      </c>
      <c r="B30" s="309"/>
      <c r="C30" s="309"/>
      <c r="D30" s="310"/>
      <c r="E30" s="3083" t="s">
        <v>2964</v>
      </c>
      <c r="F30" s="311"/>
      <c r="G30" s="311"/>
      <c r="H30" s="311"/>
      <c r="I30" s="311"/>
      <c r="J30" s="2014"/>
      <c r="K30" s="1254" t="str">
        <f ca="1">IF(K29="——","——","大写金额：人民币"&amp;NUMBERSTRING(INT(O39*10000),2)&amp;"元整")</f>
        <v>大写金额：人民币壹亿玖仟贰佰陆拾玖万元整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1687</v>
      </c>
      <c r="C32" s="1379">
        <f ca="1">G19-C24</f>
        <v>19269</v>
      </c>
      <c r="D32" s="1380" t="s">
        <v>1688</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1689</v>
      </c>
      <c r="C33" s="264">
        <f ca="1">ROUND(C32*10000/'数据-汇总表'!E3,0)</f>
        <v>3160</v>
      </c>
      <c r="D33" s="1382" t="s">
        <v>1690</v>
      </c>
      <c r="E33" s="3335" t="s">
        <v>338</v>
      </c>
      <c r="F33" s="296" t="s">
        <v>339</v>
      </c>
      <c r="G33" s="297"/>
      <c r="H33" s="980"/>
      <c r="I33" s="1255"/>
      <c r="J33" s="2014"/>
      <c r="K33" s="1254" t="str">
        <f ca="1">IF(项目基本情况!E9="——","——","抵押净值："&amp;C46&amp;"万元")</f>
        <v>抵押净值：6893万元</v>
      </c>
      <c r="L33" s="1248"/>
      <c r="M33" s="1248"/>
      <c r="N33" s="1248"/>
      <c r="O33" s="1247"/>
      <c r="P33" s="2014"/>
      <c r="V33" s="2014"/>
    </row>
    <row r="34" spans="1:26" s="1250" customFormat="1" ht="18.75" thickBot="1">
      <c r="A34" s="300"/>
      <c r="B34" s="1383" t="s">
        <v>1691</v>
      </c>
      <c r="C34" s="264">
        <f ca="1">ROUND(C32*10000/'数据-汇总表'!D3,0)</f>
        <v>4740</v>
      </c>
      <c r="D34" s="1384" t="s">
        <v>1690</v>
      </c>
      <c r="E34" s="3336"/>
      <c r="F34" s="127" t="s">
        <v>341</v>
      </c>
      <c r="G34" s="299"/>
      <c r="H34" s="105"/>
      <c r="I34" s="311"/>
      <c r="J34" s="2014"/>
      <c r="K34" s="1257" t="str">
        <f ca="1">IF(K33="——","——","大写金额：人民币"&amp;NUMBERSTRING(INT(O41*10000),2)&amp;"元整")</f>
        <v>大写金额：人民币陆仟捌佰玖拾叁万元整</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316</v>
      </c>
      <c r="D35" s="1387" t="s">
        <v>1692</v>
      </c>
      <c r="E35" s="3337"/>
      <c r="F35" s="301" t="s">
        <v>342</v>
      </c>
      <c r="G35" s="982"/>
      <c r="H35" s="981" t="s">
        <v>343</v>
      </c>
      <c r="I35" s="311"/>
      <c r="J35" s="2014"/>
      <c r="K35" s="3341" t="s">
        <v>350</v>
      </c>
      <c r="L35" s="3341" t="s">
        <v>351</v>
      </c>
      <c r="M35" s="1260" t="s">
        <v>352</v>
      </c>
      <c r="N35" s="3341" t="s">
        <v>353</v>
      </c>
      <c r="O35" s="3341" t="s">
        <v>354</v>
      </c>
      <c r="P35" s="2014"/>
      <c r="V35" s="2014"/>
    </row>
    <row r="36" spans="1:26" ht="16.5" customHeight="1">
      <c r="A36" s="303" t="s">
        <v>344</v>
      </c>
      <c r="B36" s="304" t="s">
        <v>333</v>
      </c>
      <c r="C36" s="305" t="s">
        <v>345</v>
      </c>
      <c r="D36" s="305" t="s">
        <v>346</v>
      </c>
      <c r="E36" s="306" t="s">
        <v>347</v>
      </c>
      <c r="F36" s="311"/>
      <c r="G36" s="311"/>
      <c r="H36" s="311"/>
      <c r="I36" s="311"/>
      <c r="J36" s="2016"/>
      <c r="K36" s="3342"/>
      <c r="L36" s="3342"/>
      <c r="M36" s="1262" t="s">
        <v>355</v>
      </c>
      <c r="N36" s="3342"/>
      <c r="O36" s="3342"/>
      <c r="P36" s="2014"/>
      <c r="V36" s="2014"/>
    </row>
    <row r="37" spans="1:26" ht="16.5" customHeight="1" thickBot="1">
      <c r="A37" s="1256" t="s">
        <v>348</v>
      </c>
      <c r="B37" s="307"/>
      <c r="C37" s="294"/>
      <c r="D37" s="294"/>
      <c r="E37" s="295"/>
      <c r="F37" s="311"/>
      <c r="G37" s="311"/>
      <c r="H37" s="311"/>
      <c r="I37" s="311"/>
      <c r="J37" s="2016"/>
      <c r="K37" s="3343"/>
      <c r="L37" s="3343"/>
      <c r="M37" s="1263"/>
      <c r="N37" s="3343"/>
      <c r="O37" s="3343"/>
      <c r="P37" s="2014"/>
      <c r="V37" s="2014"/>
    </row>
    <row r="38" spans="1:26" ht="16.5" customHeight="1" thickBot="1">
      <c r="A38" s="1256" t="s">
        <v>349</v>
      </c>
      <c r="B38" s="307"/>
      <c r="C38" s="294"/>
      <c r="D38" s="294"/>
      <c r="E38" s="295"/>
      <c r="F38" s="311"/>
      <c r="G38" s="311"/>
      <c r="H38" s="311"/>
      <c r="I38" s="311"/>
      <c r="J38" s="2016"/>
      <c r="K38" s="1264">
        <f>'数据-汇总表'!D3</f>
        <v>40652</v>
      </c>
      <c r="L38" s="1265">
        <f>'数据-汇总表'!E3</f>
        <v>60978</v>
      </c>
      <c r="M38" s="1265">
        <f ca="1">C34</f>
        <v>4740</v>
      </c>
      <c r="N38" s="1265">
        <f ca="1">C33</f>
        <v>3160</v>
      </c>
      <c r="O38" s="1266">
        <f ca="1">C32</f>
        <v>19269</v>
      </c>
      <c r="P38" s="2014"/>
      <c r="V38" s="2014"/>
    </row>
    <row r="39" spans="1:26" ht="16.5" customHeight="1" thickBot="1">
      <c r="A39" s="1261"/>
      <c r="B39" s="308"/>
      <c r="C39" s="309"/>
      <c r="D39" s="309"/>
      <c r="E39" s="310"/>
      <c r="F39" s="311"/>
      <c r="G39" s="311"/>
      <c r="H39" s="311"/>
      <c r="I39" s="311"/>
      <c r="J39" s="2016"/>
      <c r="K39" s="3318" t="str">
        <f>MID(A44,3,LEN(A44)-2)</f>
        <v>抵押价格</v>
      </c>
      <c r="L39" s="3319"/>
      <c r="M39" s="3319"/>
      <c r="N39" s="3320"/>
      <c r="O39" s="1389">
        <f ca="1">C44</f>
        <v>19269</v>
      </c>
      <c r="P39" s="2014"/>
      <c r="V39" s="2014"/>
    </row>
    <row r="40" spans="1:26" ht="19.5" thickBot="1">
      <c r="A40" s="104" t="s">
        <v>872</v>
      </c>
      <c r="B40" s="311"/>
      <c r="C40" s="311"/>
      <c r="D40" s="311"/>
      <c r="E40" s="311"/>
      <c r="F40" s="311"/>
      <c r="G40" s="311"/>
      <c r="H40" s="311"/>
      <c r="I40" s="311"/>
      <c r="J40" s="2016"/>
      <c r="K40" s="3318" t="str">
        <f t="shared" ref="K40:K41" si="0">MID(A45,3,LEN(A45)-2)</f>
        <v/>
      </c>
      <c r="L40" s="3319"/>
      <c r="M40" s="3319"/>
      <c r="N40" s="3320"/>
      <c r="O40" s="1389" t="str">
        <f>C45</f>
        <v>——</v>
      </c>
      <c r="P40" s="2014"/>
      <c r="V40" s="2014"/>
    </row>
    <row r="41" spans="1:26" ht="16.5" thickBot="1">
      <c r="A41" s="312" t="s">
        <v>356</v>
      </c>
      <c r="B41" s="313"/>
      <c r="C41" s="314" t="s">
        <v>357</v>
      </c>
      <c r="D41" s="315" t="s">
        <v>358</v>
      </c>
      <c r="E41" s="315" t="s">
        <v>359</v>
      </c>
      <c r="F41" s="316" t="s">
        <v>360</v>
      </c>
      <c r="G41" s="311"/>
      <c r="H41" s="311"/>
      <c r="I41" s="311"/>
      <c r="J41" s="2016"/>
      <c r="K41" s="3318" t="str">
        <f t="shared" si="0"/>
        <v>抵押净值</v>
      </c>
      <c r="L41" s="3319"/>
      <c r="M41" s="3319"/>
      <c r="N41" s="3320"/>
      <c r="O41" s="1389">
        <f ca="1">C46</f>
        <v>6893</v>
      </c>
      <c r="P41" s="2014"/>
      <c r="V41" s="2014"/>
    </row>
    <row r="42" spans="1:26" ht="29.25">
      <c r="A42" s="3378" t="s">
        <v>2065</v>
      </c>
      <c r="B42" s="3379"/>
      <c r="C42" s="264">
        <f ca="1">C32</f>
        <v>19269</v>
      </c>
      <c r="D42" s="317">
        <f ca="1">C33</f>
        <v>3160</v>
      </c>
      <c r="E42" s="317">
        <f ca="1">C34</f>
        <v>4740</v>
      </c>
      <c r="F42" s="318">
        <f ca="1">C35</f>
        <v>316</v>
      </c>
      <c r="G42" s="311"/>
      <c r="H42" s="311"/>
      <c r="I42" s="319"/>
      <c r="J42" s="2016"/>
      <c r="K42" s="1267" t="s">
        <v>361</v>
      </c>
      <c r="L42" s="2033" t="s">
        <v>362</v>
      </c>
      <c r="M42" s="1268" t="s">
        <v>363</v>
      </c>
      <c r="N42" s="2034" t="s">
        <v>364</v>
      </c>
      <c r="O42" s="2035" t="s">
        <v>365</v>
      </c>
      <c r="P42" s="2014"/>
      <c r="V42" s="2014"/>
    </row>
    <row r="43" spans="1:26" ht="45">
      <c r="A43" s="3388" t="s">
        <v>2726</v>
      </c>
      <c r="B43" s="3389"/>
      <c r="C43" s="264">
        <f>IF(H33="正常操作",G33+G34+G35,G34+G35)</f>
        <v>0</v>
      </c>
      <c r="D43" s="317" t="s">
        <v>43</v>
      </c>
      <c r="E43" s="317" t="s">
        <v>44</v>
      </c>
      <c r="F43" s="318" t="s">
        <v>44</v>
      </c>
      <c r="G43" s="2822" t="s">
        <v>951</v>
      </c>
      <c r="H43" s="311"/>
      <c r="I43" s="319"/>
      <c r="J43" s="2016"/>
      <c r="K43" s="1269" t="str">
        <f>C4</f>
        <v>比较法-住宅、综合（高值）</v>
      </c>
      <c r="L43" s="1270">
        <f ca="1">IF(L42="估价结果/万元",C19,C20)</f>
        <v>14568</v>
      </c>
      <c r="M43" s="1271">
        <f>C18</f>
        <v>0.4</v>
      </c>
      <c r="N43" s="1272">
        <f ca="1">IF(N42="测算结果/万元",G19,G20)</f>
        <v>19269</v>
      </c>
      <c r="O43" s="1273">
        <f ca="1">IF(O42="最终结果/万元",C32,C33)</f>
        <v>19269</v>
      </c>
      <c r="P43" s="2014"/>
      <c r="V43" s="2014"/>
    </row>
    <row r="44" spans="1:26" ht="30.75" thickBot="1">
      <c r="A44" s="3378" t="str">
        <f>IF(OR(项目基本情况!E8="抵押价格",项目基本情况!E8="已注销及未注销"),"3.抵押价格","——")</f>
        <v>3.抵押价格</v>
      </c>
      <c r="B44" s="3379"/>
      <c r="C44" s="264">
        <f ca="1">IF(A44="——","——",C42-C43)</f>
        <v>19269</v>
      </c>
      <c r="D44" s="317">
        <f ca="1">ROUND(C44*10000/'数据-汇总表'!E3,0)</f>
        <v>3160</v>
      </c>
      <c r="E44" s="317">
        <f ca="1">ROUND(C44*10000/'数据-汇总表'!D3,0)</f>
        <v>4740</v>
      </c>
      <c r="F44" s="318">
        <f ca="1">ROUND(C44/('数据-汇总表'!D3/666.67),0)</f>
        <v>316</v>
      </c>
      <c r="G44" s="311"/>
      <c r="H44" s="311"/>
      <c r="I44" s="319"/>
      <c r="J44" s="2016"/>
      <c r="K44" s="1274" t="str">
        <f>D4</f>
        <v>剩余法-待开发</v>
      </c>
      <c r="L44" s="1275">
        <f ca="1">IF(L42="估价结果/万元",D19,D20)</f>
        <v>22403</v>
      </c>
      <c r="M44" s="1276">
        <f>D18</f>
        <v>0.6</v>
      </c>
      <c r="N44" s="1277"/>
      <c r="O44" s="1278"/>
      <c r="P44" s="2014"/>
      <c r="V44" s="2014"/>
    </row>
    <row r="45" spans="1:26" ht="15">
      <c r="A45" s="3383" t="str">
        <f>IF(项目基本情况!E8="已注销及未注销","4.抵押担保权已注销时的抵押价格",IF(项目基本情况!E8="已注销","3.抵押担保权已注销时的抵押价格","——"))</f>
        <v>——</v>
      </c>
      <c r="B45" s="3384"/>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80" t="str">
        <f>IF(项目基本情况!E9="抵押净值",IF(A45="——","4.抵押净值","5.抵押净值"),"——")</f>
        <v>4.抵押净值</v>
      </c>
      <c r="B46" s="3381"/>
      <c r="C46" s="320">
        <f ca="1">IF(A46="——","——",O79)</f>
        <v>6893</v>
      </c>
      <c r="D46" s="317">
        <f ca="1">ROUND(C46*10000/'数据-汇总表'!E3,0)</f>
        <v>1130</v>
      </c>
      <c r="E46" s="317">
        <f ca="1">ROUND(C46*10000/'数据-汇总表'!D3,0)</f>
        <v>1696</v>
      </c>
      <c r="F46" s="318">
        <f ca="1">ROUND(C46/('数据-汇总表'!D3/666.67),0)</f>
        <v>113</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f ca="1">典型户型修正!S22</f>
        <v>81866</v>
      </c>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46" t="s">
        <v>374</v>
      </c>
      <c r="B63" s="3347"/>
      <c r="C63" s="3348"/>
      <c r="D63" s="341">
        <f ca="1">ROUND(D62*F63,0)</f>
        <v>81866</v>
      </c>
      <c r="E63" s="302" t="s">
        <v>375</v>
      </c>
      <c r="F63" s="342">
        <v>1</v>
      </c>
      <c r="G63" s="343" t="s">
        <v>376</v>
      </c>
      <c r="H63" s="311"/>
      <c r="I63" s="311"/>
      <c r="J63" s="2014"/>
      <c r="K63" s="2014"/>
      <c r="L63" s="2014"/>
      <c r="M63" s="2014"/>
      <c r="N63" s="2014"/>
      <c r="O63" s="2014"/>
      <c r="P63" s="311"/>
      <c r="Q63" s="2014"/>
      <c r="R63" s="2014"/>
      <c r="S63" s="2014"/>
      <c r="T63" s="2014"/>
      <c r="U63" s="2014"/>
      <c r="V63" s="2014"/>
    </row>
    <row r="64" spans="1:22" ht="14.25" customHeight="1">
      <c r="A64" s="3385" t="s">
        <v>378</v>
      </c>
      <c r="B64" s="3386"/>
      <c r="C64" s="3386"/>
      <c r="D64" s="3386"/>
      <c r="E64" s="3386"/>
      <c r="F64" s="3386"/>
      <c r="G64" s="3387"/>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82" t="s">
        <v>386</v>
      </c>
      <c r="B66" s="3353"/>
      <c r="C66" s="3353"/>
      <c r="D66" s="261">
        <f ca="1">IF(H66="情况1",0,IF(H66="情况2",D70,IF(H66="情况3",D71,IF(H66="情况4",D72))))</f>
        <v>4366</v>
      </c>
      <c r="E66" s="993" t="str">
        <f>IF(H66="情况4","(销售额-原购置价)×税（费）率","销售额×税（费）率")</f>
        <v>销售额×税（费）率</v>
      </c>
      <c r="F66" s="350">
        <f>IF(H66="情况1","免征",'数据-取费表'!B41)</f>
        <v>5.6000000000000001E-2</v>
      </c>
      <c r="G66" s="351" t="s">
        <v>387</v>
      </c>
      <c r="H66" s="191" t="s">
        <v>388</v>
      </c>
      <c r="I66" s="1284"/>
      <c r="J66" s="2020"/>
      <c r="K66" s="1287">
        <v>1</v>
      </c>
      <c r="L66" s="3322" t="s">
        <v>385</v>
      </c>
      <c r="M66" s="3323"/>
      <c r="N66" s="2423"/>
      <c r="O66" s="2424"/>
      <c r="P66" s="2425"/>
      <c r="Q66" s="2014"/>
      <c r="R66" s="2014"/>
      <c r="S66" s="2014"/>
      <c r="T66" s="2014"/>
      <c r="U66" s="2014"/>
      <c r="V66" s="2014"/>
    </row>
    <row r="67" spans="1:22" ht="25.5" customHeight="1">
      <c r="A67" s="352" t="s">
        <v>390</v>
      </c>
      <c r="B67" s="3365" t="s">
        <v>391</v>
      </c>
      <c r="C67" s="3365"/>
      <c r="D67" s="353">
        <v>0</v>
      </c>
      <c r="E67" s="41" t="s">
        <v>392</v>
      </c>
      <c r="F67" s="62" t="s">
        <v>21</v>
      </c>
      <c r="G67" s="3349"/>
      <c r="H67" s="311"/>
      <c r="I67" s="1288"/>
      <c r="J67" s="2021"/>
      <c r="K67" s="1962">
        <v>2</v>
      </c>
      <c r="L67" s="3321" t="s">
        <v>389</v>
      </c>
      <c r="M67" s="3321"/>
      <c r="N67" s="1321">
        <f>'数据-取费表'!B2</f>
        <v>43607</v>
      </c>
      <c r="O67" s="1321"/>
      <c r="P67" s="1321"/>
      <c r="Q67" s="2014"/>
      <c r="R67" s="2014"/>
      <c r="S67" s="2014"/>
      <c r="T67" s="2014"/>
      <c r="U67" s="2014"/>
      <c r="V67" s="2014"/>
    </row>
    <row r="68" spans="1:22" ht="25.5" customHeight="1">
      <c r="A68" s="354"/>
      <c r="B68" s="3365" t="s">
        <v>394</v>
      </c>
      <c r="C68" s="3365"/>
      <c r="D68" s="355"/>
      <c r="E68" s="77"/>
      <c r="F68" s="356"/>
      <c r="G68" s="3350"/>
      <c r="H68" s="311"/>
      <c r="I68" s="1288"/>
      <c r="J68" s="2021"/>
      <c r="K68" s="1962">
        <v>3</v>
      </c>
      <c r="L68" s="3321" t="s">
        <v>393</v>
      </c>
      <c r="M68" s="3321"/>
      <c r="N68" s="1289">
        <f ca="1">C42</f>
        <v>19269</v>
      </c>
      <c r="O68" s="1289"/>
      <c r="P68" s="1289"/>
      <c r="Q68" s="2014"/>
      <c r="R68" s="2014"/>
      <c r="S68" s="2014"/>
      <c r="T68" s="2014"/>
      <c r="U68" s="2014"/>
      <c r="V68" s="2014"/>
    </row>
    <row r="69" spans="1:22" ht="12" customHeight="1">
      <c r="A69" s="357"/>
      <c r="B69" s="3365" t="s">
        <v>395</v>
      </c>
      <c r="C69" s="3365"/>
      <c r="D69" s="358"/>
      <c r="E69" s="73"/>
      <c r="F69" s="356"/>
      <c r="G69" s="3351"/>
      <c r="H69" s="311"/>
      <c r="I69" s="1288"/>
      <c r="J69" s="2021"/>
      <c r="K69" s="1290">
        <v>4</v>
      </c>
      <c r="L69" s="3327" t="s">
        <v>2879</v>
      </c>
      <c r="M69" s="3328"/>
      <c r="N69" s="1291">
        <f ca="1">C44</f>
        <v>19269</v>
      </c>
      <c r="O69" s="1291"/>
      <c r="P69" s="1291"/>
      <c r="Q69" s="2014"/>
      <c r="R69" s="2014"/>
      <c r="S69" s="2014"/>
      <c r="T69" s="2014"/>
      <c r="U69" s="2014"/>
      <c r="V69" s="2014"/>
    </row>
    <row r="70" spans="1:22" ht="24" customHeight="1">
      <c r="A70" s="359" t="s">
        <v>396</v>
      </c>
      <c r="B70" s="3365" t="s">
        <v>397</v>
      </c>
      <c r="C70" s="3365"/>
      <c r="D70" s="358">
        <f ca="1">ROUND(D63*'数据-取费表'!B41/(1+'数据-取费表'!C42),0)</f>
        <v>4366</v>
      </c>
      <c r="E70" s="17" t="s">
        <v>398</v>
      </c>
      <c r="F70" s="360">
        <f>'数据-取费表'!B41</f>
        <v>5.6000000000000001E-2</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404</v>
      </c>
      <c r="B71" s="3364" t="s">
        <v>405</v>
      </c>
      <c r="C71" s="3376"/>
      <c r="D71" s="358">
        <f ca="1">ROUND(D63*'数据-取费表'!B41/(1+'数据-取费表'!C42),0)</f>
        <v>4366</v>
      </c>
      <c r="E71" s="17" t="s">
        <v>398</v>
      </c>
      <c r="F71" s="360">
        <f>'数据-取费表'!B41</f>
        <v>5.6000000000000001E-2</v>
      </c>
      <c r="G71" s="361"/>
      <c r="H71" s="311"/>
      <c r="I71" s="1288"/>
      <c r="J71" s="2021"/>
      <c r="K71" s="3013" t="s">
        <v>399</v>
      </c>
      <c r="L71" s="3329" t="s">
        <v>400</v>
      </c>
      <c r="M71" s="3329"/>
      <c r="N71" s="3013" t="s">
        <v>401</v>
      </c>
      <c r="O71" s="3013" t="s">
        <v>402</v>
      </c>
      <c r="P71" s="3013" t="s">
        <v>403</v>
      </c>
      <c r="Q71" s="2014"/>
      <c r="R71" s="2014"/>
      <c r="S71" s="2014"/>
      <c r="T71" s="2014"/>
      <c r="U71" s="2014"/>
      <c r="V71" s="2014"/>
    </row>
    <row r="72" spans="1:22" ht="12" customHeight="1">
      <c r="A72" s="359" t="s">
        <v>407</v>
      </c>
      <c r="B72" s="3364" t="s">
        <v>408</v>
      </c>
      <c r="C72" s="3376"/>
      <c r="D72" s="358">
        <f ca="1">C86</f>
        <v>4254</v>
      </c>
      <c r="E72" s="73" t="s">
        <v>409</v>
      </c>
      <c r="F72" s="360">
        <f>'数据-取费表'!B41</f>
        <v>5.6000000000000001E-2</v>
      </c>
      <c r="G72" s="361"/>
      <c r="H72" s="1294"/>
      <c r="I72" s="1288"/>
      <c r="J72" s="2021"/>
      <c r="K72" s="1962">
        <v>1</v>
      </c>
      <c r="L72" s="3326" t="s">
        <v>406</v>
      </c>
      <c r="M72" s="3326"/>
      <c r="N72" s="1292">
        <f ca="1">D66</f>
        <v>4366</v>
      </c>
      <c r="O72" s="1845" t="str">
        <f>E66</f>
        <v>销售额×税（费）率</v>
      </c>
      <c r="P72" s="1293">
        <f>F66</f>
        <v>5.6000000000000001E-2</v>
      </c>
      <c r="Q72" s="2014"/>
      <c r="R72" s="2014"/>
      <c r="S72" s="2014"/>
      <c r="T72" s="2014"/>
      <c r="U72" s="2014"/>
      <c r="V72" s="2014"/>
    </row>
    <row r="73" spans="1:22" ht="24" customHeight="1">
      <c r="A73" s="3352" t="s">
        <v>411</v>
      </c>
      <c r="B73" s="3353"/>
      <c r="C73" s="3353"/>
      <c r="D73" s="362">
        <f ca="1">IF(H73="个人住宅",0,ROUND(D63*I73,0))</f>
        <v>41</v>
      </c>
      <c r="E73" s="17" t="s">
        <v>412</v>
      </c>
      <c r="F73" s="360">
        <f>IF(H73="正常",I73,"免征")</f>
        <v>5.0000000000000001E-4</v>
      </c>
      <c r="G73" s="361"/>
      <c r="H73" s="191" t="s">
        <v>2996</v>
      </c>
      <c r="I73" s="360">
        <f>'数据-取费表'!B49</f>
        <v>5.0000000000000001E-4</v>
      </c>
      <c r="J73" s="2021"/>
      <c r="K73" s="1962">
        <v>2</v>
      </c>
      <c r="L73" s="3326" t="s">
        <v>410</v>
      </c>
      <c r="M73" s="3326"/>
      <c r="N73" s="1292">
        <f t="shared" ref="N73:P74" ca="1" si="1">D73</f>
        <v>41</v>
      </c>
      <c r="O73" s="1845" t="str">
        <f t="shared" si="1"/>
        <v>销售额×税（费）率</v>
      </c>
      <c r="P73" s="1293">
        <f t="shared" si="1"/>
        <v>5.0000000000000001E-4</v>
      </c>
      <c r="Q73" s="2014"/>
      <c r="R73" s="2014"/>
      <c r="S73" s="2014"/>
      <c r="T73" s="2014"/>
      <c r="U73" s="2014"/>
      <c r="V73" s="2014"/>
    </row>
    <row r="74" spans="1:22" ht="24.75">
      <c r="A74" s="3352" t="s">
        <v>415</v>
      </c>
      <c r="B74" s="3353"/>
      <c r="C74" s="3353"/>
      <c r="D74" s="362">
        <f ca="1">IF(H74="个人住宅",D75,D76)</f>
        <v>7150</v>
      </c>
      <c r="E74" s="17" t="s">
        <v>416</v>
      </c>
      <c r="F74" s="360" t="str">
        <f>IF(H74="正常",F76,"免征")</f>
        <v>——</v>
      </c>
      <c r="G74" s="983" t="s">
        <v>417</v>
      </c>
      <c r="H74" s="363" t="s">
        <v>413</v>
      </c>
      <c r="I74" s="42"/>
      <c r="J74" s="2021"/>
      <c r="K74" s="1962">
        <v>3</v>
      </c>
      <c r="L74" s="3326" t="s">
        <v>414</v>
      </c>
      <c r="M74" s="3326"/>
      <c r="N74" s="1292">
        <f t="shared" ca="1" si="1"/>
        <v>7150</v>
      </c>
      <c r="O74" s="1845" t="str">
        <f t="shared" si="1"/>
        <v>增值额×税（费）率</v>
      </c>
      <c r="P74" s="1295" t="str">
        <f t="shared" si="1"/>
        <v>——</v>
      </c>
      <c r="Q74" s="2014"/>
      <c r="R74" s="2014"/>
      <c r="S74" s="2014"/>
      <c r="T74" s="2014"/>
      <c r="U74" s="2014"/>
      <c r="V74" s="2014"/>
    </row>
    <row r="75" spans="1:22" ht="24">
      <c r="A75" s="359" t="s">
        <v>418</v>
      </c>
      <c r="B75" s="3333" t="s">
        <v>419</v>
      </c>
      <c r="C75" s="3334"/>
      <c r="D75" s="364">
        <v>0</v>
      </c>
      <c r="E75" s="41" t="s">
        <v>420</v>
      </c>
      <c r="F75" s="365"/>
      <c r="G75" s="361"/>
      <c r="H75" s="42"/>
      <c r="I75" s="42"/>
      <c r="J75" s="2021"/>
      <c r="K75" s="3006">
        <f>IF(H77="非个人房产","",4)</f>
        <v>4</v>
      </c>
      <c r="L75" s="3326" t="str">
        <f>IF(H77="非个人房产","——","个人所得税")</f>
        <v>个人所得税</v>
      </c>
      <c r="M75" s="3326"/>
      <c r="N75" s="1296">
        <f ca="1">D77</f>
        <v>819</v>
      </c>
      <c r="O75" s="1858" t="str">
        <f>E77</f>
        <v>销售额×税（费）率</v>
      </c>
      <c r="P75" s="1297">
        <f>F77</f>
        <v>0.01</v>
      </c>
      <c r="Q75" s="2014"/>
      <c r="R75" s="2014"/>
      <c r="S75" s="2014"/>
      <c r="T75" s="2014"/>
      <c r="U75" s="2014"/>
      <c r="V75" s="2014"/>
    </row>
    <row r="76" spans="1:22" ht="24.75">
      <c r="A76" s="359" t="s">
        <v>396</v>
      </c>
      <c r="B76" s="3333" t="s">
        <v>422</v>
      </c>
      <c r="C76" s="3375"/>
      <c r="D76" s="362">
        <f ca="1">IF(H76="转让取得",C99,C115)</f>
        <v>7150</v>
      </c>
      <c r="E76" s="17" t="s">
        <v>423</v>
      </c>
      <c r="F76" s="53" t="s">
        <v>21</v>
      </c>
      <c r="G76" s="361"/>
      <c r="H76" s="363" t="s">
        <v>424</v>
      </c>
      <c r="I76" s="42"/>
      <c r="J76" s="2021"/>
      <c r="K76" s="3006" t="str">
        <f>IF(项目基本情况!K6="上海银行",IF(K75="",4,K75+1),"")</f>
        <v/>
      </c>
      <c r="L76" s="3314" t="str">
        <f>IF(项目基本情况!K6="上海银行","其他处置费用","")</f>
        <v/>
      </c>
      <c r="M76" s="3315"/>
      <c r="N76" s="1292" t="str">
        <f>IF(项目基本情况!K6="上海银行",N89,"")</f>
        <v/>
      </c>
      <c r="O76" s="3316" t="str">
        <f>IF(项目基本情况!K6="上海银行","包含处置中涉及的律师、诉讼、拍卖、评估等费用","")</f>
        <v/>
      </c>
      <c r="P76" s="3317"/>
      <c r="Q76" s="2014"/>
      <c r="R76" s="2014"/>
      <c r="S76" s="2014"/>
      <c r="T76" s="2014"/>
      <c r="U76" s="2014"/>
      <c r="V76" s="2014"/>
    </row>
    <row r="77" spans="1:22" ht="26.25" thickBot="1">
      <c r="A77" s="3344" t="s">
        <v>426</v>
      </c>
      <c r="B77" s="3345"/>
      <c r="C77" s="3345"/>
      <c r="D77" s="366">
        <f ca="1">IF(H77="非个人房产","——",IF(H77="个人住宅",0,ROUND(D63*I77,0)))</f>
        <v>819</v>
      </c>
      <c r="E77" s="367" t="str">
        <f>IF(H77="非个人房产","——","销售额×税（费）率")</f>
        <v>销售额×税（费）率</v>
      </c>
      <c r="F77" s="368">
        <f>IF(H77="非个人房产","——",IF(H77="个人住宅","免征",I77))</f>
        <v>0.01</v>
      </c>
      <c r="G77" s="984" t="s">
        <v>417</v>
      </c>
      <c r="H77" s="363" t="s">
        <v>2880</v>
      </c>
      <c r="I77" s="369">
        <v>0.01</v>
      </c>
      <c r="J77" s="2021"/>
      <c r="K77" s="3340">
        <f>IF(AND(K75="",K76=""),4,IF(项目基本情况!K6="上海银行",K76+1,K75+1))</f>
        <v>5</v>
      </c>
      <c r="L77" s="3326" t="s">
        <v>2881</v>
      </c>
      <c r="M77" s="3012" t="s">
        <v>421</v>
      </c>
      <c r="N77" s="1298"/>
      <c r="O77" s="1299">
        <f ca="1">SUMIF(N72:N76,"&lt;9e307")</f>
        <v>12376</v>
      </c>
      <c r="P77" s="1300"/>
      <c r="Q77" s="3010">
        <f ca="1">O77/N69</f>
        <v>0.64227515698790805</v>
      </c>
      <c r="R77" s="2014"/>
      <c r="S77" s="2014"/>
      <c r="T77" s="2014"/>
      <c r="U77" s="2014"/>
      <c r="V77" s="2014"/>
    </row>
    <row r="78" spans="1:22" ht="12" customHeight="1">
      <c r="A78" s="1301"/>
      <c r="B78" s="311"/>
      <c r="C78" s="311"/>
      <c r="D78" s="311"/>
      <c r="E78" s="42"/>
      <c r="F78" s="42"/>
      <c r="G78" s="42"/>
      <c r="H78" s="1003"/>
      <c r="I78" s="311"/>
      <c r="J78" s="2021"/>
      <c r="K78" s="3340"/>
      <c r="L78" s="3326"/>
      <c r="M78" s="3012" t="s">
        <v>425</v>
      </c>
      <c r="N78" s="1298"/>
      <c r="O78" s="1299" t="str">
        <f ca="1">NUMBERSTRING(INT(O77*10000),2)&amp;"元整"</f>
        <v>壹亿贰仟叁佰柒拾陆万元整</v>
      </c>
      <c r="P78" s="1300"/>
      <c r="Q78" s="2014"/>
      <c r="R78" s="2014"/>
      <c r="S78" s="2014"/>
      <c r="T78" s="2014"/>
      <c r="U78" s="2014"/>
      <c r="V78" s="2014"/>
    </row>
    <row r="79" spans="1:22" ht="13.5" thickBot="1">
      <c r="A79" s="3330" t="s">
        <v>427</v>
      </c>
      <c r="B79" s="3330"/>
      <c r="C79" s="3330"/>
      <c r="D79" s="3330"/>
      <c r="E79" s="3330"/>
      <c r="F79" s="42"/>
      <c r="G79" s="42"/>
      <c r="H79" s="1003"/>
      <c r="I79" s="311"/>
      <c r="J79" s="2021"/>
      <c r="K79" s="3324">
        <f>K77+1</f>
        <v>6</v>
      </c>
      <c r="L79" s="3326" t="s">
        <v>2882</v>
      </c>
      <c r="M79" s="3012" t="s">
        <v>421</v>
      </c>
      <c r="N79" s="1298"/>
      <c r="O79" s="1299">
        <f ca="1">N69-O77</f>
        <v>6893</v>
      </c>
      <c r="P79" s="1300"/>
      <c r="Q79" s="2014"/>
      <c r="R79" s="2014"/>
      <c r="S79" s="2014"/>
      <c r="T79" s="2014"/>
      <c r="U79" s="2014"/>
      <c r="V79" s="2014"/>
    </row>
    <row r="80" spans="1:22" ht="25.5">
      <c r="A80" s="3331" t="s">
        <v>428</v>
      </c>
      <c r="B80" s="3332"/>
      <c r="C80" s="994"/>
      <c r="D80" s="994" t="s">
        <v>429</v>
      </c>
      <c r="E80" s="370" t="s">
        <v>430</v>
      </c>
      <c r="F80" s="42"/>
      <c r="G80" s="42"/>
      <c r="H80" s="1003"/>
      <c r="I80" s="311"/>
      <c r="J80" s="2014"/>
      <c r="K80" s="3325"/>
      <c r="L80" s="3326"/>
      <c r="M80" s="3012" t="s">
        <v>425</v>
      </c>
      <c r="N80" s="1298"/>
      <c r="O80" s="1299" t="str">
        <f ca="1">NUMBERSTRING(INT(O79*10000),2)&amp;"元整"</f>
        <v>陆仟捌佰玖拾叁万元整</v>
      </c>
      <c r="P80" s="1300"/>
      <c r="Q80" s="2014"/>
      <c r="R80" s="2014"/>
      <c r="S80" s="2014"/>
      <c r="T80" s="2014"/>
      <c r="U80" s="2014"/>
      <c r="V80" s="2014"/>
    </row>
    <row r="81" spans="1:26" ht="13.5" thickBot="1">
      <c r="A81" s="381" t="s">
        <v>1822</v>
      </c>
      <c r="B81" s="371" t="s">
        <v>431</v>
      </c>
      <c r="C81" s="372">
        <f ca="1">ROUND((C82+C83)/(1+'数据-取费表'!C42),0)</f>
        <v>77968</v>
      </c>
      <c r="D81" s="373"/>
      <c r="E81" s="374"/>
      <c r="F81" s="42"/>
      <c r="G81" s="42"/>
      <c r="H81" s="1003"/>
      <c r="I81" s="311"/>
      <c r="J81" s="2014"/>
      <c r="K81" s="3006">
        <f>K79+1</f>
        <v>7</v>
      </c>
      <c r="L81" s="3338" t="s">
        <v>2883</v>
      </c>
      <c r="M81" s="3339"/>
      <c r="N81" s="1302"/>
      <c r="O81" s="1303">
        <f ca="1">ROUND(O79*10000/'数据-汇总表'!E3,0)</f>
        <v>1130</v>
      </c>
      <c r="P81" s="1304"/>
      <c r="Q81" s="2014"/>
      <c r="R81" s="2014"/>
      <c r="S81" s="2014"/>
      <c r="T81" s="2014"/>
      <c r="U81" s="2014"/>
      <c r="V81" s="2014"/>
    </row>
    <row r="82" spans="1:26" ht="13.5" thickTop="1">
      <c r="A82" s="375" t="s">
        <v>1823</v>
      </c>
      <c r="B82" s="376" t="s">
        <v>432</v>
      </c>
      <c r="C82" s="377">
        <f ca="1">D63</f>
        <v>81866</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1824</v>
      </c>
      <c r="B83" s="376" t="s">
        <v>433</v>
      </c>
      <c r="C83" s="380">
        <v>0</v>
      </c>
      <c r="D83" s="378"/>
      <c r="E83" s="379"/>
      <c r="F83" s="42"/>
      <c r="G83" s="42"/>
      <c r="H83" s="1003"/>
      <c r="I83" s="311"/>
      <c r="J83" s="2014"/>
      <c r="K83" s="3313" t="s">
        <v>2870</v>
      </c>
      <c r="L83" s="3018" t="s">
        <v>2871</v>
      </c>
      <c r="M83" s="3008">
        <f ca="1">IF(N69&gt;10000,N69*0.5%,IF(AND(N69&gt;1000,N69&lt;=10000),N69*1%,IF(AND(N69&gt;100,N69&lt;=1000),N69*3%,IF(AND(N69&gt;10,N69&lt;=100),N69*5%,N69*8%))))</f>
        <v>96.344999999999999</v>
      </c>
      <c r="N83" s="53">
        <f ca="1">ROUND(M83,1)</f>
        <v>96.3</v>
      </c>
      <c r="O83" s="3011"/>
      <c r="P83" s="2014"/>
      <c r="Q83" s="2014"/>
      <c r="R83" s="2014"/>
      <c r="S83" s="2014"/>
      <c r="T83" s="2014"/>
      <c r="U83" s="2014"/>
      <c r="V83" s="2014"/>
    </row>
    <row r="84" spans="1:26" ht="12.75">
      <c r="A84" s="381" t="s">
        <v>1825</v>
      </c>
      <c r="B84" s="382" t="s">
        <v>434</v>
      </c>
      <c r="C84" s="383">
        <v>2000</v>
      </c>
      <c r="D84" s="384" t="s">
        <v>19</v>
      </c>
      <c r="E84" s="3053" t="s">
        <v>2936</v>
      </c>
      <c r="F84" s="42"/>
      <c r="G84" s="42"/>
      <c r="H84" s="1003"/>
      <c r="I84" s="311"/>
      <c r="J84" s="2014"/>
      <c r="K84" s="3313"/>
      <c r="L84" s="3018" t="s">
        <v>2872</v>
      </c>
      <c r="M84" s="3008">
        <f ca="1">IF(N69&gt;2000,N69*0.5%,IF(AND(N69&gt;1000,N69&lt;=2000),N69*0.6%,IF(AND(N69&gt;500,N69&lt;=1000),N69*0.7%,IF(AND(N69&gt;200,N69&lt;=500),N69*0.8%,IF(AND(N69&gt;100,N69&lt;=200),N69*0.9%,IF(AND(N69&gt;50,N69&lt;=100),N69*1%,IF(AND(N69&gt;20,N69&lt;=50),N69*1.5%,IF(AND(N69&gt;10,N69&lt;=20),N69*2%,IF(AND(N69&gt;1,N69&lt;=10),N69*2.5%)))))))))</f>
        <v>96.344999999999999</v>
      </c>
      <c r="N84" s="53">
        <f t="shared" ref="N84:N85" ca="1" si="2">ROUND(M84,1)</f>
        <v>96.3</v>
      </c>
      <c r="O84" s="2014" t="s">
        <v>2873</v>
      </c>
      <c r="P84" s="2014"/>
      <c r="Q84" s="2014"/>
      <c r="R84" s="2014"/>
      <c r="S84" s="2014"/>
      <c r="T84" s="2014"/>
      <c r="U84" s="2014"/>
      <c r="V84" s="2014"/>
    </row>
    <row r="85" spans="1:26" ht="12.75">
      <c r="A85" s="381" t="s">
        <v>1826</v>
      </c>
      <c r="B85" s="382" t="s">
        <v>435</v>
      </c>
      <c r="C85" s="385">
        <f ca="1">C81-C84</f>
        <v>75968</v>
      </c>
      <c r="D85" s="378" t="s">
        <v>19</v>
      </c>
      <c r="E85" s="379"/>
      <c r="F85" s="42"/>
      <c r="G85" s="42"/>
      <c r="H85" s="1003"/>
      <c r="I85" s="311"/>
      <c r="J85" s="2014"/>
      <c r="K85" s="3313"/>
      <c r="L85" s="3018" t="s">
        <v>2874</v>
      </c>
      <c r="M85" s="3008">
        <f ca="1">IF(N69&gt;1000,N69*0.1%,IF(AND(N69&gt;500,N69&lt;=1000),N69*0.5%,IF(AND(N69&gt;50,N69&lt;=500),N69*1%,IF(AND(N69&gt;1,N69&lt;=50),N69*1.5%))))</f>
        <v>19.269000000000002</v>
      </c>
      <c r="N85" s="53">
        <f t="shared" ca="1" si="2"/>
        <v>19.3</v>
      </c>
      <c r="O85" s="2014" t="s">
        <v>2873</v>
      </c>
      <c r="P85" s="2014"/>
      <c r="Q85" s="2014"/>
      <c r="R85" s="2014"/>
      <c r="S85" s="2014"/>
      <c r="T85" s="2014"/>
      <c r="U85" s="2014"/>
      <c r="V85" s="2014"/>
    </row>
    <row r="86" spans="1:26" ht="13.5" thickBot="1">
      <c r="A86" s="386" t="s">
        <v>1827</v>
      </c>
      <c r="B86" s="387" t="s">
        <v>436</v>
      </c>
      <c r="C86" s="388">
        <f ca="1">IF(C85&lt;=0,0,ROUND(C85*D86,0))</f>
        <v>4254</v>
      </c>
      <c r="D86" s="389">
        <f>'数据-取费表'!B41</f>
        <v>5.6000000000000001E-2</v>
      </c>
      <c r="E86" s="390"/>
      <c r="F86" s="42"/>
      <c r="G86" s="42"/>
      <c r="H86" s="1003"/>
      <c r="I86" s="311"/>
      <c r="J86" s="2014"/>
      <c r="K86" s="3313"/>
      <c r="L86" s="3018" t="s">
        <v>2875</v>
      </c>
      <c r="M86" s="3008">
        <f ca="1">N69*0.5%</f>
        <v>96.344999999999999</v>
      </c>
      <c r="N86" s="53">
        <f ca="1">IF(M86&gt;0.5,0.5,ROUND(M86,0))</f>
        <v>0.5</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13"/>
      <c r="L87" s="3018" t="s">
        <v>2877</v>
      </c>
      <c r="M87" s="3008">
        <f ca="1">IF(N69&gt;=10000,(8.25+(N69-10000)*0.01%),IF(AND(N69&gt;=8000,N69&lt;10000),(7.85+(N69-8000)*0.02%),IF(AND(N69&gt;=5000,N69&lt;8000),(6.65+(N69-5000)*0.04%),IF(AND(N69&gt;=2000,N69&lt;5000),(4.25+(PN69-2000)*0.08%),IF(AND(N69&gt;=1000,N69&lt;2000),(2.75+(N69-1000)*0.15%),IF(AND(N69&gt;=100,N69&lt;1000),(0.5+(N69-100)*0.25%),IF(AND(N69&gt;0,N69&lt;100),N69*0.5%)))))))</f>
        <v>9.1768999999999998</v>
      </c>
      <c r="N87" s="53">
        <f ca="1">ROUND(M87*0.9,1)</f>
        <v>8.3000000000000007</v>
      </c>
      <c r="O87" s="3011"/>
      <c r="P87" s="311"/>
      <c r="Q87" s="2014"/>
      <c r="R87" s="2014"/>
      <c r="S87" s="2014"/>
      <c r="T87" s="2014"/>
      <c r="U87" s="2014"/>
      <c r="V87" s="2014"/>
      <c r="W87" s="292"/>
      <c r="X87" s="292"/>
      <c r="Y87" s="292"/>
      <c r="Z87" s="292"/>
    </row>
    <row r="88" spans="1:26" s="1310" customFormat="1" ht="15" thickBot="1">
      <c r="A88" s="3367" t="s">
        <v>437</v>
      </c>
      <c r="B88" s="3368"/>
      <c r="C88" s="3368"/>
      <c r="D88" s="3368"/>
      <c r="E88" s="3368"/>
      <c r="F88" s="3368"/>
      <c r="G88" s="3368"/>
      <c r="H88" s="3368"/>
      <c r="I88" s="1311"/>
      <c r="J88" s="2022"/>
      <c r="K88" s="3313"/>
      <c r="L88" s="3018" t="s">
        <v>2878</v>
      </c>
      <c r="M88" s="3008">
        <f ca="1">IF(N69&gt;10000,N69*0.5%,IF(AND(N69&gt;5000,N69&lt;=10000),N69*1%,IF(AND(N69&gt;1000,N69&lt;=5000),N69*2%,IF(AND(N69&gt;200,N69&lt;=1000),N69*3%,N69*5%))))</f>
        <v>96.344999999999999</v>
      </c>
      <c r="N88" s="53">
        <f ca="1">ROUND(M88,1)</f>
        <v>96.3</v>
      </c>
      <c r="O88" s="3011"/>
      <c r="P88" s="11"/>
      <c r="Q88" s="2019"/>
      <c r="R88" s="2019"/>
      <c r="S88" s="2019"/>
      <c r="T88" s="2019"/>
      <c r="U88" s="2019"/>
      <c r="V88" s="2019"/>
      <c r="W88" s="2023"/>
      <c r="X88" s="2023"/>
      <c r="Y88" s="2023"/>
      <c r="Z88" s="2023"/>
    </row>
    <row r="89" spans="1:26" s="1310" customFormat="1" ht="14.25">
      <c r="A89" s="3331" t="s">
        <v>428</v>
      </c>
      <c r="B89" s="3332"/>
      <c r="C89" s="994"/>
      <c r="D89" s="994" t="s">
        <v>429</v>
      </c>
      <c r="E89" s="391" t="s">
        <v>438</v>
      </c>
      <c r="F89" s="392"/>
      <c r="G89" s="392"/>
      <c r="H89" s="393"/>
      <c r="I89" s="1312"/>
      <c r="J89" s="2024"/>
      <c r="K89" s="3313"/>
      <c r="L89" s="3018" t="s">
        <v>27</v>
      </c>
      <c r="M89" s="3009"/>
      <c r="N89" s="53">
        <f ca="1">ROUND(SUM(N83:N88),0)</f>
        <v>317</v>
      </c>
      <c r="O89" s="3019">
        <f ca="1">N89/N69</f>
        <v>1.6451294825886139E-2</v>
      </c>
      <c r="P89" s="2019"/>
      <c r="Q89" s="2019"/>
      <c r="R89" s="2019"/>
      <c r="S89" s="2019"/>
      <c r="T89" s="2019"/>
      <c r="U89" s="2019"/>
      <c r="V89" s="2019"/>
      <c r="W89" s="2023"/>
      <c r="X89" s="2023"/>
      <c r="Y89" s="2023"/>
      <c r="Z89" s="2023"/>
    </row>
    <row r="90" spans="1:26" s="1310" customFormat="1" ht="14.25">
      <c r="A90" s="381" t="s">
        <v>1822</v>
      </c>
      <c r="B90" s="382" t="s">
        <v>439</v>
      </c>
      <c r="C90" s="385">
        <f ca="1">ROUND(D63/(1+'数据-取费表'!C42),0)</f>
        <v>77968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1828</v>
      </c>
      <c r="B91" s="348" t="s">
        <v>440</v>
      </c>
      <c r="C91" s="385">
        <f ca="1">C92+C96</f>
        <v>3029</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1829</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1830</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1831</v>
      </c>
      <c r="B94" s="400" t="s">
        <v>446</v>
      </c>
      <c r="C94" s="378">
        <f>IF(F93="购房发票",ROUND(C93*H93*5%,0),0)</f>
        <v>500</v>
      </c>
      <c r="D94" s="401">
        <v>0.05</v>
      </c>
      <c r="E94" s="3364" t="s">
        <v>447</v>
      </c>
      <c r="F94" s="3365"/>
      <c r="G94" s="3365"/>
      <c r="H94" s="3366"/>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1833</v>
      </c>
      <c r="B96" s="376" t="s">
        <v>450</v>
      </c>
      <c r="C96" s="405">
        <f ca="1">ROUND(D63*D96/(1+'数据-取费表'!C42),0)</f>
        <v>468</v>
      </c>
      <c r="D96" s="406">
        <f>'数据-取费表'!B43</f>
        <v>6.000000000000001E-3</v>
      </c>
      <c r="E96" s="3354" t="s">
        <v>2425</v>
      </c>
      <c r="F96" s="3355"/>
      <c r="G96" s="3355"/>
      <c r="H96" s="3356"/>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1834</v>
      </c>
      <c r="B97" s="382" t="s">
        <v>451</v>
      </c>
      <c r="C97" s="385">
        <f ca="1">C90-C91</f>
        <v>74939</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1835</v>
      </c>
      <c r="B98" s="382" t="s">
        <v>452</v>
      </c>
      <c r="C98" s="407">
        <f ca="1">IF(C97&lt;=0,0,C97/C91)</f>
        <v>24.740508418620006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1836</v>
      </c>
      <c r="B99" s="387" t="s">
        <v>453</v>
      </c>
      <c r="C99" s="408">
        <f ca="1">ROUND(IF(C97&lt;=0,0,IF(C98&gt;=200%,C97*60%-C91*35%,IF(C98&gt;=100%,C97*50%-C91*15%,IF(C98&gt;=50%,C97*40%-C91*5%,IF(C98&lt;50%,C97*30%,0))))),0)</f>
        <v>43903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67" t="s">
        <v>454</v>
      </c>
      <c r="B101" s="3368"/>
      <c r="C101" s="3368"/>
      <c r="D101" s="3368"/>
      <c r="E101" s="3368"/>
      <c r="F101" s="3368"/>
      <c r="G101" s="3368"/>
      <c r="H101" s="3368"/>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31" t="s">
        <v>428</v>
      </c>
      <c r="B102" s="3332"/>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1822</v>
      </c>
      <c r="B103" s="382" t="s">
        <v>439</v>
      </c>
      <c r="C103" s="385">
        <f ca="1">ROUND(D63/(1+'数据-取费表'!C42),0)</f>
        <v>77968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1828</v>
      </c>
      <c r="B104" s="348" t="s">
        <v>440</v>
      </c>
      <c r="C104" s="385">
        <f ca="1">IF(H106="仅含出让金",C105+C108+C109+C110+C111+C112,C105+C109+C110+C111+C112)</f>
        <v>54135.770000000004</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1829</v>
      </c>
      <c r="B105" s="376" t="s">
        <v>455</v>
      </c>
      <c r="C105" s="405">
        <f>C106+C107</f>
        <v>48788.770000000004</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1830</v>
      </c>
      <c r="B106" s="376" t="s">
        <v>456</v>
      </c>
      <c r="C106" s="416">
        <f>Sheet2!H10</f>
        <v>47344.770000000004</v>
      </c>
      <c r="D106" s="406"/>
      <c r="E106" s="417" t="s">
        <v>457</v>
      </c>
      <c r="F106" s="986"/>
      <c r="G106" s="418" t="s">
        <v>458</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1831</v>
      </c>
      <c r="B107" s="376" t="s">
        <v>448</v>
      </c>
      <c r="C107" s="405">
        <f>ROUND(C106*D107,0)</f>
        <v>1444</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1833</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1837</v>
      </c>
      <c r="B109" s="376" t="s">
        <v>461</v>
      </c>
      <c r="C109" s="405">
        <f>IF(H109="——",IF(F1="现房",'剩余法-现房'!C18,'剩余法-待开发'!C18),I109)</f>
        <v>0</v>
      </c>
      <c r="D109" s="406"/>
      <c r="E109" s="3357" t="s">
        <v>462</v>
      </c>
      <c r="F109" s="3355"/>
      <c r="G109" s="3355"/>
      <c r="H109" s="1927" t="s">
        <v>2277</v>
      </c>
      <c r="I109" s="1928"/>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1838</v>
      </c>
      <c r="B110" s="376" t="s">
        <v>463</v>
      </c>
      <c r="C110" s="405">
        <f>ROUND((C105+C108+C109)*D110,0)</f>
        <v>4879</v>
      </c>
      <c r="D110" s="406">
        <v>0.1</v>
      </c>
      <c r="E110" s="3357" t="s">
        <v>464</v>
      </c>
      <c r="F110" s="3355"/>
      <c r="G110" s="3355"/>
      <c r="H110" s="3356"/>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1839</v>
      </c>
      <c r="B111" s="376" t="s">
        <v>450</v>
      </c>
      <c r="C111" s="405">
        <f ca="1">ROUND(D63*D111/(1+'数据-取费表'!C42),0)</f>
        <v>468</v>
      </c>
      <c r="D111" s="406">
        <f>'数据-取费表'!B43</f>
        <v>6.000000000000001E-3</v>
      </c>
      <c r="E111" s="3354" t="s">
        <v>2425</v>
      </c>
      <c r="F111" s="3355"/>
      <c r="G111" s="3355"/>
      <c r="H111" s="3356"/>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1840</v>
      </c>
      <c r="B112" s="376" t="s">
        <v>465</v>
      </c>
      <c r="C112" s="405">
        <f>ROUND(C108*D112,0)</f>
        <v>0</v>
      </c>
      <c r="D112" s="406">
        <v>0.2</v>
      </c>
      <c r="E112" s="3357" t="s">
        <v>2450</v>
      </c>
      <c r="F112" s="3355"/>
      <c r="G112" s="3355"/>
      <c r="H112" s="3356"/>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1834</v>
      </c>
      <c r="B113" s="382" t="s">
        <v>451</v>
      </c>
      <c r="C113" s="385">
        <f ca="1">ROUND(C103-C104,0)</f>
        <v>23832</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1835</v>
      </c>
      <c r="B114" s="382" t="s">
        <v>452</v>
      </c>
      <c r="C114" s="407">
        <f ca="1">IF(C113&lt;=0,0,C113/C104)</f>
        <v>0.44022648980516943</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1836</v>
      </c>
      <c r="B115" s="387" t="s">
        <v>453</v>
      </c>
      <c r="C115" s="408">
        <f ca="1">ROUND(IF(C113&lt;=0,0,IF(C114&gt;=200%,C113*60%-C104*35%,IF(C114&gt;=100%,C113*50%-C104*15%,IF(C114&gt;=50%,C113*40%-C104*5%,IF(C114&lt;50%,C113*30%,0))))),0)</f>
        <v>7150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3" zoomScale="80" zoomScaleNormal="95" zoomScaleSheetLayoutView="80" workbookViewId="0">
      <selection activeCell="M14" sqref="M1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14568</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2389</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3584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239</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3" t="s">
        <v>522</v>
      </c>
      <c r="D6" s="3394"/>
      <c r="E6" s="3393" t="s">
        <v>523</v>
      </c>
      <c r="F6" s="3394"/>
      <c r="G6" s="3393" t="s">
        <v>524</v>
      </c>
      <c r="H6" s="3394"/>
      <c r="I6" s="3393" t="s">
        <v>525</v>
      </c>
      <c r="J6" s="3394"/>
      <c r="K6" s="514" t="s">
        <v>526</v>
      </c>
      <c r="L6" s="2119"/>
      <c r="M6" s="2118"/>
      <c r="N6" s="2118"/>
      <c r="O6" s="2120"/>
      <c r="P6" s="3395" t="s">
        <v>527</v>
      </c>
      <c r="Q6" s="3396"/>
      <c r="R6" s="3401" t="s">
        <v>523</v>
      </c>
      <c r="S6" s="3402"/>
      <c r="T6" s="3401" t="s">
        <v>524</v>
      </c>
      <c r="U6" s="3402"/>
      <c r="V6" s="3414" t="s">
        <v>525</v>
      </c>
      <c r="W6" s="3414"/>
      <c r="X6" s="3189"/>
      <c r="Y6" s="3401" t="s">
        <v>527</v>
      </c>
      <c r="Z6" s="3402"/>
      <c r="AA6" s="3390" t="s">
        <v>523</v>
      </c>
      <c r="AB6" s="3391" t="s">
        <v>524</v>
      </c>
      <c r="AC6" s="3390" t="s">
        <v>525</v>
      </c>
    </row>
    <row r="7" spans="1:30" ht="20.25">
      <c r="A7" s="515"/>
      <c r="B7" s="516"/>
      <c r="C7" s="3405" t="s">
        <v>2925</v>
      </c>
      <c r="D7" s="3406"/>
      <c r="E7" s="3407" t="s">
        <v>3036</v>
      </c>
      <c r="F7" s="3406"/>
      <c r="G7" s="3407" t="s">
        <v>3038</v>
      </c>
      <c r="H7" s="3406"/>
      <c r="I7" s="3407" t="str">
        <f>土地案例!A144</f>
        <v>北环路西段南侧</v>
      </c>
      <c r="J7" s="3406"/>
      <c r="K7" s="514"/>
      <c r="L7" s="2119"/>
      <c r="M7" s="2118"/>
      <c r="N7" s="2118"/>
      <c r="O7" s="2120"/>
      <c r="P7" s="3397"/>
      <c r="Q7" s="3398"/>
      <c r="R7" s="3403"/>
      <c r="S7" s="3404"/>
      <c r="T7" s="3403"/>
      <c r="U7" s="3404"/>
      <c r="V7" s="3414"/>
      <c r="W7" s="3414"/>
      <c r="X7" s="3189"/>
      <c r="Y7" s="3403"/>
      <c r="Z7" s="3404"/>
      <c r="AA7" s="3391"/>
      <c r="AB7" s="3391"/>
      <c r="AC7" s="3391"/>
    </row>
    <row r="8" spans="1:30" ht="21" thickBot="1">
      <c r="A8" s="515"/>
      <c r="B8" s="516"/>
      <c r="C8" s="3408" t="s">
        <v>2929</v>
      </c>
      <c r="D8" s="3409"/>
      <c r="E8" s="3408" t="s">
        <v>2929</v>
      </c>
      <c r="F8" s="3409"/>
      <c r="G8" s="3410" t="s">
        <v>2929</v>
      </c>
      <c r="H8" s="3411"/>
      <c r="I8" s="3410" t="s">
        <v>2929</v>
      </c>
      <c r="J8" s="3411"/>
      <c r="K8" s="514" t="s">
        <v>528</v>
      </c>
      <c r="L8" s="2119"/>
      <c r="M8" s="2118"/>
      <c r="N8" s="2118"/>
      <c r="O8" s="2120"/>
      <c r="P8" s="3399"/>
      <c r="Q8" s="3400"/>
      <c r="R8" s="3403"/>
      <c r="S8" s="3404"/>
      <c r="T8" s="3412"/>
      <c r="U8" s="3413"/>
      <c r="V8" s="3414"/>
      <c r="W8" s="3414"/>
      <c r="X8" s="3189"/>
      <c r="Y8" s="3412"/>
      <c r="Z8" s="3413"/>
      <c r="AA8" s="3392"/>
      <c r="AB8" s="3392"/>
      <c r="AC8" s="3392"/>
    </row>
    <row r="9" spans="1:30" s="1216" customFormat="1" ht="21" thickBot="1">
      <c r="A9" s="2868"/>
      <c r="B9" s="2875" t="s">
        <v>529</v>
      </c>
      <c r="C9" s="2867">
        <f>'数据-取费表'!B2</f>
        <v>43607</v>
      </c>
      <c r="D9" s="520">
        <v>100</v>
      </c>
      <c r="E9" s="3526">
        <v>43615</v>
      </c>
      <c r="F9" s="522">
        <f>SUMIF(72:72,YEAR(E9)&amp;"-"&amp;INT((MONTH(E9)+2)/3),73:73)</f>
        <v>100</v>
      </c>
      <c r="G9" s="3527">
        <v>43615</v>
      </c>
      <c r="H9" s="520">
        <f>SUMIF(72:72,YEAR(G9)&amp;"-"&amp;INT((MONTH(G9)+2)/3),73:73)</f>
        <v>100</v>
      </c>
      <c r="I9" s="523" t="str">
        <f>土地案例!H144</f>
        <v>2016-12-16</v>
      </c>
      <c r="J9" s="520">
        <f>SUMIF(72:72,YEAR(I9)&amp;"-"&amp;INT((MONTH(I9)+2)/3),73:73)</f>
        <v>90</v>
      </c>
      <c r="K9" s="524"/>
      <c r="L9" s="2121"/>
      <c r="M9" s="2118"/>
      <c r="N9" s="2118"/>
      <c r="O9" s="2122"/>
      <c r="P9" s="3415" t="s">
        <v>530</v>
      </c>
      <c r="Q9" s="3416"/>
      <c r="R9" s="1555" t="s">
        <v>8</v>
      </c>
      <c r="S9" s="1556">
        <f t="shared" ref="S9:S17" si="0">F9</f>
        <v>100</v>
      </c>
      <c r="T9" s="1555" t="s">
        <v>8</v>
      </c>
      <c r="U9" s="1556">
        <f t="shared" ref="U9:U17" si="1">H9</f>
        <v>100</v>
      </c>
      <c r="V9" s="1555" t="s">
        <v>8</v>
      </c>
      <c r="W9" s="1556">
        <f t="shared" ref="W9:W17" si="2">J9</f>
        <v>90</v>
      </c>
      <c r="X9" s="1557"/>
      <c r="Y9" s="3415" t="s">
        <v>530</v>
      </c>
      <c r="Z9" s="3417"/>
      <c r="AA9" s="1558">
        <f>D9/F9</f>
        <v>1</v>
      </c>
      <c r="AB9" s="1558">
        <f>D9/H9</f>
        <v>1</v>
      </c>
      <c r="AC9" s="1558">
        <f>D9/J9</f>
        <v>1.1111111111111112</v>
      </c>
    </row>
    <row r="10" spans="1:30" s="1216" customFormat="1" ht="21" thickBot="1">
      <c r="A10" s="2869"/>
      <c r="B10" s="2876" t="s">
        <v>531</v>
      </c>
      <c r="C10" s="856" t="s">
        <v>532</v>
      </c>
      <c r="D10" s="520">
        <v>100</v>
      </c>
      <c r="E10" s="3193" t="s">
        <v>3019</v>
      </c>
      <c r="F10" s="522">
        <f>SUMIF(75:75,E10,76:76)-SUMIF(75:75,C10,76:76)+100</f>
        <v>100</v>
      </c>
      <c r="G10" s="3193" t="s">
        <v>3019</v>
      </c>
      <c r="H10" s="520">
        <f>SUMIF(75:75,G10,76:76)-SUMIF(75:75,C10,76:76)+100</f>
        <v>100</v>
      </c>
      <c r="I10" s="3193" t="s">
        <v>3019</v>
      </c>
      <c r="J10" s="520">
        <f>SUMIF(75:75,I10,76:76)-SUMIF(75:75,C10,76:76)+100</f>
        <v>100</v>
      </c>
      <c r="K10" s="524"/>
      <c r="L10" s="2121"/>
      <c r="M10" s="2118"/>
      <c r="N10" s="2118"/>
      <c r="O10" s="2122"/>
      <c r="P10" s="3415" t="s">
        <v>533</v>
      </c>
      <c r="Q10" s="3417"/>
      <c r="R10" s="1555" t="s">
        <v>8</v>
      </c>
      <c r="S10" s="1556">
        <f t="shared" si="0"/>
        <v>100</v>
      </c>
      <c r="T10" s="1555" t="s">
        <v>8</v>
      </c>
      <c r="U10" s="1556">
        <f t="shared" si="1"/>
        <v>100</v>
      </c>
      <c r="V10" s="1555" t="s">
        <v>8</v>
      </c>
      <c r="W10" s="1556">
        <f t="shared" si="2"/>
        <v>100</v>
      </c>
      <c r="X10" s="1557"/>
      <c r="Y10" s="3415" t="s">
        <v>533</v>
      </c>
      <c r="Z10" s="3417"/>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8" t="s">
        <v>535</v>
      </c>
      <c r="Q11" s="3186" t="str">
        <f t="shared" ref="Q11:Q17" si="6">B11</f>
        <v>用途</v>
      </c>
      <c r="R11" s="1555" t="s">
        <v>8</v>
      </c>
      <c r="S11" s="1556">
        <f t="shared" si="0"/>
        <v>100</v>
      </c>
      <c r="T11" s="1555" t="s">
        <v>8</v>
      </c>
      <c r="U11" s="1556">
        <f t="shared" si="1"/>
        <v>100</v>
      </c>
      <c r="V11" s="1555" t="s">
        <v>8</v>
      </c>
      <c r="W11" s="1556">
        <f t="shared" si="2"/>
        <v>100</v>
      </c>
      <c r="X11" s="1557"/>
      <c r="Y11" s="3363" t="s">
        <v>536</v>
      </c>
      <c r="Z11" s="3185"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18"/>
      <c r="Q12" s="3186" t="str">
        <f t="shared" si="6"/>
        <v>土地使用年限（年）</v>
      </c>
      <c r="R12" s="1555" t="s">
        <v>8</v>
      </c>
      <c r="S12" s="1556">
        <f t="shared" si="0"/>
        <v>106</v>
      </c>
      <c r="T12" s="1555" t="s">
        <v>8</v>
      </c>
      <c r="U12" s="1556">
        <f t="shared" si="1"/>
        <v>106</v>
      </c>
      <c r="V12" s="1555" t="s">
        <v>8</v>
      </c>
      <c r="W12" s="1556">
        <f t="shared" si="2"/>
        <v>106</v>
      </c>
      <c r="X12" s="1557"/>
      <c r="Y12" s="3363"/>
      <c r="Z12" s="3185" t="str">
        <f t="shared" si="7"/>
        <v>土地使用年限（年）</v>
      </c>
      <c r="AA12" s="1558">
        <f t="shared" si="3"/>
        <v>0.94339622641509435</v>
      </c>
      <c r="AB12" s="1558">
        <f t="shared" si="4"/>
        <v>0.94339622641509435</v>
      </c>
      <c r="AC12" s="1558">
        <f t="shared" si="5"/>
        <v>0.94339622641509435</v>
      </c>
    </row>
    <row r="13" spans="1:30" ht="20.25">
      <c r="A13" s="2872"/>
      <c r="B13" s="2876" t="s">
        <v>2754</v>
      </c>
      <c r="C13" s="534">
        <f>'数据-汇总表'!I6</f>
        <v>1.5</v>
      </c>
      <c r="D13" s="255">
        <v>100</v>
      </c>
      <c r="E13" s="533">
        <v>2</v>
      </c>
      <c r="F13" s="255">
        <f>LOOKUP(E13,82:82,83:83)-LOOKUP(C13,82:82,83:83)+100</f>
        <v>98</v>
      </c>
      <c r="G13" s="534">
        <v>2</v>
      </c>
      <c r="H13" s="255">
        <f>LOOKUP(G13,82:82,83:83)-LOOKUP(C13,82:82,83:83)+100</f>
        <v>98</v>
      </c>
      <c r="I13" s="533">
        <v>1.7</v>
      </c>
      <c r="J13" s="255">
        <f>LOOKUP(I13,82:82,83:83)-LOOKUP(C13,82:82,83:83)+100</f>
        <v>100</v>
      </c>
      <c r="K13" s="535">
        <v>2</v>
      </c>
      <c r="L13" s="2126"/>
      <c r="M13" s="2118"/>
      <c r="N13" s="2118"/>
      <c r="O13" s="2127"/>
      <c r="P13" s="3418"/>
      <c r="Q13" s="3186" t="str">
        <f t="shared" si="6"/>
        <v>容积率</v>
      </c>
      <c r="R13" s="1555" t="s">
        <v>8</v>
      </c>
      <c r="S13" s="1556">
        <f t="shared" si="0"/>
        <v>98</v>
      </c>
      <c r="T13" s="1555" t="s">
        <v>8</v>
      </c>
      <c r="U13" s="1556">
        <f t="shared" si="1"/>
        <v>98</v>
      </c>
      <c r="V13" s="1555" t="s">
        <v>8</v>
      </c>
      <c r="W13" s="1556">
        <f t="shared" si="2"/>
        <v>100</v>
      </c>
      <c r="X13" s="1557"/>
      <c r="Y13" s="3363"/>
      <c r="Z13" s="3185" t="str">
        <f t="shared" si="7"/>
        <v>容积率</v>
      </c>
      <c r="AA13" s="1558">
        <f t="shared" si="3"/>
        <v>1.0204081632653061</v>
      </c>
      <c r="AB13" s="1558">
        <f t="shared" si="4"/>
        <v>1.0204081632653061</v>
      </c>
      <c r="AC13" s="1558">
        <f t="shared" si="5"/>
        <v>1</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8"/>
      <c r="Q14" s="3186" t="str">
        <f t="shared" si="6"/>
        <v>配建</v>
      </c>
      <c r="R14" s="1555" t="s">
        <v>8</v>
      </c>
      <c r="S14" s="1556">
        <f t="shared" si="0"/>
        <v>100</v>
      </c>
      <c r="T14" s="1555" t="s">
        <v>8</v>
      </c>
      <c r="U14" s="1556">
        <f t="shared" si="1"/>
        <v>100</v>
      </c>
      <c r="V14" s="1555" t="s">
        <v>8</v>
      </c>
      <c r="W14" s="1556">
        <f t="shared" si="2"/>
        <v>100</v>
      </c>
      <c r="X14" s="1557"/>
      <c r="Y14" s="3363"/>
      <c r="Z14" s="3185" t="str">
        <f t="shared" si="7"/>
        <v>配建</v>
      </c>
      <c r="AA14" s="1558">
        <f>D14/F14</f>
        <v>1</v>
      </c>
      <c r="AB14" s="1558">
        <f>D14/H14</f>
        <v>1</v>
      </c>
      <c r="AC14" s="1558">
        <f>D14/J14</f>
        <v>1</v>
      </c>
    </row>
    <row r="15" spans="1:30" ht="20.25">
      <c r="A15" s="2873"/>
      <c r="B15" s="3201" t="s">
        <v>3327</v>
      </c>
      <c r="C15" s="3202"/>
      <c r="D15" s="540">
        <v>100</v>
      </c>
      <c r="E15" s="3204"/>
      <c r="F15" s="255">
        <f>SUMIF(86:86,E15,87:87)-SUMIF(86:86,C15,87:87)+100</f>
        <v>100</v>
      </c>
      <c r="G15" s="3203"/>
      <c r="H15" s="540">
        <f>SUMIF(86:86,G15,87:87)-SUMIF(86:86,C15,87:87)+100</f>
        <v>100</v>
      </c>
      <c r="I15" s="3203"/>
      <c r="J15" s="540">
        <f>SUMIF(86:86,I15,87:87)-SUMIF(86:86,C15,87:87)+100</f>
        <v>100</v>
      </c>
      <c r="K15" s="531"/>
      <c r="L15" s="2128"/>
      <c r="M15" s="2118"/>
      <c r="N15" s="2118"/>
      <c r="O15" s="2127"/>
      <c r="P15" s="3418"/>
      <c r="Q15" s="3186" t="str">
        <f t="shared" si="6"/>
        <v>溢价率</v>
      </c>
      <c r="R15" s="1555" t="s">
        <v>8</v>
      </c>
      <c r="S15" s="1556">
        <f t="shared" si="0"/>
        <v>100</v>
      </c>
      <c r="T15" s="1555" t="s">
        <v>8</v>
      </c>
      <c r="U15" s="1556">
        <f t="shared" si="1"/>
        <v>100</v>
      </c>
      <c r="V15" s="1555" t="s">
        <v>8</v>
      </c>
      <c r="W15" s="1556">
        <f t="shared" si="2"/>
        <v>100</v>
      </c>
      <c r="X15" s="1557"/>
      <c r="Y15" s="3363"/>
      <c r="Z15" s="3185" t="str">
        <f t="shared" si="7"/>
        <v>溢价率</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8"/>
      <c r="Q16" s="3186">
        <f t="shared" si="6"/>
        <v>111</v>
      </c>
      <c r="R16" s="1555" t="s">
        <v>8</v>
      </c>
      <c r="S16" s="1556">
        <f t="shared" si="0"/>
        <v>100</v>
      </c>
      <c r="T16" s="1555" t="s">
        <v>8</v>
      </c>
      <c r="U16" s="1556">
        <f t="shared" si="1"/>
        <v>100</v>
      </c>
      <c r="V16" s="1555" t="s">
        <v>8</v>
      </c>
      <c r="W16" s="1556">
        <f t="shared" si="2"/>
        <v>100</v>
      </c>
      <c r="X16" s="1557"/>
      <c r="Y16" s="3363"/>
      <c r="Z16" s="3185">
        <f t="shared" si="7"/>
        <v>111</v>
      </c>
      <c r="AA16" s="1558">
        <f>D16/F16</f>
        <v>1</v>
      </c>
      <c r="AB16" s="1558">
        <f>D16/H16</f>
        <v>1</v>
      </c>
      <c r="AC16" s="1558">
        <f>D16/J16</f>
        <v>1</v>
      </c>
    </row>
    <row r="17" spans="1:29" ht="99.75" hidden="1">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9" t="s">
        <v>540</v>
      </c>
      <c r="Q17" s="3187" t="str">
        <f t="shared" si="6"/>
        <v>居住社区成熟度</v>
      </c>
      <c r="R17" s="1560" t="s">
        <v>8</v>
      </c>
      <c r="S17" s="1561">
        <f t="shared" si="0"/>
        <v>100</v>
      </c>
      <c r="T17" s="1560" t="s">
        <v>8</v>
      </c>
      <c r="U17" s="1561">
        <f t="shared" si="1"/>
        <v>100</v>
      </c>
      <c r="V17" s="1560" t="s">
        <v>8</v>
      </c>
      <c r="W17" s="1561">
        <f t="shared" si="2"/>
        <v>100</v>
      </c>
      <c r="X17" s="3189"/>
      <c r="Y17" s="3419" t="s">
        <v>540</v>
      </c>
      <c r="Z17" s="3188" t="str">
        <f t="shared" si="7"/>
        <v>居住社区成熟度</v>
      </c>
      <c r="AA17" s="3191">
        <f t="shared" si="3"/>
        <v>1</v>
      </c>
      <c r="AB17" s="3191">
        <f t="shared" si="4"/>
        <v>1</v>
      </c>
      <c r="AC17" s="3191">
        <f t="shared" si="5"/>
        <v>1</v>
      </c>
    </row>
    <row r="18" spans="1:29" ht="20.25" hidden="1">
      <c r="A18" s="532"/>
      <c r="B18" s="553"/>
      <c r="C18" s="554"/>
      <c r="D18" s="557"/>
      <c r="E18" s="558"/>
      <c r="F18" s="555"/>
      <c r="G18" s="556"/>
      <c r="H18" s="559"/>
      <c r="I18" s="558"/>
      <c r="J18" s="555"/>
      <c r="K18" s="531"/>
      <c r="L18" s="2128"/>
      <c r="M18" s="2118"/>
      <c r="N18" s="2118"/>
      <c r="O18" s="2127"/>
      <c r="P18" s="3420"/>
      <c r="Q18" s="3187"/>
      <c r="R18" s="1560"/>
      <c r="S18" s="1561"/>
      <c r="T18" s="1560"/>
      <c r="U18" s="1561"/>
      <c r="V18" s="1560"/>
      <c r="W18" s="1561"/>
      <c r="X18" s="3189"/>
      <c r="Y18" s="3420"/>
      <c r="Z18" s="3188"/>
      <c r="AA18" s="3191">
        <v>1</v>
      </c>
      <c r="AB18" s="3191">
        <v>1</v>
      </c>
      <c r="AC18" s="319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95</v>
      </c>
      <c r="K19" s="535">
        <v>5</v>
      </c>
      <c r="L19" s="2128"/>
      <c r="M19" s="2118"/>
      <c r="N19" s="2118"/>
      <c r="O19" s="2127"/>
      <c r="P19" s="3420"/>
      <c r="Q19" s="3187" t="str">
        <f>B19</f>
        <v>商业繁华度</v>
      </c>
      <c r="R19" s="1560" t="s">
        <v>8</v>
      </c>
      <c r="S19" s="1561">
        <f>F19</f>
        <v>100</v>
      </c>
      <c r="T19" s="1560" t="s">
        <v>8</v>
      </c>
      <c r="U19" s="1561">
        <f>H19</f>
        <v>100</v>
      </c>
      <c r="V19" s="1560" t="s">
        <v>8</v>
      </c>
      <c r="W19" s="1561">
        <f>J19</f>
        <v>95</v>
      </c>
      <c r="X19" s="3189"/>
      <c r="Y19" s="3420"/>
      <c r="Z19" s="3188" t="str">
        <f>Q19</f>
        <v>商业繁华度</v>
      </c>
      <c r="AA19" s="3191">
        <f t="shared" si="3"/>
        <v>1</v>
      </c>
      <c r="AB19" s="3191">
        <f t="shared" si="4"/>
        <v>1</v>
      </c>
      <c r="AC19" s="3191">
        <f t="shared" si="5"/>
        <v>1.0526315789473684</v>
      </c>
    </row>
    <row r="20" spans="1:29" ht="20.25">
      <c r="A20" s="532"/>
      <c r="B20" s="566"/>
      <c r="C20" s="3210" t="s">
        <v>3330</v>
      </c>
      <c r="D20" s="563"/>
      <c r="E20" s="3211" t="s">
        <v>3330</v>
      </c>
      <c r="F20" s="559"/>
      <c r="G20" s="3212" t="s">
        <v>3331</v>
      </c>
      <c r="H20" s="555"/>
      <c r="I20" s="3211" t="s">
        <v>3332</v>
      </c>
      <c r="J20" s="555"/>
      <c r="K20" s="531"/>
      <c r="L20" s="2128"/>
      <c r="M20" s="2118"/>
      <c r="N20" s="2118"/>
      <c r="O20" s="2127"/>
      <c r="P20" s="3420"/>
      <c r="Q20" s="3187"/>
      <c r="R20" s="1560"/>
      <c r="S20" s="1561"/>
      <c r="T20" s="1560"/>
      <c r="U20" s="1561"/>
      <c r="V20" s="1560"/>
      <c r="W20" s="1561"/>
      <c r="X20" s="3189"/>
      <c r="Y20" s="3420"/>
      <c r="Z20" s="3188"/>
      <c r="AA20" s="3191">
        <v>1</v>
      </c>
      <c r="AB20" s="3191">
        <v>1</v>
      </c>
      <c r="AC20" s="319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0"/>
      <c r="Q21" s="3187" t="str">
        <f>B21</f>
        <v>办公集聚程度</v>
      </c>
      <c r="R21" s="1560" t="s">
        <v>8</v>
      </c>
      <c r="S21" s="1561">
        <f>F21</f>
        <v>100</v>
      </c>
      <c r="T21" s="1560" t="s">
        <v>8</v>
      </c>
      <c r="U21" s="1561">
        <f>H21</f>
        <v>100</v>
      </c>
      <c r="V21" s="1560" t="s">
        <v>8</v>
      </c>
      <c r="W21" s="1561">
        <f>J21</f>
        <v>100</v>
      </c>
      <c r="X21" s="3189"/>
      <c r="Y21" s="3420"/>
      <c r="Z21" s="3188" t="str">
        <f>Q21</f>
        <v>办公集聚程度</v>
      </c>
      <c r="AA21" s="3191">
        <f t="shared" si="3"/>
        <v>1</v>
      </c>
      <c r="AB21" s="3191">
        <f t="shared" si="4"/>
        <v>1</v>
      </c>
      <c r="AC21" s="3191">
        <f t="shared" si="5"/>
        <v>1</v>
      </c>
    </row>
    <row r="22" spans="1:29" ht="20.25" hidden="1">
      <c r="A22" s="532"/>
      <c r="B22" s="566"/>
      <c r="C22" s="554"/>
      <c r="D22" s="557"/>
      <c r="E22" s="558"/>
      <c r="F22" s="555"/>
      <c r="G22" s="556"/>
      <c r="H22" s="555"/>
      <c r="I22" s="558"/>
      <c r="J22" s="555"/>
      <c r="K22" s="531"/>
      <c r="L22" s="2128"/>
      <c r="M22" s="2118"/>
      <c r="N22" s="2118"/>
      <c r="O22" s="2127"/>
      <c r="P22" s="3420"/>
      <c r="Q22" s="3187"/>
      <c r="R22" s="1560"/>
      <c r="S22" s="1561"/>
      <c r="T22" s="1560"/>
      <c r="U22" s="1561"/>
      <c r="V22" s="1560"/>
      <c r="W22" s="1561"/>
      <c r="X22" s="3189"/>
      <c r="Y22" s="3420"/>
      <c r="Z22" s="3188"/>
      <c r="AA22" s="3191">
        <v>1</v>
      </c>
      <c r="AB22" s="3191">
        <v>1</v>
      </c>
      <c r="AC22" s="319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28"/>
      <c r="M23" s="2118"/>
      <c r="N23" s="2118"/>
      <c r="O23" s="2127"/>
      <c r="P23" s="3420"/>
      <c r="Q23" s="3187" t="str">
        <f>B23</f>
        <v>交通便捷度</v>
      </c>
      <c r="R23" s="1560" t="s">
        <v>8</v>
      </c>
      <c r="S23" s="1561">
        <f>F23</f>
        <v>100</v>
      </c>
      <c r="T23" s="1560" t="s">
        <v>8</v>
      </c>
      <c r="U23" s="1561">
        <f>H23</f>
        <v>100</v>
      </c>
      <c r="V23" s="1560" t="s">
        <v>8</v>
      </c>
      <c r="W23" s="1561">
        <f>J23</f>
        <v>100</v>
      </c>
      <c r="X23" s="3189"/>
      <c r="Y23" s="3420"/>
      <c r="Z23" s="3188" t="str">
        <f>Q23</f>
        <v>交通便捷度</v>
      </c>
      <c r="AA23" s="3191">
        <f t="shared" si="3"/>
        <v>1</v>
      </c>
      <c r="AB23" s="3191">
        <f t="shared" si="4"/>
        <v>1</v>
      </c>
      <c r="AC23" s="3191">
        <f t="shared" si="5"/>
        <v>1</v>
      </c>
    </row>
    <row r="24" spans="1:29" ht="20.25">
      <c r="A24" s="532"/>
      <c r="B24" s="578"/>
      <c r="C24" s="3213" t="s">
        <v>3330</v>
      </c>
      <c r="D24" s="557"/>
      <c r="E24" s="3214" t="s">
        <v>3330</v>
      </c>
      <c r="F24" s="555"/>
      <c r="G24" s="3215" t="s">
        <v>3331</v>
      </c>
      <c r="H24" s="555"/>
      <c r="I24" s="3214" t="s">
        <v>3331</v>
      </c>
      <c r="J24" s="555"/>
      <c r="K24" s="531"/>
      <c r="L24" s="2128"/>
      <c r="M24" s="2118"/>
      <c r="N24" s="2118"/>
      <c r="O24" s="2127"/>
      <c r="P24" s="3420"/>
      <c r="Q24" s="3187"/>
      <c r="R24" s="1560"/>
      <c r="S24" s="1561"/>
      <c r="T24" s="1560"/>
      <c r="U24" s="1561"/>
      <c r="V24" s="1560"/>
      <c r="W24" s="1561"/>
      <c r="X24" s="3189"/>
      <c r="Y24" s="3420"/>
      <c r="Z24" s="3188"/>
      <c r="AA24" s="3191">
        <v>1</v>
      </c>
      <c r="AB24" s="3191">
        <v>1</v>
      </c>
      <c r="AC24" s="3191">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20"/>
      <c r="Q25" s="3187" t="str">
        <f t="shared" ref="Q25:Q39" si="8">B25</f>
        <v>区域土地利用方向</v>
      </c>
      <c r="R25" s="1560" t="s">
        <v>8</v>
      </c>
      <c r="S25" s="1561">
        <f>F25</f>
        <v>100</v>
      </c>
      <c r="T25" s="1560" t="s">
        <v>8</v>
      </c>
      <c r="U25" s="1561">
        <f>H25</f>
        <v>100</v>
      </c>
      <c r="V25" s="1560" t="s">
        <v>8</v>
      </c>
      <c r="W25" s="1561">
        <f>J25</f>
        <v>100</v>
      </c>
      <c r="X25" s="3189"/>
      <c r="Y25" s="3420"/>
      <c r="Z25" s="3188" t="str">
        <f>Q25</f>
        <v>区域土地利用方向</v>
      </c>
      <c r="AA25" s="3191">
        <f t="shared" si="3"/>
        <v>1</v>
      </c>
      <c r="AB25" s="3191">
        <f t="shared" si="4"/>
        <v>1</v>
      </c>
      <c r="AC25" s="3191">
        <f t="shared" si="5"/>
        <v>1</v>
      </c>
    </row>
    <row r="26" spans="1:29" ht="20.25">
      <c r="A26" s="515"/>
      <c r="B26" s="1007"/>
      <c r="C26" s="3213" t="s">
        <v>3330</v>
      </c>
      <c r="D26" s="557"/>
      <c r="E26" s="3214" t="s">
        <v>3331</v>
      </c>
      <c r="F26" s="555"/>
      <c r="G26" s="3215" t="s">
        <v>3331</v>
      </c>
      <c r="H26" s="555"/>
      <c r="I26" s="3214" t="s">
        <v>3330</v>
      </c>
      <c r="J26" s="555"/>
      <c r="K26" s="531"/>
      <c r="L26" s="2128"/>
      <c r="M26" s="2118"/>
      <c r="N26" s="2118"/>
      <c r="O26" s="2127"/>
      <c r="P26" s="3420"/>
      <c r="Q26" s="3187"/>
      <c r="R26" s="1560"/>
      <c r="S26" s="1561"/>
      <c r="T26" s="1560"/>
      <c r="U26" s="1561"/>
      <c r="V26" s="1560"/>
      <c r="W26" s="1561"/>
      <c r="X26" s="3189"/>
      <c r="Y26" s="3420"/>
      <c r="Z26" s="3188"/>
      <c r="AA26" s="3191"/>
      <c r="AB26" s="3191"/>
      <c r="AC26" s="319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95</v>
      </c>
      <c r="K27" s="535">
        <v>5</v>
      </c>
      <c r="L27" s="2128"/>
      <c r="M27" s="2118"/>
      <c r="N27" s="2118"/>
      <c r="O27" s="2127"/>
      <c r="P27" s="3420"/>
      <c r="Q27" s="3187" t="str">
        <f t="shared" si="8"/>
        <v>自然及人文环境状况</v>
      </c>
      <c r="R27" s="1560" t="s">
        <v>8</v>
      </c>
      <c r="S27" s="1561">
        <f>F27</f>
        <v>100</v>
      </c>
      <c r="T27" s="1560" t="s">
        <v>8</v>
      </c>
      <c r="U27" s="1561">
        <f>H27</f>
        <v>100</v>
      </c>
      <c r="V27" s="1560" t="s">
        <v>8</v>
      </c>
      <c r="W27" s="1561">
        <f>J27</f>
        <v>95</v>
      </c>
      <c r="X27" s="3189"/>
      <c r="Y27" s="3420"/>
      <c r="Z27" s="3188" t="str">
        <f>Q27</f>
        <v>自然及人文环境状况</v>
      </c>
      <c r="AA27" s="3191">
        <f t="shared" si="3"/>
        <v>1</v>
      </c>
      <c r="AB27" s="3191">
        <f t="shared" si="4"/>
        <v>1</v>
      </c>
      <c r="AC27" s="3191">
        <f t="shared" si="5"/>
        <v>1.0526315789473684</v>
      </c>
    </row>
    <row r="28" spans="1:29" ht="20.25">
      <c r="A28" s="515"/>
      <c r="B28" s="566"/>
      <c r="C28" s="3213" t="s">
        <v>3330</v>
      </c>
      <c r="D28" s="557"/>
      <c r="E28" s="3216" t="s">
        <v>3330</v>
      </c>
      <c r="F28" s="555"/>
      <c r="G28" s="3213" t="s">
        <v>3331</v>
      </c>
      <c r="H28" s="555"/>
      <c r="I28" s="3216" t="s">
        <v>3332</v>
      </c>
      <c r="J28" s="555"/>
      <c r="K28" s="531"/>
      <c r="L28" s="2128"/>
      <c r="M28" s="2118"/>
      <c r="N28" s="2118"/>
      <c r="O28" s="2127"/>
      <c r="P28" s="3420"/>
      <c r="Q28" s="3187"/>
      <c r="R28" s="1560"/>
      <c r="S28" s="1561"/>
      <c r="T28" s="1560"/>
      <c r="U28" s="1561"/>
      <c r="V28" s="1560"/>
      <c r="W28" s="1561"/>
      <c r="X28" s="3189"/>
      <c r="Y28" s="3420"/>
      <c r="Z28" s="3188"/>
      <c r="AA28" s="3191">
        <v>1</v>
      </c>
      <c r="AB28" s="3191">
        <v>1</v>
      </c>
      <c r="AC28" s="3191">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95</v>
      </c>
      <c r="K29" s="535">
        <v>5</v>
      </c>
      <c r="L29" s="2121"/>
      <c r="M29" s="2118"/>
      <c r="N29" s="2118"/>
      <c r="O29" s="2123"/>
      <c r="P29" s="3420"/>
      <c r="Q29" s="3186" t="str">
        <f t="shared" si="8"/>
        <v>公共配套设施</v>
      </c>
      <c r="R29" s="1555" t="s">
        <v>8</v>
      </c>
      <c r="S29" s="1556">
        <f>F29</f>
        <v>100</v>
      </c>
      <c r="T29" s="1555" t="s">
        <v>8</v>
      </c>
      <c r="U29" s="1556">
        <f>H29</f>
        <v>100</v>
      </c>
      <c r="V29" s="1555" t="s">
        <v>8</v>
      </c>
      <c r="W29" s="1556">
        <f>J29</f>
        <v>95</v>
      </c>
      <c r="X29" s="1557"/>
      <c r="Y29" s="3420"/>
      <c r="Z29" s="3185" t="str">
        <f>Q29</f>
        <v>公共配套设施</v>
      </c>
      <c r="AA29" s="3191">
        <f>D29/F29</f>
        <v>1</v>
      </c>
      <c r="AB29" s="3191">
        <f>D29/H29</f>
        <v>1</v>
      </c>
      <c r="AC29" s="3191">
        <f>D29/J29</f>
        <v>1.0526315789473684</v>
      </c>
    </row>
    <row r="30" spans="1:29" s="1216" customFormat="1" ht="20.25">
      <c r="A30" s="577"/>
      <c r="B30" s="566"/>
      <c r="C30" s="3217" t="s">
        <v>3330</v>
      </c>
      <c r="D30" s="557"/>
      <c r="E30" s="3216" t="s">
        <v>3330</v>
      </c>
      <c r="F30" s="555"/>
      <c r="G30" s="3213" t="s">
        <v>3331</v>
      </c>
      <c r="H30" s="555"/>
      <c r="I30" s="3216" t="s">
        <v>3332</v>
      </c>
      <c r="J30" s="555"/>
      <c r="K30" s="531"/>
      <c r="L30" s="2121"/>
      <c r="M30" s="2118"/>
      <c r="N30" s="2118"/>
      <c r="O30" s="2123"/>
      <c r="P30" s="3420"/>
      <c r="Q30" s="3186"/>
      <c r="R30" s="1555"/>
      <c r="S30" s="1556"/>
      <c r="T30" s="1555"/>
      <c r="U30" s="1556"/>
      <c r="V30" s="1555"/>
      <c r="W30" s="1556"/>
      <c r="X30" s="1557"/>
      <c r="Y30" s="3420"/>
      <c r="Z30" s="3185"/>
      <c r="AA30" s="3191">
        <v>1</v>
      </c>
      <c r="AB30" s="3191">
        <v>1</v>
      </c>
      <c r="AC30" s="3191">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20"/>
      <c r="Q31" s="3186" t="str">
        <f t="shared" ref="Q31" si="9">B31</f>
        <v>基础设施水平</v>
      </c>
      <c r="R31" s="1555" t="s">
        <v>8</v>
      </c>
      <c r="S31" s="1556">
        <f>F31</f>
        <v>100</v>
      </c>
      <c r="T31" s="1555" t="s">
        <v>8</v>
      </c>
      <c r="U31" s="1556">
        <f>H31</f>
        <v>100</v>
      </c>
      <c r="V31" s="1555" t="s">
        <v>8</v>
      </c>
      <c r="W31" s="1556">
        <f>J31</f>
        <v>100</v>
      </c>
      <c r="X31" s="1557"/>
      <c r="Y31" s="3420"/>
      <c r="Z31" s="3185" t="str">
        <f>Q31</f>
        <v>基础设施水平</v>
      </c>
      <c r="AA31" s="3191">
        <f>D31/F31</f>
        <v>1</v>
      </c>
      <c r="AB31" s="3191">
        <f>D31/H31</f>
        <v>1</v>
      </c>
      <c r="AC31" s="3191">
        <f>D31/J31</f>
        <v>1</v>
      </c>
    </row>
    <row r="32" spans="1:29" s="1216" customFormat="1" ht="20.25">
      <c r="A32" s="577"/>
      <c r="B32" s="566"/>
      <c r="C32" s="3217" t="s">
        <v>3333</v>
      </c>
      <c r="D32" s="557"/>
      <c r="E32" s="3218" t="s">
        <v>3333</v>
      </c>
      <c r="F32" s="555"/>
      <c r="G32" s="3217" t="s">
        <v>3333</v>
      </c>
      <c r="H32" s="555"/>
      <c r="I32" s="3217" t="s">
        <v>3333</v>
      </c>
      <c r="J32" s="555"/>
      <c r="K32" s="531"/>
      <c r="L32" s="2121"/>
      <c r="M32" s="2118"/>
      <c r="N32" s="2118"/>
      <c r="O32" s="2123"/>
      <c r="P32" s="3420"/>
      <c r="Q32" s="3186"/>
      <c r="R32" s="1555"/>
      <c r="S32" s="1556"/>
      <c r="T32" s="1555"/>
      <c r="U32" s="1556"/>
      <c r="V32" s="1555"/>
      <c r="W32" s="1556"/>
      <c r="X32" s="1557"/>
      <c r="Y32" s="3420"/>
      <c r="Z32" s="3185"/>
      <c r="AA32" s="3191">
        <v>1</v>
      </c>
      <c r="AB32" s="3191">
        <v>1</v>
      </c>
      <c r="AC32" s="3191">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0"/>
      <c r="Q33" s="3187" t="str">
        <f t="shared" si="8"/>
        <v>临街状况</v>
      </c>
      <c r="R33" s="1560" t="s">
        <v>8</v>
      </c>
      <c r="S33" s="1561">
        <f t="shared" ref="S33:S47" si="10">F33</f>
        <v>100</v>
      </c>
      <c r="T33" s="1560" t="s">
        <v>8</v>
      </c>
      <c r="U33" s="1561">
        <f t="shared" ref="U33:U47" si="11">H33</f>
        <v>100</v>
      </c>
      <c r="V33" s="1560" t="s">
        <v>8</v>
      </c>
      <c r="W33" s="1561">
        <f t="shared" ref="W33:W47" si="12">J33</f>
        <v>100</v>
      </c>
      <c r="X33" s="3189"/>
      <c r="Y33" s="3420"/>
      <c r="Z33" s="3188" t="str">
        <f t="shared" ref="Z33:Z47" si="13">Q33</f>
        <v>临街状况</v>
      </c>
      <c r="AA33" s="3191">
        <f t="shared" si="3"/>
        <v>1</v>
      </c>
      <c r="AB33" s="3191">
        <f t="shared" si="4"/>
        <v>1</v>
      </c>
      <c r="AC33" s="3191">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0"/>
      <c r="Q34" s="3187" t="str">
        <f t="shared" si="8"/>
        <v>毗邻道路的类型与等级</v>
      </c>
      <c r="R34" s="1560" t="s">
        <v>8</v>
      </c>
      <c r="S34" s="1561">
        <f t="shared" si="10"/>
        <v>100</v>
      </c>
      <c r="T34" s="1560" t="s">
        <v>8</v>
      </c>
      <c r="U34" s="1561">
        <f t="shared" si="11"/>
        <v>100</v>
      </c>
      <c r="V34" s="1560" t="s">
        <v>8</v>
      </c>
      <c r="W34" s="1561">
        <f t="shared" si="12"/>
        <v>100</v>
      </c>
      <c r="X34" s="3189"/>
      <c r="Y34" s="3420"/>
      <c r="Z34" s="3188" t="str">
        <f t="shared" si="13"/>
        <v>毗邻道路的类型与等级</v>
      </c>
      <c r="AA34" s="3191">
        <f t="shared" si="3"/>
        <v>1</v>
      </c>
      <c r="AB34" s="3191">
        <f t="shared" si="4"/>
        <v>1</v>
      </c>
      <c r="AC34" s="3191">
        <f t="shared" si="5"/>
        <v>1</v>
      </c>
    </row>
    <row r="35" spans="1:29" ht="20.25">
      <c r="A35" s="532"/>
      <c r="B35" s="566"/>
      <c r="C35" s="554"/>
      <c r="D35" s="557"/>
      <c r="E35" s="576"/>
      <c r="F35" s="555"/>
      <c r="G35" s="554"/>
      <c r="H35" s="555"/>
      <c r="I35" s="576"/>
      <c r="J35" s="555"/>
      <c r="K35" s="581"/>
      <c r="L35" s="2128"/>
      <c r="M35" s="2118"/>
      <c r="N35" s="2118"/>
      <c r="O35" s="2127"/>
      <c r="P35" s="3420"/>
      <c r="Q35" s="3187"/>
      <c r="R35" s="1560"/>
      <c r="S35" s="1561"/>
      <c r="T35" s="1560"/>
      <c r="U35" s="1561"/>
      <c r="V35" s="1560"/>
      <c r="W35" s="1561"/>
      <c r="X35" s="3189"/>
      <c r="Y35" s="3420"/>
      <c r="Z35" s="3188"/>
      <c r="AA35" s="3191">
        <v>1</v>
      </c>
      <c r="AB35" s="3191">
        <v>1</v>
      </c>
      <c r="AC35" s="3191">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0"/>
      <c r="Q36" s="3187" t="str">
        <f t="shared" si="8"/>
        <v>土地级别</v>
      </c>
      <c r="R36" s="1560" t="s">
        <v>8</v>
      </c>
      <c r="S36" s="1561">
        <f t="shared" si="10"/>
        <v>100</v>
      </c>
      <c r="T36" s="1560" t="s">
        <v>8</v>
      </c>
      <c r="U36" s="1561">
        <f t="shared" si="11"/>
        <v>100</v>
      </c>
      <c r="V36" s="1560" t="s">
        <v>8</v>
      </c>
      <c r="W36" s="1561">
        <f t="shared" si="12"/>
        <v>100</v>
      </c>
      <c r="X36" s="3189"/>
      <c r="Y36" s="3420"/>
      <c r="Z36" s="3188" t="str">
        <f t="shared" si="13"/>
        <v>土地级别</v>
      </c>
      <c r="AA36" s="3191">
        <f t="shared" si="3"/>
        <v>1</v>
      </c>
      <c r="AB36" s="3191">
        <f t="shared" si="4"/>
        <v>1</v>
      </c>
      <c r="AC36" s="3191">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0"/>
      <c r="Q37" s="3187">
        <f t="shared" si="8"/>
        <v>111</v>
      </c>
      <c r="R37" s="1560" t="s">
        <v>8</v>
      </c>
      <c r="S37" s="1561">
        <f t="shared" si="10"/>
        <v>100</v>
      </c>
      <c r="T37" s="1560" t="s">
        <v>8</v>
      </c>
      <c r="U37" s="1561">
        <f t="shared" si="11"/>
        <v>100</v>
      </c>
      <c r="V37" s="1560" t="s">
        <v>8</v>
      </c>
      <c r="W37" s="1561">
        <f t="shared" si="12"/>
        <v>100</v>
      </c>
      <c r="X37" s="3189"/>
      <c r="Y37" s="3420"/>
      <c r="Z37" s="3188">
        <f t="shared" si="13"/>
        <v>111</v>
      </c>
      <c r="AA37" s="3191">
        <f t="shared" si="3"/>
        <v>1</v>
      </c>
      <c r="AB37" s="3191">
        <f t="shared" si="4"/>
        <v>1</v>
      </c>
      <c r="AC37" s="3191">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5" t="s">
        <v>550</v>
      </c>
      <c r="Q38" s="3187">
        <f t="shared" si="8"/>
        <v>111</v>
      </c>
      <c r="R38" s="1560" t="s">
        <v>8</v>
      </c>
      <c r="S38" s="1561">
        <f t="shared" si="10"/>
        <v>100</v>
      </c>
      <c r="T38" s="1560" t="s">
        <v>8</v>
      </c>
      <c r="U38" s="1561">
        <f t="shared" si="11"/>
        <v>100</v>
      </c>
      <c r="V38" s="1560" t="s">
        <v>8</v>
      </c>
      <c r="W38" s="1561">
        <f t="shared" si="12"/>
        <v>100</v>
      </c>
      <c r="X38" s="3189"/>
      <c r="Y38" s="3426" t="s">
        <v>550</v>
      </c>
      <c r="Z38" s="3188">
        <f t="shared" si="13"/>
        <v>111</v>
      </c>
      <c r="AA38" s="3191">
        <f t="shared" si="3"/>
        <v>1</v>
      </c>
      <c r="AB38" s="3191">
        <f t="shared" si="4"/>
        <v>1</v>
      </c>
      <c r="AC38" s="3191">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6"/>
      <c r="Q39" s="3187">
        <f t="shared" si="8"/>
        <v>111</v>
      </c>
      <c r="R39" s="1564" t="s">
        <v>8</v>
      </c>
      <c r="S39" s="1565">
        <f t="shared" si="10"/>
        <v>100</v>
      </c>
      <c r="T39" s="1564" t="s">
        <v>8</v>
      </c>
      <c r="U39" s="1565">
        <f t="shared" si="11"/>
        <v>100</v>
      </c>
      <c r="V39" s="1564" t="s">
        <v>8</v>
      </c>
      <c r="W39" s="1565">
        <f t="shared" si="12"/>
        <v>100</v>
      </c>
      <c r="X39" s="1566"/>
      <c r="Y39" s="3426"/>
      <c r="Z39" s="1567">
        <f t="shared" si="13"/>
        <v>111</v>
      </c>
      <c r="AA39" s="3191">
        <f t="shared" si="3"/>
        <v>1</v>
      </c>
      <c r="AB39" s="3191">
        <f t="shared" si="4"/>
        <v>1</v>
      </c>
      <c r="AC39" s="3191">
        <f t="shared" si="5"/>
        <v>1</v>
      </c>
    </row>
    <row r="40" spans="1:29" ht="20.25">
      <c r="A40" s="2863" t="s">
        <v>2751</v>
      </c>
      <c r="B40" s="595" t="s">
        <v>552</v>
      </c>
      <c r="C40" s="596">
        <f>'数据-基础表'!A3</f>
        <v>40652</v>
      </c>
      <c r="D40" s="597">
        <v>100</v>
      </c>
      <c r="E40" s="596">
        <v>42008</v>
      </c>
      <c r="F40" s="597">
        <f>LOOKUP(E40,119:119,120:120)-LOOKUP(C40,119:119,120:120)+100</f>
        <v>100</v>
      </c>
      <c r="G40" s="596">
        <v>57825</v>
      </c>
      <c r="H40" s="597">
        <f>LOOKUP(G40,119:119,120:120)-LOOKUP(C40,119:119,120:120)+100</f>
        <v>101</v>
      </c>
      <c r="I40" s="598">
        <v>54632</v>
      </c>
      <c r="J40" s="597">
        <f>LOOKUP(I40,119:119,120:120)-LOOKUP(C40,119:119,120:120)+100</f>
        <v>101</v>
      </c>
      <c r="K40" s="581"/>
      <c r="L40" s="2128"/>
      <c r="M40" s="2118"/>
      <c r="N40" s="2118"/>
      <c r="O40" s="2127"/>
      <c r="P40" s="3426"/>
      <c r="Q40" s="3187" t="str">
        <f>B40</f>
        <v>宗地面积</v>
      </c>
      <c r="R40" s="1560" t="s">
        <v>8</v>
      </c>
      <c r="S40" s="1561">
        <f t="shared" si="10"/>
        <v>100</v>
      </c>
      <c r="T40" s="1560" t="s">
        <v>8</v>
      </c>
      <c r="U40" s="1561">
        <f t="shared" si="11"/>
        <v>101</v>
      </c>
      <c r="V40" s="1560" t="s">
        <v>8</v>
      </c>
      <c r="W40" s="1561">
        <f t="shared" si="12"/>
        <v>101</v>
      </c>
      <c r="X40" s="3189"/>
      <c r="Y40" s="3426"/>
      <c r="Z40" s="3188" t="str">
        <f t="shared" si="13"/>
        <v>宗地面积</v>
      </c>
      <c r="AA40" s="3191">
        <f t="shared" si="3"/>
        <v>1</v>
      </c>
      <c r="AB40" s="3191">
        <f t="shared" si="4"/>
        <v>0.99009900990099009</v>
      </c>
      <c r="AC40" s="3191">
        <f t="shared" si="5"/>
        <v>0.99009900990099009</v>
      </c>
    </row>
    <row r="41" spans="1:29" ht="20.25">
      <c r="A41" s="594"/>
      <c r="B41" s="527" t="s">
        <v>553</v>
      </c>
      <c r="C41" s="3219" t="s">
        <v>3334</v>
      </c>
      <c r="D41" s="540">
        <v>100</v>
      </c>
      <c r="E41" s="3219" t="s">
        <v>3334</v>
      </c>
      <c r="F41" s="540">
        <f>SUMIF(121:121,E41,122:122)-SUMIF(121:121,C41,122:122)+100</f>
        <v>100</v>
      </c>
      <c r="G41" s="3219" t="s">
        <v>3334</v>
      </c>
      <c r="H41" s="540">
        <f>SUMIF(121:121,G41,122:122)-SUMIF(121:121,C41,122:122)+100</f>
        <v>100</v>
      </c>
      <c r="I41" s="3219" t="s">
        <v>3334</v>
      </c>
      <c r="J41" s="540">
        <f>SUMIF(121:121,I41,122:122)-SUMIF(121:121,C41,122:122)+100</f>
        <v>100</v>
      </c>
      <c r="K41" s="584"/>
      <c r="L41" s="2128"/>
      <c r="M41" s="2118"/>
      <c r="N41" s="2118"/>
      <c r="O41" s="2127"/>
      <c r="P41" s="3426"/>
      <c r="Q41" s="3187" t="str">
        <f t="shared" ref="Q41:Q47" si="14">B41</f>
        <v>宗地形状</v>
      </c>
      <c r="R41" s="1560" t="s">
        <v>8</v>
      </c>
      <c r="S41" s="1561">
        <f t="shared" si="10"/>
        <v>100</v>
      </c>
      <c r="T41" s="1560" t="s">
        <v>8</v>
      </c>
      <c r="U41" s="1561">
        <f t="shared" si="11"/>
        <v>100</v>
      </c>
      <c r="V41" s="1560" t="s">
        <v>8</v>
      </c>
      <c r="W41" s="1561">
        <f t="shared" si="12"/>
        <v>100</v>
      </c>
      <c r="X41" s="3189"/>
      <c r="Y41" s="3426"/>
      <c r="Z41" s="3188" t="str">
        <f t="shared" si="13"/>
        <v>宗地形状</v>
      </c>
      <c r="AA41" s="3191">
        <f t="shared" si="3"/>
        <v>1</v>
      </c>
      <c r="AB41" s="3191">
        <f t="shared" si="4"/>
        <v>1</v>
      </c>
      <c r="AC41" s="3191">
        <f t="shared" si="5"/>
        <v>1</v>
      </c>
    </row>
    <row r="42" spans="1:29" ht="20.25">
      <c r="A42" s="594"/>
      <c r="B42" s="527" t="s">
        <v>554</v>
      </c>
      <c r="C42" s="3219" t="s">
        <v>3330</v>
      </c>
      <c r="D42" s="540">
        <v>100</v>
      </c>
      <c r="E42" s="3219" t="s">
        <v>3330</v>
      </c>
      <c r="F42" s="540">
        <f>SUMIF(123:123,E42,124:124)-SUMIF(123:123,C42,124:124)+100</f>
        <v>100</v>
      </c>
      <c r="G42" s="3219" t="s">
        <v>3330</v>
      </c>
      <c r="H42" s="540">
        <f>SUMIF(123:123,G42,124:124)-SUMIF(123:123,C42,124:124)+100</f>
        <v>100</v>
      </c>
      <c r="I42" s="3219" t="s">
        <v>3330</v>
      </c>
      <c r="J42" s="540">
        <f>SUMIF(123:123,I42,124:124)-SUMIF(123:123,C42,124:124)+100</f>
        <v>100</v>
      </c>
      <c r="K42" s="584"/>
      <c r="L42" s="2128"/>
      <c r="M42" s="2118"/>
      <c r="N42" s="2118"/>
      <c r="O42" s="2127"/>
      <c r="P42" s="3426"/>
      <c r="Q42" s="3187" t="str">
        <f t="shared" si="14"/>
        <v>临街宽度及深度</v>
      </c>
      <c r="R42" s="1560" t="s">
        <v>8</v>
      </c>
      <c r="S42" s="1561">
        <f t="shared" si="10"/>
        <v>100</v>
      </c>
      <c r="T42" s="1560" t="s">
        <v>8</v>
      </c>
      <c r="U42" s="1561">
        <f t="shared" si="11"/>
        <v>100</v>
      </c>
      <c r="V42" s="1560" t="s">
        <v>8</v>
      </c>
      <c r="W42" s="1561">
        <f t="shared" si="12"/>
        <v>100</v>
      </c>
      <c r="X42" s="3189"/>
      <c r="Y42" s="3426"/>
      <c r="Z42" s="3188" t="str">
        <f t="shared" si="13"/>
        <v>临街宽度及深度</v>
      </c>
      <c r="AA42" s="3191">
        <f t="shared" si="3"/>
        <v>1</v>
      </c>
      <c r="AB42" s="3191">
        <f t="shared" si="4"/>
        <v>1</v>
      </c>
      <c r="AC42" s="3191">
        <f t="shared" si="5"/>
        <v>1</v>
      </c>
    </row>
    <row r="43" spans="1:29" s="1216" customFormat="1" ht="20.25">
      <c r="A43" s="600"/>
      <c r="B43" s="1881" t="s">
        <v>2421</v>
      </c>
      <c r="C43" s="3220" t="s">
        <v>3335</v>
      </c>
      <c r="D43" s="255">
        <v>100</v>
      </c>
      <c r="E43" s="3220" t="s">
        <v>3335</v>
      </c>
      <c r="F43" s="540">
        <f>SUMIF(125:125,E43,126:126)-SUMIF(125:125,C43,126:126)+100</f>
        <v>100</v>
      </c>
      <c r="G43" s="3220" t="s">
        <v>3335</v>
      </c>
      <c r="H43" s="540">
        <f>SUMIF(125:125,G43,126:126)-SUMIF(125:125,C43,126:126)+100</f>
        <v>100</v>
      </c>
      <c r="I43" s="3220" t="s">
        <v>3335</v>
      </c>
      <c r="J43" s="540">
        <f>SUMIF(125:125,I43,126:126)-SUMIF(125:125,C43,126:126)+100</f>
        <v>100</v>
      </c>
      <c r="K43" s="584"/>
      <c r="L43" s="2121"/>
      <c r="M43" s="2118"/>
      <c r="N43" s="2118"/>
      <c r="O43" s="2123"/>
      <c r="P43" s="3426"/>
      <c r="Q43" s="3187" t="str">
        <f t="shared" si="14"/>
        <v>宗地开发程度</v>
      </c>
      <c r="R43" s="1555" t="s">
        <v>8</v>
      </c>
      <c r="S43" s="1556">
        <f t="shared" si="10"/>
        <v>100</v>
      </c>
      <c r="T43" s="1555" t="s">
        <v>8</v>
      </c>
      <c r="U43" s="1556">
        <f t="shared" si="11"/>
        <v>100</v>
      </c>
      <c r="V43" s="1555" t="s">
        <v>8</v>
      </c>
      <c r="W43" s="1556">
        <f t="shared" si="12"/>
        <v>100</v>
      </c>
      <c r="X43" s="1557"/>
      <c r="Y43" s="3426"/>
      <c r="Z43" s="3185" t="str">
        <f t="shared" si="13"/>
        <v>宗地开发程度</v>
      </c>
      <c r="AA43" s="1558">
        <f t="shared" si="3"/>
        <v>1</v>
      </c>
      <c r="AB43" s="1558">
        <f t="shared" si="4"/>
        <v>1</v>
      </c>
      <c r="AC43" s="1558">
        <f t="shared" si="5"/>
        <v>1</v>
      </c>
    </row>
    <row r="44" spans="1:29" ht="20.25">
      <c r="A44" s="594"/>
      <c r="B44" s="527" t="s">
        <v>555</v>
      </c>
      <c r="C44" s="3219" t="s">
        <v>3330</v>
      </c>
      <c r="D44" s="540">
        <v>100</v>
      </c>
      <c r="E44" s="3219" t="s">
        <v>3330</v>
      </c>
      <c r="F44" s="540">
        <f>SUMIF(127:127,E44,128:128)-SUMIF(127:127,C44,128:128)+100</f>
        <v>100</v>
      </c>
      <c r="G44" s="3219" t="s">
        <v>3330</v>
      </c>
      <c r="H44" s="540">
        <f>SUMIF(127:127,G44,128:128)-SUMIF(127:127,C44,128:128)+100</f>
        <v>100</v>
      </c>
      <c r="I44" s="3219" t="s">
        <v>3330</v>
      </c>
      <c r="J44" s="540">
        <f>SUMIF(127:127,I44,128:128)-SUMIF(127:127,C44,128:128)+100</f>
        <v>100</v>
      </c>
      <c r="K44" s="584"/>
      <c r="L44" s="2128"/>
      <c r="M44" s="2118"/>
      <c r="N44" s="2118"/>
      <c r="O44" s="2127"/>
      <c r="P44" s="3426" t="s">
        <v>550</v>
      </c>
      <c r="Q44" s="3187" t="str">
        <f t="shared" si="14"/>
        <v>工程地质条件</v>
      </c>
      <c r="R44" s="1560" t="s">
        <v>8</v>
      </c>
      <c r="S44" s="1561">
        <f t="shared" si="10"/>
        <v>100</v>
      </c>
      <c r="T44" s="1560" t="s">
        <v>8</v>
      </c>
      <c r="U44" s="1561">
        <f t="shared" si="11"/>
        <v>100</v>
      </c>
      <c r="V44" s="1560" t="s">
        <v>8</v>
      </c>
      <c r="W44" s="1561">
        <f t="shared" si="12"/>
        <v>100</v>
      </c>
      <c r="X44" s="3189"/>
      <c r="Y44" s="3426" t="s">
        <v>550</v>
      </c>
      <c r="Z44" s="3188" t="str">
        <f t="shared" si="13"/>
        <v>工程地质条件</v>
      </c>
      <c r="AA44" s="3191">
        <f t="shared" si="3"/>
        <v>1</v>
      </c>
      <c r="AB44" s="3191">
        <f t="shared" si="4"/>
        <v>1</v>
      </c>
      <c r="AC44" s="3191">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6"/>
      <c r="Q45" s="3187">
        <f t="shared" si="14"/>
        <v>111</v>
      </c>
      <c r="R45" s="1560" t="s">
        <v>8</v>
      </c>
      <c r="S45" s="1561">
        <f t="shared" si="10"/>
        <v>100</v>
      </c>
      <c r="T45" s="1560" t="s">
        <v>8</v>
      </c>
      <c r="U45" s="1561">
        <f t="shared" si="11"/>
        <v>100</v>
      </c>
      <c r="V45" s="1560" t="s">
        <v>8</v>
      </c>
      <c r="W45" s="1561">
        <f t="shared" si="12"/>
        <v>100</v>
      </c>
      <c r="X45" s="3189"/>
      <c r="Y45" s="3426"/>
      <c r="Z45" s="3188">
        <f t="shared" si="13"/>
        <v>111</v>
      </c>
      <c r="AA45" s="3191">
        <f t="shared" si="3"/>
        <v>1</v>
      </c>
      <c r="AB45" s="3191">
        <f t="shared" si="4"/>
        <v>1</v>
      </c>
      <c r="AC45" s="3191">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6"/>
      <c r="Q46" s="3187">
        <f t="shared" si="14"/>
        <v>111</v>
      </c>
      <c r="R46" s="1560" t="s">
        <v>8</v>
      </c>
      <c r="S46" s="1561">
        <f t="shared" si="10"/>
        <v>100</v>
      </c>
      <c r="T46" s="1560" t="s">
        <v>8</v>
      </c>
      <c r="U46" s="1561">
        <f t="shared" si="11"/>
        <v>100</v>
      </c>
      <c r="V46" s="1560" t="s">
        <v>8</v>
      </c>
      <c r="W46" s="1561">
        <f t="shared" si="12"/>
        <v>100</v>
      </c>
      <c r="X46" s="3189"/>
      <c r="Y46" s="3426"/>
      <c r="Z46" s="3188">
        <f t="shared" si="13"/>
        <v>111</v>
      </c>
      <c r="AA46" s="3191">
        <f t="shared" si="3"/>
        <v>1</v>
      </c>
      <c r="AB46" s="3191">
        <f t="shared" si="4"/>
        <v>1</v>
      </c>
      <c r="AC46" s="3191">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6"/>
      <c r="Q47" s="3187">
        <f t="shared" si="14"/>
        <v>111</v>
      </c>
      <c r="R47" s="1564" t="s">
        <v>8</v>
      </c>
      <c r="S47" s="1565">
        <f t="shared" si="10"/>
        <v>100</v>
      </c>
      <c r="T47" s="1564" t="s">
        <v>8</v>
      </c>
      <c r="U47" s="1565">
        <f t="shared" si="11"/>
        <v>100</v>
      </c>
      <c r="V47" s="1564" t="s">
        <v>8</v>
      </c>
      <c r="W47" s="1565">
        <f t="shared" si="12"/>
        <v>100</v>
      </c>
      <c r="X47" s="1566"/>
      <c r="Y47" s="3426"/>
      <c r="Z47" s="1567">
        <f t="shared" si="13"/>
        <v>111</v>
      </c>
      <c r="AA47" s="3191">
        <f t="shared" si="3"/>
        <v>1</v>
      </c>
      <c r="AB47" s="3191">
        <f t="shared" si="4"/>
        <v>1</v>
      </c>
      <c r="AC47" s="3191">
        <f t="shared" si="5"/>
        <v>1</v>
      </c>
    </row>
    <row r="48" spans="1:29" ht="20.25">
      <c r="A48" s="607" t="s">
        <v>556</v>
      </c>
      <c r="B48" s="608" t="s">
        <v>3020</v>
      </c>
      <c r="C48" s="609" t="s">
        <v>1</v>
      </c>
      <c r="D48" s="610"/>
      <c r="E48" s="2594">
        <f>Sheet1!O237</f>
        <v>2625</v>
      </c>
      <c r="F48" s="612"/>
      <c r="G48" s="613">
        <v>2625</v>
      </c>
      <c r="H48" s="614"/>
      <c r="I48" s="611">
        <v>1765</v>
      </c>
      <c r="J48" s="614"/>
      <c r="K48" s="1336"/>
      <c r="L48" s="2130"/>
      <c r="M48" s="2118"/>
      <c r="N48" s="2118"/>
      <c r="O48" s="2131"/>
      <c r="P48" s="3418" t="str">
        <f>A48</f>
        <v>成交单价</v>
      </c>
      <c r="Q48" s="3418"/>
      <c r="R48" s="3414">
        <f>E48</f>
        <v>2625</v>
      </c>
      <c r="S48" s="3414"/>
      <c r="T48" s="3414">
        <f>G48</f>
        <v>2625</v>
      </c>
      <c r="U48" s="3414"/>
      <c r="V48" s="3414">
        <f>I48</f>
        <v>1765</v>
      </c>
      <c r="W48" s="3414"/>
      <c r="X48" s="1546"/>
      <c r="Y48" s="1568"/>
      <c r="Z48" s="1546"/>
      <c r="AA48" s="1546"/>
      <c r="AB48" s="1546"/>
      <c r="AC48" s="1546"/>
    </row>
    <row r="49" spans="1:29" ht="21" thickBot="1">
      <c r="A49" s="615" t="s">
        <v>2689</v>
      </c>
      <c r="B49" s="616"/>
      <c r="C49" s="617">
        <f>R50</f>
        <v>2389</v>
      </c>
      <c r="D49" s="618"/>
      <c r="E49" s="617">
        <f>R49</f>
        <v>2527</v>
      </c>
      <c r="F49" s="619"/>
      <c r="G49" s="620">
        <f>T49</f>
        <v>2502</v>
      </c>
      <c r="H49" s="618"/>
      <c r="I49" s="617">
        <f>V49</f>
        <v>2137</v>
      </c>
      <c r="J49" s="618"/>
      <c r="K49" s="1337"/>
      <c r="L49" s="2130"/>
      <c r="M49" s="2118"/>
      <c r="N49" s="2118"/>
      <c r="O49" s="2131"/>
      <c r="P49" s="3418" t="str">
        <f>A49</f>
        <v>比较价格（元/平方米）</v>
      </c>
      <c r="Q49" s="3418"/>
      <c r="R49" s="3421">
        <f>ROUND(PRODUCT(R48,AA9:AA47),0)</f>
        <v>2527</v>
      </c>
      <c r="S49" s="3421"/>
      <c r="T49" s="3421">
        <f>ROUND(PRODUCT(T48,AB9:AB47),0)</f>
        <v>2502</v>
      </c>
      <c r="U49" s="3421"/>
      <c r="V49" s="3421">
        <f>ROUND(PRODUCT(V48,AC9:AC47),0)</f>
        <v>2137</v>
      </c>
      <c r="W49" s="3421"/>
      <c r="X49" s="1546"/>
      <c r="Y49" s="1546"/>
      <c r="Z49" s="1546"/>
      <c r="AA49" s="1546"/>
      <c r="AB49" s="1546"/>
      <c r="AC49" s="1546"/>
    </row>
    <row r="50" spans="1:29" ht="21" thickBot="1">
      <c r="A50" s="621" t="s">
        <v>2931</v>
      </c>
      <c r="B50" s="622"/>
      <c r="C50" s="623">
        <f>R50</f>
        <v>2389</v>
      </c>
      <c r="D50" s="623"/>
      <c r="E50" s="623"/>
      <c r="F50" s="623"/>
      <c r="G50" s="623"/>
      <c r="H50" s="623"/>
      <c r="I50" s="623"/>
      <c r="J50" s="623"/>
      <c r="K50" s="1338"/>
      <c r="L50" s="2130"/>
      <c r="M50" s="2118"/>
      <c r="N50" s="2118"/>
      <c r="O50" s="2131"/>
      <c r="P50" s="3422" t="str">
        <f>A50</f>
        <v>估价对象XX用房的比较价格（楼面单价，元/平方米）</v>
      </c>
      <c r="Q50" s="3423"/>
      <c r="R50" s="3424">
        <f>ROUND(AVERAGE(R49:V49),0)</f>
        <v>2389</v>
      </c>
      <c r="S50" s="3424"/>
      <c r="T50" s="3424"/>
      <c r="U50" s="3424"/>
      <c r="V50" s="3424"/>
      <c r="W50" s="342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3.8781163434903121E-2</v>
      </c>
      <c r="F53" s="627" t="str">
        <f>IF(OR(E53&gt;=0.3,E53&lt;=-0.3),"超过30%","")</f>
        <v/>
      </c>
      <c r="G53" s="626">
        <f>IF(G48&lt;G49,G49/G48-1,G48/G49-1)</f>
        <v>4.9160671462829653E-2</v>
      </c>
      <c r="H53" s="627" t="str">
        <f>IF(OR(G53&gt;=0.3,G53&lt;=-0.3),"超过30%","")</f>
        <v/>
      </c>
      <c r="I53" s="626">
        <f>IF(I48&lt;I49,I49/I48-1,I48/I49-1)</f>
        <v>0.21076487252124654</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9.9920063948841786E-3</v>
      </c>
      <c r="F54" s="627" t="str">
        <f>IF(OR(E54&gt;=0.2,E54&lt;=-0.2),"超过20%","")</f>
        <v/>
      </c>
      <c r="G54" s="626">
        <f>IF(G49&lt;I49,I49/G49-1,G49/I49-1)</f>
        <v>0.17080018717828738</v>
      </c>
      <c r="H54" s="627" t="str">
        <f>IF(OR(G54&gt;=0.2,G54&lt;=-0.2),"超过20%","")</f>
        <v/>
      </c>
      <c r="I54" s="626">
        <f>IF(I49&lt;E49,E49/I49-1,I49/E49-1)</f>
        <v>0.18249883013570423</v>
      </c>
      <c r="J54" s="627" t="str">
        <f>IF(OR(I54&gt;=0.2,I54&lt;=-0.2),"超过20%","")</f>
        <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v>
      </c>
      <c r="F55" s="627" t="str">
        <f>IF(OR(E55&gt;=0.3,E55&lt;=-0.3),"超过30%","")</f>
        <v/>
      </c>
      <c r="G55" s="626">
        <f>IF(G48&lt;I48,I48/G48-1,G48/I48-1)</f>
        <v>0.48725212464589229</v>
      </c>
      <c r="H55" s="627" t="str">
        <f>IF(OR(G55&gt;=0.3,G55&lt;=-0.3),"超过30%","")</f>
        <v>超过30%</v>
      </c>
      <c r="I55" s="626">
        <f>IF(I48&lt;E48,E48/I48-1,I48/E48-1)</f>
        <v>0.48725212464589229</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27" t="s">
        <v>2279</v>
      </c>
      <c r="H57" s="3428"/>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2389</v>
      </c>
      <c r="C58" s="635">
        <v>1</v>
      </c>
      <c r="D58" s="2214">
        <v>1</v>
      </c>
      <c r="E58" s="635">
        <f>'数据-汇总表'!E8+'数据-汇总表'!E9</f>
        <v>60978</v>
      </c>
      <c r="F58" s="636">
        <f t="shared" ref="F58:F67" si="15">ROUND(B58*E58/10000,0)</f>
        <v>14568</v>
      </c>
      <c r="G58" s="3429"/>
      <c r="H58" s="343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31"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3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3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3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3190"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3190"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14568</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7"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t="str">
        <f>B15</f>
        <v>溢价率</v>
      </c>
      <c r="C86" s="3205" t="s">
        <v>3328</v>
      </c>
      <c r="D86" s="3205"/>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v>100</v>
      </c>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2545</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29"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F51" sqref="F51"/>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5519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1683</v>
      </c>
      <c r="B3" s="510">
        <f>ROUND(B2*10000/'数据-汇总表'!E3,0)</f>
        <v>905</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1358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91</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93" t="s">
        <v>522</v>
      </c>
      <c r="D6" s="3394"/>
      <c r="E6" s="3393" t="s">
        <v>523</v>
      </c>
      <c r="F6" s="3394"/>
      <c r="G6" s="3393" t="s">
        <v>524</v>
      </c>
      <c r="H6" s="3394"/>
      <c r="I6" s="3393" t="s">
        <v>525</v>
      </c>
      <c r="J6" s="3394"/>
      <c r="K6" s="514" t="s">
        <v>526</v>
      </c>
      <c r="L6" s="2119"/>
      <c r="M6" s="2118"/>
      <c r="N6" s="2118"/>
      <c r="O6" s="2120"/>
      <c r="P6" s="3395" t="s">
        <v>527</v>
      </c>
      <c r="Q6" s="3396"/>
      <c r="R6" s="3401" t="s">
        <v>523</v>
      </c>
      <c r="S6" s="3402"/>
      <c r="T6" s="3401" t="s">
        <v>524</v>
      </c>
      <c r="U6" s="3402"/>
      <c r="V6" s="3414" t="s">
        <v>525</v>
      </c>
      <c r="W6" s="3414"/>
      <c r="X6" s="1554"/>
      <c r="Y6" s="3401" t="s">
        <v>527</v>
      </c>
      <c r="Z6" s="3402"/>
      <c r="AA6" s="3390" t="s">
        <v>523</v>
      </c>
      <c r="AB6" s="3391" t="s">
        <v>524</v>
      </c>
      <c r="AC6" s="3390" t="s">
        <v>525</v>
      </c>
    </row>
    <row r="7" spans="1:30" ht="20.25">
      <c r="A7" s="515"/>
      <c r="B7" s="516"/>
      <c r="C7" s="3405" t="s">
        <v>2925</v>
      </c>
      <c r="D7" s="3406"/>
      <c r="E7" s="3407" t="s">
        <v>3014</v>
      </c>
      <c r="F7" s="3406"/>
      <c r="G7" s="3407" t="s">
        <v>3016</v>
      </c>
      <c r="H7" s="3406"/>
      <c r="I7" s="3407" t="s">
        <v>3018</v>
      </c>
      <c r="J7" s="3406"/>
      <c r="K7" s="514"/>
      <c r="L7" s="2119"/>
      <c r="M7" s="2118"/>
      <c r="N7" s="2118"/>
      <c r="O7" s="2120"/>
      <c r="P7" s="3397"/>
      <c r="Q7" s="3398"/>
      <c r="R7" s="3403"/>
      <c r="S7" s="3404"/>
      <c r="T7" s="3403"/>
      <c r="U7" s="3404"/>
      <c r="V7" s="3414"/>
      <c r="W7" s="3414"/>
      <c r="X7" s="1554"/>
      <c r="Y7" s="3403"/>
      <c r="Z7" s="3404"/>
      <c r="AA7" s="3391"/>
      <c r="AB7" s="3391"/>
      <c r="AC7" s="3391"/>
    </row>
    <row r="8" spans="1:30" ht="21" thickBot="1">
      <c r="A8" s="515"/>
      <c r="B8" s="516"/>
      <c r="C8" s="3408" t="s">
        <v>2929</v>
      </c>
      <c r="D8" s="3409"/>
      <c r="E8" s="3408" t="s">
        <v>2929</v>
      </c>
      <c r="F8" s="3409"/>
      <c r="G8" s="3410" t="s">
        <v>2929</v>
      </c>
      <c r="H8" s="3411"/>
      <c r="I8" s="3410" t="s">
        <v>2929</v>
      </c>
      <c r="J8" s="3411"/>
      <c r="K8" s="514" t="s">
        <v>528</v>
      </c>
      <c r="L8" s="2119"/>
      <c r="M8" s="2118"/>
      <c r="N8" s="2118"/>
      <c r="O8" s="2120"/>
      <c r="P8" s="3399"/>
      <c r="Q8" s="3400"/>
      <c r="R8" s="3403"/>
      <c r="S8" s="3404"/>
      <c r="T8" s="3412"/>
      <c r="U8" s="3413"/>
      <c r="V8" s="3414"/>
      <c r="W8" s="3414"/>
      <c r="X8" s="1554"/>
      <c r="Y8" s="3412"/>
      <c r="Z8" s="3413"/>
      <c r="AA8" s="3392"/>
      <c r="AB8" s="3392"/>
      <c r="AC8" s="3392"/>
    </row>
    <row r="9" spans="1:30" s="1216" customFormat="1" ht="21" thickBot="1">
      <c r="A9" s="2868"/>
      <c r="B9" s="2875" t="s">
        <v>529</v>
      </c>
      <c r="C9" s="2867">
        <f>'数据-取费表'!B2</f>
        <v>43607</v>
      </c>
      <c r="D9" s="520">
        <v>100</v>
      </c>
      <c r="E9" s="521">
        <v>42911</v>
      </c>
      <c r="F9" s="522">
        <f>SUMIF(72:72,YEAR(E9)&amp;"-"&amp;INT((MONTH(E9)+2)/3),73:73)</f>
        <v>92</v>
      </c>
      <c r="G9" s="523">
        <v>43035</v>
      </c>
      <c r="H9" s="520">
        <f>SUMIF(72:72,YEAR(G9)&amp;"-"&amp;INT((MONTH(G9)+2)/3),73:73)</f>
        <v>94</v>
      </c>
      <c r="I9" s="523">
        <v>43132</v>
      </c>
      <c r="J9" s="520">
        <f>SUMIF(72:72,YEAR(I9)&amp;"-"&amp;INT((MONTH(I9)+2)/3),73:73)</f>
        <v>95</v>
      </c>
      <c r="K9" s="524"/>
      <c r="L9" s="2121"/>
      <c r="M9" s="2118"/>
      <c r="N9" s="2118"/>
      <c r="O9" s="2122"/>
      <c r="P9" s="3415" t="s">
        <v>530</v>
      </c>
      <c r="Q9" s="3416"/>
      <c r="R9" s="1555" t="s">
        <v>8</v>
      </c>
      <c r="S9" s="1556">
        <f t="shared" ref="S9:S17" si="0">F9</f>
        <v>92</v>
      </c>
      <c r="T9" s="1555" t="s">
        <v>8</v>
      </c>
      <c r="U9" s="1556">
        <f t="shared" ref="U9:U17" si="1">H9</f>
        <v>94</v>
      </c>
      <c r="V9" s="1555" t="s">
        <v>8</v>
      </c>
      <c r="W9" s="1556">
        <f t="shared" ref="W9:W17" si="2">J9</f>
        <v>95</v>
      </c>
      <c r="X9" s="1557"/>
      <c r="Y9" s="3415" t="s">
        <v>530</v>
      </c>
      <c r="Z9" s="3417"/>
      <c r="AA9" s="1558">
        <f>D9/F9</f>
        <v>1.0869565217391304</v>
      </c>
      <c r="AB9" s="1558">
        <f>D9/H9</f>
        <v>1.0638297872340425</v>
      </c>
      <c r="AC9" s="1558">
        <f>D9/J9</f>
        <v>1.0526315789473684</v>
      </c>
    </row>
    <row r="10" spans="1:30" s="1216" customFormat="1" ht="21" thickBot="1">
      <c r="A10" s="2869"/>
      <c r="B10" s="2876" t="s">
        <v>531</v>
      </c>
      <c r="C10" s="856" t="s">
        <v>532</v>
      </c>
      <c r="D10" s="520">
        <v>100</v>
      </c>
      <c r="E10" s="3193" t="s">
        <v>3019</v>
      </c>
      <c r="F10" s="522">
        <f>SUMIF(75:75,E10,76:76)-SUMIF(75:75,C10,76:76)+100</f>
        <v>100</v>
      </c>
      <c r="G10" s="3193" t="s">
        <v>3019</v>
      </c>
      <c r="H10" s="520">
        <f>SUMIF(75:75,G10,76:76)-SUMIF(75:75,C10,76:76)+100</f>
        <v>100</v>
      </c>
      <c r="I10" s="3193" t="s">
        <v>3019</v>
      </c>
      <c r="J10" s="520">
        <f>SUMIF(75:75,I10,76:76)-SUMIF(75:75,C10,76:76)+100</f>
        <v>100</v>
      </c>
      <c r="K10" s="524"/>
      <c r="L10" s="2121"/>
      <c r="M10" s="2118"/>
      <c r="N10" s="2118"/>
      <c r="O10" s="2122"/>
      <c r="P10" s="3415" t="s">
        <v>533</v>
      </c>
      <c r="Q10" s="3417"/>
      <c r="R10" s="1555" t="s">
        <v>8</v>
      </c>
      <c r="S10" s="1556">
        <f t="shared" si="0"/>
        <v>100</v>
      </c>
      <c r="T10" s="1555" t="s">
        <v>8</v>
      </c>
      <c r="U10" s="1556">
        <f t="shared" si="1"/>
        <v>100</v>
      </c>
      <c r="V10" s="1555" t="s">
        <v>8</v>
      </c>
      <c r="W10" s="1556">
        <f t="shared" si="2"/>
        <v>100</v>
      </c>
      <c r="X10" s="1557"/>
      <c r="Y10" s="3415" t="s">
        <v>533</v>
      </c>
      <c r="Z10" s="3417"/>
      <c r="AA10" s="1558">
        <f t="shared" ref="AA10:AA47" si="3">D10/F10</f>
        <v>1</v>
      </c>
      <c r="AB10" s="1558">
        <f t="shared" ref="AB10:AB47" si="4">D10/H10</f>
        <v>1</v>
      </c>
      <c r="AC10" s="1558">
        <f t="shared" ref="AC10:AC47" si="5">D10/J10</f>
        <v>1</v>
      </c>
    </row>
    <row r="11" spans="1:30" s="1216" customFormat="1" ht="20.25">
      <c r="A11" s="2870"/>
      <c r="B11" s="2877" t="s">
        <v>2752</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8" t="s">
        <v>535</v>
      </c>
      <c r="Q11" s="1147" t="str">
        <f t="shared" ref="Q11:Q17" si="6">B11</f>
        <v>用途</v>
      </c>
      <c r="R11" s="1555" t="s">
        <v>8</v>
      </c>
      <c r="S11" s="1556">
        <f t="shared" si="0"/>
        <v>100</v>
      </c>
      <c r="T11" s="1555" t="s">
        <v>8</v>
      </c>
      <c r="U11" s="1556">
        <f t="shared" si="1"/>
        <v>100</v>
      </c>
      <c r="V11" s="1555" t="s">
        <v>8</v>
      </c>
      <c r="W11" s="1556">
        <f t="shared" si="2"/>
        <v>100</v>
      </c>
      <c r="X11" s="1557"/>
      <c r="Y11" s="3363" t="s">
        <v>536</v>
      </c>
      <c r="Z11" s="1146" t="str">
        <f t="shared" ref="Z11:Z17" si="7">Q11</f>
        <v>用途</v>
      </c>
      <c r="AA11" s="1558">
        <f t="shared" si="3"/>
        <v>1</v>
      </c>
      <c r="AB11" s="1558">
        <f t="shared" si="4"/>
        <v>1</v>
      </c>
      <c r="AC11" s="1558">
        <f t="shared" si="5"/>
        <v>1</v>
      </c>
    </row>
    <row r="12" spans="1:30" s="1334" customFormat="1" ht="27">
      <c r="A12" s="2871"/>
      <c r="B12" s="2876" t="s">
        <v>2753</v>
      </c>
      <c r="C12" s="910"/>
      <c r="D12" s="255">
        <v>100</v>
      </c>
      <c r="E12" s="529"/>
      <c r="F12" s="255">
        <f>ROUND(100/'数据-取费表'!G16,0)</f>
        <v>106</v>
      </c>
      <c r="G12" s="530"/>
      <c r="H12" s="255">
        <f>ROUND(100/'数据-取费表'!G16,0)</f>
        <v>106</v>
      </c>
      <c r="I12" s="530"/>
      <c r="J12" s="255">
        <f>ROUND(100/'数据-取费表'!G16,0)</f>
        <v>106</v>
      </c>
      <c r="K12" s="531"/>
      <c r="L12" s="2124"/>
      <c r="M12" s="2118"/>
      <c r="N12" s="2118"/>
      <c r="O12" s="2125"/>
      <c r="P12" s="3418"/>
      <c r="Q12" s="1147" t="str">
        <f t="shared" si="6"/>
        <v>土地使用年限（年）</v>
      </c>
      <c r="R12" s="1555" t="s">
        <v>8</v>
      </c>
      <c r="S12" s="1556">
        <f t="shared" si="0"/>
        <v>106</v>
      </c>
      <c r="T12" s="1555" t="s">
        <v>8</v>
      </c>
      <c r="U12" s="1556">
        <f t="shared" si="1"/>
        <v>106</v>
      </c>
      <c r="V12" s="1555" t="s">
        <v>8</v>
      </c>
      <c r="W12" s="1556">
        <f t="shared" si="2"/>
        <v>106</v>
      </c>
      <c r="X12" s="1557"/>
      <c r="Y12" s="3363"/>
      <c r="Z12" s="1146" t="str">
        <f t="shared" si="7"/>
        <v>土地使用年限（年）</v>
      </c>
      <c r="AA12" s="1558">
        <f t="shared" si="3"/>
        <v>0.94339622641509435</v>
      </c>
      <c r="AB12" s="1558">
        <f t="shared" si="4"/>
        <v>0.94339622641509435</v>
      </c>
      <c r="AC12" s="1558">
        <f t="shared" si="5"/>
        <v>0.94339622641509435</v>
      </c>
    </row>
    <row r="13" spans="1:30" ht="20.25">
      <c r="A13" s="2872"/>
      <c r="B13" s="2876" t="s">
        <v>2754</v>
      </c>
      <c r="C13" s="534">
        <v>1.7</v>
      </c>
      <c r="D13" s="255">
        <v>100</v>
      </c>
      <c r="E13" s="533">
        <v>2.4</v>
      </c>
      <c r="F13" s="255">
        <f>LOOKUP(E13,82:82,83:83)-LOOKUP(C13,82:82,83:83)+100</f>
        <v>98</v>
      </c>
      <c r="G13" s="534">
        <v>2</v>
      </c>
      <c r="H13" s="255">
        <f>LOOKUP(G13,82:82,83:83)-LOOKUP(C13,82:82,83:83)+100</f>
        <v>98</v>
      </c>
      <c r="I13" s="533">
        <v>3.2</v>
      </c>
      <c r="J13" s="255">
        <f>LOOKUP(I13,82:82,83:83)-LOOKUP(C13,82:82,83:83)+100</f>
        <v>96</v>
      </c>
      <c r="K13" s="535">
        <v>2</v>
      </c>
      <c r="L13" s="2126"/>
      <c r="M13" s="2118"/>
      <c r="N13" s="2118"/>
      <c r="O13" s="2127"/>
      <c r="P13" s="3418"/>
      <c r="Q13" s="1147" t="str">
        <f t="shared" si="6"/>
        <v>容积率</v>
      </c>
      <c r="R13" s="1555" t="s">
        <v>8</v>
      </c>
      <c r="S13" s="1556">
        <f t="shared" si="0"/>
        <v>98</v>
      </c>
      <c r="T13" s="1555" t="s">
        <v>8</v>
      </c>
      <c r="U13" s="1556">
        <f t="shared" si="1"/>
        <v>98</v>
      </c>
      <c r="V13" s="1555" t="s">
        <v>8</v>
      </c>
      <c r="W13" s="1556">
        <f t="shared" si="2"/>
        <v>96</v>
      </c>
      <c r="X13" s="1557"/>
      <c r="Y13" s="3363"/>
      <c r="Z13" s="1146" t="str">
        <f t="shared" si="7"/>
        <v>容积率</v>
      </c>
      <c r="AA13" s="1558">
        <f t="shared" si="3"/>
        <v>1.0204081632653061</v>
      </c>
      <c r="AB13" s="1558">
        <f t="shared" si="4"/>
        <v>1.0204081632653061</v>
      </c>
      <c r="AC13" s="1558">
        <f t="shared" si="5"/>
        <v>1.0416666666666667</v>
      </c>
    </row>
    <row r="14" spans="1:30" s="1216" customFormat="1" ht="20.25">
      <c r="A14" s="2869"/>
      <c r="B14" s="2878" t="s">
        <v>2755</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8"/>
      <c r="Q14" s="1147" t="str">
        <f t="shared" si="6"/>
        <v>配建</v>
      </c>
      <c r="R14" s="1555" t="s">
        <v>8</v>
      </c>
      <c r="S14" s="1556">
        <f t="shared" si="0"/>
        <v>100</v>
      </c>
      <c r="T14" s="1555" t="s">
        <v>8</v>
      </c>
      <c r="U14" s="1556">
        <f t="shared" si="1"/>
        <v>100</v>
      </c>
      <c r="V14" s="1555" t="s">
        <v>8</v>
      </c>
      <c r="W14" s="1556">
        <f t="shared" si="2"/>
        <v>100</v>
      </c>
      <c r="X14" s="1557"/>
      <c r="Y14" s="3363"/>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8"/>
      <c r="Q15" s="1147">
        <f t="shared" si="6"/>
        <v>111</v>
      </c>
      <c r="R15" s="1555" t="s">
        <v>8</v>
      </c>
      <c r="S15" s="1556">
        <f t="shared" si="0"/>
        <v>100</v>
      </c>
      <c r="T15" s="1555" t="s">
        <v>8</v>
      </c>
      <c r="U15" s="1556">
        <f t="shared" si="1"/>
        <v>100</v>
      </c>
      <c r="V15" s="1555" t="s">
        <v>8</v>
      </c>
      <c r="W15" s="1556">
        <f t="shared" si="2"/>
        <v>100</v>
      </c>
      <c r="X15" s="1557"/>
      <c r="Y15" s="3363"/>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8"/>
      <c r="Q16" s="1147">
        <f t="shared" si="6"/>
        <v>111</v>
      </c>
      <c r="R16" s="1555" t="s">
        <v>8</v>
      </c>
      <c r="S16" s="1556">
        <f t="shared" si="0"/>
        <v>100</v>
      </c>
      <c r="T16" s="1555" t="s">
        <v>8</v>
      </c>
      <c r="U16" s="1556">
        <f t="shared" si="1"/>
        <v>100</v>
      </c>
      <c r="V16" s="1555" t="s">
        <v>8</v>
      </c>
      <c r="W16" s="1556">
        <f t="shared" si="2"/>
        <v>100</v>
      </c>
      <c r="X16" s="1557"/>
      <c r="Y16" s="3363"/>
      <c r="Z16" s="1146">
        <f t="shared" si="7"/>
        <v>111</v>
      </c>
      <c r="AA16" s="1558">
        <f>D16/F16</f>
        <v>1</v>
      </c>
      <c r="AB16" s="1558">
        <f>D16/H16</f>
        <v>1</v>
      </c>
      <c r="AC16" s="1558">
        <f>D16/J16</f>
        <v>1</v>
      </c>
    </row>
    <row r="17" spans="1:29" ht="99.75">
      <c r="A17" s="2866" t="s">
        <v>2750</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419" t="s">
        <v>540</v>
      </c>
      <c r="Q17" s="1559" t="str">
        <f t="shared" si="6"/>
        <v>居住社区成熟度</v>
      </c>
      <c r="R17" s="1560" t="s">
        <v>8</v>
      </c>
      <c r="S17" s="1561">
        <f t="shared" si="0"/>
        <v>100</v>
      </c>
      <c r="T17" s="1560" t="s">
        <v>8</v>
      </c>
      <c r="U17" s="1561">
        <f t="shared" si="1"/>
        <v>100</v>
      </c>
      <c r="V17" s="1560" t="s">
        <v>8</v>
      </c>
      <c r="W17" s="1561">
        <f t="shared" si="2"/>
        <v>100</v>
      </c>
      <c r="X17" s="1554"/>
      <c r="Y17" s="3419" t="s">
        <v>540</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420"/>
      <c r="Q18" s="1559"/>
      <c r="R18" s="1560"/>
      <c r="S18" s="1561"/>
      <c r="T18" s="1560"/>
      <c r="U18" s="1561"/>
      <c r="V18" s="1560"/>
      <c r="W18" s="1561"/>
      <c r="X18" s="1554"/>
      <c r="Y18" s="3420"/>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420"/>
      <c r="Q19" s="1559" t="str">
        <f>B19</f>
        <v>商业繁华度</v>
      </c>
      <c r="R19" s="1560" t="s">
        <v>8</v>
      </c>
      <c r="S19" s="1561">
        <f>F19</f>
        <v>100</v>
      </c>
      <c r="T19" s="1560" t="s">
        <v>8</v>
      </c>
      <c r="U19" s="1561">
        <f>H19</f>
        <v>100</v>
      </c>
      <c r="V19" s="1560" t="s">
        <v>8</v>
      </c>
      <c r="W19" s="1561">
        <f>J19</f>
        <v>100</v>
      </c>
      <c r="X19" s="1554"/>
      <c r="Y19" s="3420"/>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420"/>
      <c r="Q20" s="1559"/>
      <c r="R20" s="1560"/>
      <c r="S20" s="1561"/>
      <c r="T20" s="1560"/>
      <c r="U20" s="1561"/>
      <c r="V20" s="1560"/>
      <c r="W20" s="1561"/>
      <c r="X20" s="1554"/>
      <c r="Y20" s="3420"/>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20"/>
      <c r="Q21" s="1559" t="str">
        <f>B21</f>
        <v>办公集聚程度</v>
      </c>
      <c r="R21" s="1560" t="s">
        <v>8</v>
      </c>
      <c r="S21" s="1561">
        <f>F21</f>
        <v>100</v>
      </c>
      <c r="T21" s="1560" t="s">
        <v>8</v>
      </c>
      <c r="U21" s="1561">
        <f>H21</f>
        <v>100</v>
      </c>
      <c r="V21" s="1560" t="s">
        <v>8</v>
      </c>
      <c r="W21" s="1561">
        <f>J21</f>
        <v>100</v>
      </c>
      <c r="X21" s="1554"/>
      <c r="Y21" s="3420"/>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420"/>
      <c r="Q22" s="1559"/>
      <c r="R22" s="1560"/>
      <c r="S22" s="1561"/>
      <c r="T22" s="1560"/>
      <c r="U22" s="1561"/>
      <c r="V22" s="1560"/>
      <c r="W22" s="1561"/>
      <c r="X22" s="1554"/>
      <c r="Y22" s="3420"/>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420"/>
      <c r="Q23" s="1559" t="str">
        <f>B23</f>
        <v>交通便捷度</v>
      </c>
      <c r="R23" s="1560" t="s">
        <v>8</v>
      </c>
      <c r="S23" s="1561">
        <f>F23</f>
        <v>100</v>
      </c>
      <c r="T23" s="1560" t="s">
        <v>8</v>
      </c>
      <c r="U23" s="1561">
        <f>H23</f>
        <v>100</v>
      </c>
      <c r="V23" s="1560" t="s">
        <v>8</v>
      </c>
      <c r="W23" s="1561">
        <f>J23</f>
        <v>100</v>
      </c>
      <c r="X23" s="1554"/>
      <c r="Y23" s="3420"/>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420"/>
      <c r="Q24" s="1559"/>
      <c r="R24" s="1560"/>
      <c r="S24" s="1561"/>
      <c r="T24" s="1560"/>
      <c r="U24" s="1561"/>
      <c r="V24" s="1560"/>
      <c r="W24" s="1561"/>
      <c r="X24" s="1554"/>
      <c r="Y24" s="3420"/>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420"/>
      <c r="Q25" s="1559" t="str">
        <f t="shared" ref="Q25:Q39" si="8">B25</f>
        <v>区域土地利用方向</v>
      </c>
      <c r="R25" s="1560" t="s">
        <v>8</v>
      </c>
      <c r="S25" s="1561">
        <f>F25</f>
        <v>100</v>
      </c>
      <c r="T25" s="1560" t="s">
        <v>8</v>
      </c>
      <c r="U25" s="1561">
        <f>H25</f>
        <v>100</v>
      </c>
      <c r="V25" s="1560" t="s">
        <v>8</v>
      </c>
      <c r="W25" s="1561">
        <f>J25</f>
        <v>100</v>
      </c>
      <c r="X25" s="1554"/>
      <c r="Y25" s="3420"/>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420"/>
      <c r="Q26" s="1559"/>
      <c r="R26" s="1560"/>
      <c r="S26" s="1561"/>
      <c r="T26" s="1560"/>
      <c r="U26" s="1561"/>
      <c r="V26" s="1560"/>
      <c r="W26" s="1561"/>
      <c r="X26" s="1554"/>
      <c r="Y26" s="3420"/>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420"/>
      <c r="Q27" s="1559" t="str">
        <f t="shared" si="8"/>
        <v>自然及人文环境状况</v>
      </c>
      <c r="R27" s="1560" t="s">
        <v>8</v>
      </c>
      <c r="S27" s="1561">
        <f>F27</f>
        <v>100</v>
      </c>
      <c r="T27" s="1560" t="s">
        <v>8</v>
      </c>
      <c r="U27" s="1561">
        <f>H27</f>
        <v>100</v>
      </c>
      <c r="V27" s="1560" t="s">
        <v>8</v>
      </c>
      <c r="W27" s="1561">
        <f>J27</f>
        <v>100</v>
      </c>
      <c r="X27" s="1554"/>
      <c r="Y27" s="3420"/>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420"/>
      <c r="Q28" s="1559"/>
      <c r="R28" s="1560"/>
      <c r="S28" s="1561"/>
      <c r="T28" s="1560"/>
      <c r="U28" s="1561"/>
      <c r="V28" s="1560"/>
      <c r="W28" s="1561"/>
      <c r="X28" s="1554"/>
      <c r="Y28" s="3420"/>
      <c r="Z28" s="1562"/>
      <c r="AA28" s="1563">
        <v>1</v>
      </c>
      <c r="AB28" s="1563">
        <v>1</v>
      </c>
      <c r="AC28" s="1563">
        <v>1</v>
      </c>
    </row>
    <row r="29" spans="1:29" s="1216" customFormat="1" ht="42.75">
      <c r="A29" s="577"/>
      <c r="B29" s="2556"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420"/>
      <c r="Q29" s="1147" t="str">
        <f t="shared" si="8"/>
        <v>公共配套设施</v>
      </c>
      <c r="R29" s="1555" t="s">
        <v>8</v>
      </c>
      <c r="S29" s="1556">
        <f>F29</f>
        <v>100</v>
      </c>
      <c r="T29" s="1555" t="s">
        <v>8</v>
      </c>
      <c r="U29" s="1556">
        <f>H29</f>
        <v>100</v>
      </c>
      <c r="V29" s="1555" t="s">
        <v>8</v>
      </c>
      <c r="W29" s="1556">
        <f>J29</f>
        <v>100</v>
      </c>
      <c r="X29" s="1557"/>
      <c r="Y29" s="3420"/>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420"/>
      <c r="Q30" s="1147"/>
      <c r="R30" s="1555"/>
      <c r="S30" s="1556"/>
      <c r="T30" s="1555"/>
      <c r="U30" s="1556"/>
      <c r="V30" s="1555"/>
      <c r="W30" s="1556"/>
      <c r="X30" s="1557"/>
      <c r="Y30" s="3420"/>
      <c r="Z30" s="1146"/>
      <c r="AA30" s="1563">
        <v>1</v>
      </c>
      <c r="AB30" s="1563">
        <v>1</v>
      </c>
      <c r="AC30" s="1563">
        <v>1</v>
      </c>
    </row>
    <row r="31" spans="1:29" s="1216" customFormat="1" ht="28.5">
      <c r="A31" s="577"/>
      <c r="B31" s="2556"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420"/>
      <c r="Q31" s="2543" t="str">
        <f t="shared" ref="Q31" si="9">B31</f>
        <v>基础设施水平</v>
      </c>
      <c r="R31" s="1555" t="s">
        <v>8</v>
      </c>
      <c r="S31" s="1556">
        <f>F31</f>
        <v>100</v>
      </c>
      <c r="T31" s="1555" t="s">
        <v>8</v>
      </c>
      <c r="U31" s="1556">
        <f>H31</f>
        <v>100</v>
      </c>
      <c r="V31" s="1555" t="s">
        <v>8</v>
      </c>
      <c r="W31" s="1556">
        <f>J31</f>
        <v>100</v>
      </c>
      <c r="X31" s="1557"/>
      <c r="Y31" s="3420"/>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420"/>
      <c r="Q32" s="2543"/>
      <c r="R32" s="1555"/>
      <c r="S32" s="1556"/>
      <c r="T32" s="1555"/>
      <c r="U32" s="1556"/>
      <c r="V32" s="1555"/>
      <c r="W32" s="1556"/>
      <c r="X32" s="1557"/>
      <c r="Y32" s="3420"/>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20"/>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20"/>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20"/>
      <c r="Q34" s="1559" t="str">
        <f t="shared" si="8"/>
        <v>毗邻道路的类型与等级</v>
      </c>
      <c r="R34" s="1560" t="s">
        <v>8</v>
      </c>
      <c r="S34" s="1561">
        <f t="shared" si="10"/>
        <v>100</v>
      </c>
      <c r="T34" s="1560" t="s">
        <v>8</v>
      </c>
      <c r="U34" s="1561">
        <f t="shared" si="11"/>
        <v>100</v>
      </c>
      <c r="V34" s="1560" t="s">
        <v>8</v>
      </c>
      <c r="W34" s="1561">
        <f t="shared" si="12"/>
        <v>100</v>
      </c>
      <c r="X34" s="1554"/>
      <c r="Y34" s="3420"/>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420"/>
      <c r="Q35" s="1559"/>
      <c r="R35" s="1560"/>
      <c r="S35" s="1561"/>
      <c r="T35" s="1560"/>
      <c r="U35" s="1561"/>
      <c r="V35" s="1560"/>
      <c r="W35" s="1561"/>
      <c r="X35" s="1554"/>
      <c r="Y35" s="3420"/>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20"/>
      <c r="Q36" s="1559" t="str">
        <f t="shared" si="8"/>
        <v>土地级别</v>
      </c>
      <c r="R36" s="1560" t="s">
        <v>8</v>
      </c>
      <c r="S36" s="1561">
        <f t="shared" si="10"/>
        <v>100</v>
      </c>
      <c r="T36" s="1560" t="s">
        <v>8</v>
      </c>
      <c r="U36" s="1561">
        <f t="shared" si="11"/>
        <v>100</v>
      </c>
      <c r="V36" s="1560" t="s">
        <v>8</v>
      </c>
      <c r="W36" s="1561">
        <f t="shared" si="12"/>
        <v>100</v>
      </c>
      <c r="X36" s="1554"/>
      <c r="Y36" s="3420"/>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20"/>
      <c r="Q37" s="1559">
        <f t="shared" si="8"/>
        <v>111</v>
      </c>
      <c r="R37" s="1560" t="s">
        <v>8</v>
      </c>
      <c r="S37" s="1561">
        <f t="shared" si="10"/>
        <v>100</v>
      </c>
      <c r="T37" s="1560" t="s">
        <v>8</v>
      </c>
      <c r="U37" s="1561">
        <f t="shared" si="11"/>
        <v>100</v>
      </c>
      <c r="V37" s="1560" t="s">
        <v>8</v>
      </c>
      <c r="W37" s="1561">
        <f t="shared" si="12"/>
        <v>100</v>
      </c>
      <c r="X37" s="1554"/>
      <c r="Y37" s="3420"/>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25" t="s">
        <v>550</v>
      </c>
      <c r="Q38" s="1559">
        <f t="shared" si="8"/>
        <v>111</v>
      </c>
      <c r="R38" s="1560" t="s">
        <v>8</v>
      </c>
      <c r="S38" s="1561">
        <f t="shared" si="10"/>
        <v>100</v>
      </c>
      <c r="T38" s="1560" t="s">
        <v>8</v>
      </c>
      <c r="U38" s="1561">
        <f t="shared" si="11"/>
        <v>100</v>
      </c>
      <c r="V38" s="1560" t="s">
        <v>8</v>
      </c>
      <c r="W38" s="1561">
        <f t="shared" si="12"/>
        <v>100</v>
      </c>
      <c r="X38" s="1554"/>
      <c r="Y38" s="3426"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26"/>
      <c r="Q39" s="1559">
        <f t="shared" si="8"/>
        <v>111</v>
      </c>
      <c r="R39" s="1564" t="s">
        <v>8</v>
      </c>
      <c r="S39" s="1565">
        <f t="shared" si="10"/>
        <v>100</v>
      </c>
      <c r="T39" s="1564" t="s">
        <v>8</v>
      </c>
      <c r="U39" s="1565">
        <f t="shared" si="11"/>
        <v>100</v>
      </c>
      <c r="V39" s="1564" t="s">
        <v>8</v>
      </c>
      <c r="W39" s="1565">
        <f t="shared" si="12"/>
        <v>100</v>
      </c>
      <c r="X39" s="1566"/>
      <c r="Y39" s="3426"/>
      <c r="Z39" s="1567">
        <f t="shared" si="13"/>
        <v>111</v>
      </c>
      <c r="AA39" s="1563">
        <f t="shared" si="3"/>
        <v>1</v>
      </c>
      <c r="AB39" s="1563">
        <f t="shared" si="4"/>
        <v>1</v>
      </c>
      <c r="AC39" s="1563">
        <f t="shared" si="5"/>
        <v>1</v>
      </c>
    </row>
    <row r="40" spans="1:29" ht="20.25">
      <c r="A40" s="2863" t="s">
        <v>2751</v>
      </c>
      <c r="B40" s="595" t="s">
        <v>552</v>
      </c>
      <c r="C40" s="596">
        <f>'数据-基础表'!A3</f>
        <v>40652</v>
      </c>
      <c r="D40" s="597">
        <v>100</v>
      </c>
      <c r="E40" s="596">
        <v>15529</v>
      </c>
      <c r="F40" s="597">
        <f>LOOKUP(E40,119:119,120:120)-LOOKUP(C40,119:119,120:120)+100</f>
        <v>94</v>
      </c>
      <c r="G40" s="596">
        <v>22010</v>
      </c>
      <c r="H40" s="597">
        <f>LOOKUP(G40,119:119,120:120)-LOOKUP(C40,119:119,120:120)+100</f>
        <v>96</v>
      </c>
      <c r="I40" s="598">
        <v>333</v>
      </c>
      <c r="J40" s="597">
        <f>LOOKUP(I40,119:119,120:120)-LOOKUP(C40,119:119,120:120)+100</f>
        <v>92</v>
      </c>
      <c r="K40" s="581"/>
      <c r="L40" s="2128"/>
      <c r="M40" s="2118"/>
      <c r="N40" s="2118"/>
      <c r="O40" s="2127"/>
      <c r="P40" s="3426"/>
      <c r="Q40" s="1559" t="str">
        <f>B40</f>
        <v>宗地面积</v>
      </c>
      <c r="R40" s="1560" t="s">
        <v>8</v>
      </c>
      <c r="S40" s="1561">
        <f t="shared" si="10"/>
        <v>94</v>
      </c>
      <c r="T40" s="1560" t="s">
        <v>8</v>
      </c>
      <c r="U40" s="1561">
        <f t="shared" si="11"/>
        <v>96</v>
      </c>
      <c r="V40" s="1560" t="s">
        <v>8</v>
      </c>
      <c r="W40" s="1561">
        <f t="shared" si="12"/>
        <v>92</v>
      </c>
      <c r="X40" s="1554"/>
      <c r="Y40" s="3426"/>
      <c r="Z40" s="1562" t="str">
        <f t="shared" si="13"/>
        <v>宗地面积</v>
      </c>
      <c r="AA40" s="1563">
        <f t="shared" si="3"/>
        <v>1.0638297872340425</v>
      </c>
      <c r="AB40" s="1563">
        <f t="shared" si="4"/>
        <v>1.0416666666666667</v>
      </c>
      <c r="AC40" s="1563">
        <f t="shared" si="5"/>
        <v>1.0869565217391304</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426"/>
      <c r="Q41" s="1559" t="str">
        <f t="shared" ref="Q41:Q47" si="14">B41</f>
        <v>宗地形状</v>
      </c>
      <c r="R41" s="1560" t="s">
        <v>8</v>
      </c>
      <c r="S41" s="1561">
        <f t="shared" si="10"/>
        <v>100</v>
      </c>
      <c r="T41" s="1560" t="s">
        <v>8</v>
      </c>
      <c r="U41" s="1561">
        <f t="shared" si="11"/>
        <v>100</v>
      </c>
      <c r="V41" s="1560" t="s">
        <v>8</v>
      </c>
      <c r="W41" s="1561">
        <f t="shared" si="12"/>
        <v>100</v>
      </c>
      <c r="X41" s="1554"/>
      <c r="Y41" s="3426"/>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26"/>
      <c r="Q42" s="1559" t="str">
        <f t="shared" si="14"/>
        <v>临街宽度及深度</v>
      </c>
      <c r="R42" s="1560" t="s">
        <v>8</v>
      </c>
      <c r="S42" s="1561">
        <f t="shared" si="10"/>
        <v>100</v>
      </c>
      <c r="T42" s="1560" t="s">
        <v>8</v>
      </c>
      <c r="U42" s="1561">
        <f t="shared" si="11"/>
        <v>100</v>
      </c>
      <c r="V42" s="1560" t="s">
        <v>8</v>
      </c>
      <c r="W42" s="1561">
        <f t="shared" si="12"/>
        <v>100</v>
      </c>
      <c r="X42" s="1554"/>
      <c r="Y42" s="3426"/>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426"/>
      <c r="Q43" s="1559" t="str">
        <f t="shared" si="14"/>
        <v>宗地开发程度</v>
      </c>
      <c r="R43" s="1555" t="s">
        <v>8</v>
      </c>
      <c r="S43" s="1556">
        <f t="shared" si="10"/>
        <v>100</v>
      </c>
      <c r="T43" s="1555" t="s">
        <v>8</v>
      </c>
      <c r="U43" s="1556">
        <f t="shared" si="11"/>
        <v>100</v>
      </c>
      <c r="V43" s="1555" t="s">
        <v>8</v>
      </c>
      <c r="W43" s="1556">
        <f t="shared" si="12"/>
        <v>100</v>
      </c>
      <c r="X43" s="1557"/>
      <c r="Y43" s="3426"/>
      <c r="Z43" s="1146" t="str">
        <f t="shared" si="13"/>
        <v>宗地开发程度</v>
      </c>
      <c r="AA43" s="1558">
        <f t="shared" si="3"/>
        <v>1</v>
      </c>
      <c r="AB43" s="1558">
        <f t="shared" si="4"/>
        <v>1</v>
      </c>
      <c r="AC43" s="1558">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426" t="s">
        <v>550</v>
      </c>
      <c r="Q44" s="1559" t="str">
        <f t="shared" si="14"/>
        <v>工程地质条件</v>
      </c>
      <c r="R44" s="1560" t="s">
        <v>8</v>
      </c>
      <c r="S44" s="1561">
        <f t="shared" si="10"/>
        <v>100</v>
      </c>
      <c r="T44" s="1560" t="s">
        <v>8</v>
      </c>
      <c r="U44" s="1561">
        <f t="shared" si="11"/>
        <v>100</v>
      </c>
      <c r="V44" s="1560" t="s">
        <v>8</v>
      </c>
      <c r="W44" s="1561">
        <f t="shared" si="12"/>
        <v>100</v>
      </c>
      <c r="X44" s="1554"/>
      <c r="Y44" s="3426"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26"/>
      <c r="Q45" s="1559">
        <f t="shared" si="14"/>
        <v>111</v>
      </c>
      <c r="R45" s="1560" t="s">
        <v>8</v>
      </c>
      <c r="S45" s="1561">
        <f t="shared" si="10"/>
        <v>100</v>
      </c>
      <c r="T45" s="1560" t="s">
        <v>8</v>
      </c>
      <c r="U45" s="1561">
        <f t="shared" si="11"/>
        <v>100</v>
      </c>
      <c r="V45" s="1560" t="s">
        <v>8</v>
      </c>
      <c r="W45" s="1561">
        <f t="shared" si="12"/>
        <v>100</v>
      </c>
      <c r="X45" s="1554"/>
      <c r="Y45" s="3426"/>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26"/>
      <c r="Q46" s="1559">
        <f t="shared" si="14"/>
        <v>111</v>
      </c>
      <c r="R46" s="1560" t="s">
        <v>8</v>
      </c>
      <c r="S46" s="1561">
        <f t="shared" si="10"/>
        <v>100</v>
      </c>
      <c r="T46" s="1560" t="s">
        <v>8</v>
      </c>
      <c r="U46" s="1561">
        <f t="shared" si="11"/>
        <v>100</v>
      </c>
      <c r="V46" s="1560" t="s">
        <v>8</v>
      </c>
      <c r="W46" s="1561">
        <f t="shared" si="12"/>
        <v>100</v>
      </c>
      <c r="X46" s="1554"/>
      <c r="Y46" s="3426"/>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26"/>
      <c r="Q47" s="1559">
        <f t="shared" si="14"/>
        <v>111</v>
      </c>
      <c r="R47" s="1564" t="s">
        <v>8</v>
      </c>
      <c r="S47" s="1565">
        <f t="shared" si="10"/>
        <v>100</v>
      </c>
      <c r="T47" s="1564" t="s">
        <v>8</v>
      </c>
      <c r="U47" s="1565">
        <f t="shared" si="11"/>
        <v>100</v>
      </c>
      <c r="V47" s="1564" t="s">
        <v>8</v>
      </c>
      <c r="W47" s="1565">
        <f t="shared" si="12"/>
        <v>100</v>
      </c>
      <c r="X47" s="1566"/>
      <c r="Y47" s="3426"/>
      <c r="Z47" s="1567">
        <f t="shared" si="13"/>
        <v>111</v>
      </c>
      <c r="AA47" s="1563">
        <f t="shared" si="3"/>
        <v>1</v>
      </c>
      <c r="AB47" s="1563">
        <f t="shared" si="4"/>
        <v>1</v>
      </c>
      <c r="AC47" s="1563">
        <f t="shared" si="5"/>
        <v>1</v>
      </c>
    </row>
    <row r="48" spans="1:29" ht="20.25">
      <c r="A48" s="607" t="s">
        <v>556</v>
      </c>
      <c r="B48" s="608" t="s">
        <v>3020</v>
      </c>
      <c r="C48" s="609" t="s">
        <v>1</v>
      </c>
      <c r="D48" s="610"/>
      <c r="E48" s="611">
        <v>938</v>
      </c>
      <c r="F48" s="612"/>
      <c r="G48" s="613">
        <v>825</v>
      </c>
      <c r="H48" s="614"/>
      <c r="I48" s="611">
        <v>703</v>
      </c>
      <c r="J48" s="614"/>
      <c r="K48" s="1336"/>
      <c r="L48" s="2130"/>
      <c r="M48" s="2118"/>
      <c r="N48" s="2118"/>
      <c r="O48" s="2131"/>
      <c r="P48" s="3418" t="str">
        <f>A48</f>
        <v>成交单价</v>
      </c>
      <c r="Q48" s="3418"/>
      <c r="R48" s="3414">
        <f>E48</f>
        <v>938</v>
      </c>
      <c r="S48" s="3414"/>
      <c r="T48" s="3414">
        <f>G48</f>
        <v>825</v>
      </c>
      <c r="U48" s="3414"/>
      <c r="V48" s="3414">
        <f>I48</f>
        <v>703</v>
      </c>
      <c r="W48" s="3414"/>
      <c r="X48" s="1546"/>
      <c r="Y48" s="1568"/>
      <c r="Z48" s="1546"/>
      <c r="AA48" s="1546"/>
      <c r="AB48" s="1546"/>
      <c r="AC48" s="1546"/>
    </row>
    <row r="49" spans="1:29" ht="21" thickBot="1">
      <c r="A49" s="615" t="s">
        <v>2689</v>
      </c>
      <c r="B49" s="616"/>
      <c r="C49" s="617">
        <f>R50</f>
        <v>905</v>
      </c>
      <c r="D49" s="618"/>
      <c r="E49" s="617">
        <f>R49</f>
        <v>1044</v>
      </c>
      <c r="F49" s="619"/>
      <c r="G49" s="620">
        <f>T49</f>
        <v>880</v>
      </c>
      <c r="H49" s="618"/>
      <c r="I49" s="617">
        <f>V49</f>
        <v>790</v>
      </c>
      <c r="J49" s="618"/>
      <c r="K49" s="1337"/>
      <c r="L49" s="2130"/>
      <c r="M49" s="2118"/>
      <c r="N49" s="2118"/>
      <c r="O49" s="2131"/>
      <c r="P49" s="3418" t="str">
        <f>A49</f>
        <v>比较价格（元/平方米）</v>
      </c>
      <c r="Q49" s="3418"/>
      <c r="R49" s="3421">
        <f>ROUND(PRODUCT(R48,AA9:AA47),0)</f>
        <v>1044</v>
      </c>
      <c r="S49" s="3421"/>
      <c r="T49" s="3421">
        <f>ROUND(PRODUCT(T48,AB9:AB47),0)</f>
        <v>880</v>
      </c>
      <c r="U49" s="3421"/>
      <c r="V49" s="3421">
        <f>ROUND(PRODUCT(V48,AC9:AC47),0)</f>
        <v>790</v>
      </c>
      <c r="W49" s="3421"/>
      <c r="X49" s="1546"/>
      <c r="Y49" s="1546"/>
      <c r="Z49" s="1546"/>
      <c r="AA49" s="1546"/>
      <c r="AB49" s="1546"/>
      <c r="AC49" s="1546"/>
    </row>
    <row r="50" spans="1:29" ht="21" thickBot="1">
      <c r="A50" s="621" t="s">
        <v>2931</v>
      </c>
      <c r="B50" s="622"/>
      <c r="C50" s="623">
        <f>R50</f>
        <v>905</v>
      </c>
      <c r="D50" s="623"/>
      <c r="E50" s="623"/>
      <c r="F50" s="623"/>
      <c r="G50" s="623"/>
      <c r="H50" s="623"/>
      <c r="I50" s="623"/>
      <c r="J50" s="623"/>
      <c r="K50" s="1338"/>
      <c r="L50" s="2130"/>
      <c r="M50" s="2118"/>
      <c r="N50" s="2118"/>
      <c r="O50" s="2131"/>
      <c r="P50" s="3422" t="str">
        <f>A50</f>
        <v>估价对象XX用房的比较价格（楼面单价，元/平方米）</v>
      </c>
      <c r="Q50" s="3423"/>
      <c r="R50" s="3424">
        <f>ROUND(AVERAGE(R49:V49),0)</f>
        <v>905</v>
      </c>
      <c r="S50" s="3424"/>
      <c r="T50" s="3424"/>
      <c r="U50" s="3424"/>
      <c r="V50" s="3424"/>
      <c r="W50" s="3424"/>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0.11300639658848621</v>
      </c>
      <c r="F53" s="627" t="str">
        <f>IF(OR(E53&gt;=0.3,E53&lt;=-0.3),"超过30%","")</f>
        <v/>
      </c>
      <c r="G53" s="626">
        <f>IF(G48&lt;G49,G49/G48-1,G48/G49-1)</f>
        <v>6.6666666666666652E-2</v>
      </c>
      <c r="H53" s="627" t="str">
        <f>IF(OR(G53&gt;=0.3,G53&lt;=-0.3),"超过30%","")</f>
        <v/>
      </c>
      <c r="I53" s="626">
        <f>IF(I48&lt;I49,I49/I48-1,I48/I49-1)</f>
        <v>0.12375533428164998</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0.18636363636363629</v>
      </c>
      <c r="F54" s="627" t="str">
        <f>IF(OR(E54&gt;=0.2,E54&lt;=-0.2),"超过20%","")</f>
        <v/>
      </c>
      <c r="G54" s="626">
        <f>IF(G49&lt;I49,I49/G49-1,G49/I49-1)</f>
        <v>0.11392405063291133</v>
      </c>
      <c r="H54" s="627" t="str">
        <f>IF(OR(G54&gt;=0.2,G54&lt;=-0.2),"超过20%","")</f>
        <v/>
      </c>
      <c r="I54" s="626">
        <f>IF(I49&lt;E49,E49/I49-1,I49/E49-1)</f>
        <v>0.32151898734177209</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0.13696969696969696</v>
      </c>
      <c r="F55" s="627" t="str">
        <f>IF(OR(E55&gt;=0.3,E55&lt;=-0.3),"超过30%","")</f>
        <v/>
      </c>
      <c r="G55" s="626">
        <f>IF(G48&lt;I48,I48/G48-1,G48/I48-1)</f>
        <v>0.17354196301564717</v>
      </c>
      <c r="H55" s="627" t="str">
        <f>IF(OR(G55&gt;=0.3,G55&lt;=-0.3),"超过30%","")</f>
        <v/>
      </c>
      <c r="I55" s="626">
        <f>IF(I48&lt;E48,E48/I48-1,I48/E48-1)</f>
        <v>0.33428165007112365</v>
      </c>
      <c r="J55" s="627" t="str">
        <f>IF(OR(I55&gt;=0.3,I55&lt;=-0.3),"超过30%","")</f>
        <v>超过30%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1723</v>
      </c>
      <c r="D57" s="2213" t="s">
        <v>2291</v>
      </c>
      <c r="E57" s="631" t="s">
        <v>562</v>
      </c>
      <c r="F57" s="632" t="s">
        <v>563</v>
      </c>
      <c r="G57" s="3427" t="s">
        <v>2279</v>
      </c>
      <c r="H57" s="3428"/>
      <c r="I57" s="1542" t="s">
        <v>1721</v>
      </c>
      <c r="J57" s="1542">
        <f>项目基本情况!F41</f>
        <v>0</v>
      </c>
      <c r="K57" s="2140" t="s">
        <v>1722</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905</v>
      </c>
      <c r="C58" s="635">
        <v>1</v>
      </c>
      <c r="D58" s="2214">
        <v>1</v>
      </c>
      <c r="E58" s="635">
        <f>'数据-汇总表'!E8+'数据-汇总表'!E9</f>
        <v>60978</v>
      </c>
      <c r="F58" s="636">
        <f t="shared" ref="F58:F67" si="15">ROUND(B58*E58/10000,0)</f>
        <v>5519</v>
      </c>
      <c r="G58" s="3429"/>
      <c r="H58" s="343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31" t="s">
        <v>2280</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3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3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3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f t="shared" si="17"/>
        <v>0</v>
      </c>
      <c r="C63" s="378">
        <f t="shared" si="16"/>
        <v>0</v>
      </c>
      <c r="D63" s="2215">
        <v>0.25</v>
      </c>
      <c r="E63" s="641">
        <f>'数据-汇总表'!E11</f>
        <v>0</v>
      </c>
      <c r="F63" s="636">
        <f t="shared" si="15"/>
        <v>0</v>
      </c>
      <c r="G63" s="1931" t="s">
        <v>2281</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1676</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922</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2280</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2281</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2292</v>
      </c>
      <c r="E68" s="643">
        <f>IF(B48="楼面地价",SUM(E58:E67),'数据-汇总表'!D3)</f>
        <v>60978</v>
      </c>
      <c r="F68" s="644">
        <f>IF(B48="楼面地价",SUM(F58:F67),ROUND(C50*E68/10000,0))</f>
        <v>5519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2019-5-1</v>
      </c>
      <c r="D70" s="2755">
        <f>EDATE(C70,-3)</f>
        <v>43497</v>
      </c>
      <c r="E70" s="2755">
        <f t="shared" ref="E70:N70" si="18">EDATE(D70,-3)</f>
        <v>43405</v>
      </c>
      <c r="F70" s="2755">
        <f t="shared" si="18"/>
        <v>43313</v>
      </c>
      <c r="G70" s="2755">
        <f t="shared" si="18"/>
        <v>43221</v>
      </c>
      <c r="H70" s="2755">
        <f t="shared" si="18"/>
        <v>43132</v>
      </c>
      <c r="I70" s="2755">
        <f t="shared" si="18"/>
        <v>43040</v>
      </c>
      <c r="J70" s="2755">
        <f t="shared" si="18"/>
        <v>42948</v>
      </c>
      <c r="K70" s="2755">
        <f t="shared" si="18"/>
        <v>42856</v>
      </c>
      <c r="L70" s="2755">
        <f t="shared" si="18"/>
        <v>42767</v>
      </c>
      <c r="M70" s="2755">
        <f t="shared" si="18"/>
        <v>42675</v>
      </c>
      <c r="N70" s="2755">
        <f t="shared" si="18"/>
        <v>42583</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2528</v>
      </c>
      <c r="B72" s="2534"/>
      <c r="C72" s="2751" t="str">
        <f>YEAR(C70)&amp;"-"&amp;ROUNDUP(MONTH(C70)/3,0)</f>
        <v>2019-2</v>
      </c>
      <c r="D72" s="2757" t="str">
        <f>YEAR(D70)&amp;"-"&amp;ROUNDUP(MONTH(D70)/3,0)</f>
        <v>2019-1</v>
      </c>
      <c r="E72" s="2757" t="str">
        <f t="shared" ref="E72:N72" si="19">YEAR(E70)&amp;"-"&amp;ROUNDUP(MONTH(E70)/3,0)</f>
        <v>2018-4</v>
      </c>
      <c r="F72" s="2757" t="str">
        <f t="shared" si="19"/>
        <v>2018-3</v>
      </c>
      <c r="G72" s="2757" t="str">
        <f t="shared" si="19"/>
        <v>2018-2</v>
      </c>
      <c r="H72" s="2757" t="str">
        <f t="shared" si="19"/>
        <v>2018-1</v>
      </c>
      <c r="I72" s="2757" t="str">
        <f t="shared" si="19"/>
        <v>2017-4</v>
      </c>
      <c r="J72" s="2757" t="str">
        <f t="shared" si="19"/>
        <v>2017-3</v>
      </c>
      <c r="K72" s="2757" t="str">
        <f t="shared" si="19"/>
        <v>2017-2</v>
      </c>
      <c r="L72" s="2757" t="str">
        <f t="shared" si="19"/>
        <v>2017-1</v>
      </c>
      <c r="M72" s="2757" t="str">
        <f t="shared" si="19"/>
        <v>2016-4</v>
      </c>
      <c r="N72" s="2757" t="str">
        <f t="shared" si="19"/>
        <v>2016-3</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2643</v>
      </c>
      <c r="B73" s="479" t="str">
        <f>"北京市平均增长率"&amp;TEXT(SUMIF(基准地价!N21:N25,A73,基准地价!P21:P25),"0.00%")</f>
        <v>北京市平均增长率2.06%</v>
      </c>
      <c r="C73" s="894">
        <v>100</v>
      </c>
      <c r="D73" s="730">
        <v>99</v>
      </c>
      <c r="E73" s="730">
        <v>98</v>
      </c>
      <c r="F73" s="730">
        <v>97</v>
      </c>
      <c r="G73" s="730">
        <v>96</v>
      </c>
      <c r="H73" s="730">
        <v>95</v>
      </c>
      <c r="I73" s="730">
        <v>94</v>
      </c>
      <c r="J73" s="730">
        <v>93</v>
      </c>
      <c r="K73" s="730">
        <v>92</v>
      </c>
      <c r="L73" s="730">
        <v>91</v>
      </c>
      <c r="M73" s="2749">
        <v>90</v>
      </c>
      <c r="N73" s="275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2642</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v>1</v>
      </c>
      <c r="E82" s="541">
        <v>2</v>
      </c>
      <c r="F82" s="541">
        <v>3</v>
      </c>
      <c r="G82" s="541">
        <v>4</v>
      </c>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2544</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2546</v>
      </c>
      <c r="C104" s="2563" t="s">
        <v>2547</v>
      </c>
      <c r="D104" s="2563" t="s">
        <v>2548</v>
      </c>
      <c r="E104" s="2563" t="s">
        <v>2549</v>
      </c>
      <c r="F104" s="2563" t="s">
        <v>2550</v>
      </c>
      <c r="G104" s="2563" t="s">
        <v>2551</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v>60000</v>
      </c>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102</v>
      </c>
      <c r="E120" s="726">
        <v>104</v>
      </c>
      <c r="F120" s="726">
        <v>106</v>
      </c>
      <c r="G120" s="726">
        <v>108</v>
      </c>
      <c r="H120" s="726">
        <v>110</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1900</v>
      </c>
      <c r="B36" s="1640" t="s">
        <v>1901</v>
      </c>
    </row>
    <row r="37" spans="1:9" ht="28.5" customHeight="1">
      <c r="A37" s="1640"/>
      <c r="B37" s="3225" t="str">
        <f>项目基本情况!B1</f>
        <v>山东省潍坊市诸城市南环路共计8宗商业用地出让国有建设用地使用权抵押价格预评估</v>
      </c>
      <c r="C37" s="3225"/>
      <c r="D37" s="3225"/>
      <c r="E37" s="3225"/>
      <c r="F37" s="3225"/>
      <c r="G37" s="3225"/>
      <c r="H37" s="3225"/>
      <c r="I37" s="3225"/>
    </row>
    <row r="38" spans="1:9">
      <c r="A38" s="1642"/>
      <c r="B38" s="1642"/>
    </row>
    <row r="39" spans="1:9">
      <c r="A39" s="1640" t="s">
        <v>1900</v>
      </c>
      <c r="B39" s="1640" t="s">
        <v>2044</v>
      </c>
    </row>
    <row r="40" spans="1:9">
      <c r="A40" s="1640"/>
      <c r="B40" s="1640" t="str">
        <f>项目基本情况!B5</f>
        <v>诸城龙乡水务集团有限公司</v>
      </c>
    </row>
    <row r="41" spans="1:9">
      <c r="A41" s="1640"/>
      <c r="B41" s="1640"/>
    </row>
    <row r="42" spans="1:9">
      <c r="A42" s="1640" t="s">
        <v>1900</v>
      </c>
      <c r="B42" s="1640" t="s">
        <v>2045</v>
      </c>
    </row>
    <row r="43" spans="1:9">
      <c r="A43" s="1640"/>
      <c r="B43" s="1640" t="s">
        <v>1902</v>
      </c>
    </row>
    <row r="44" spans="1:9">
      <c r="A44" s="1640"/>
      <c r="B44" s="1640"/>
    </row>
    <row r="45" spans="1:9">
      <c r="A45" s="1640" t="s">
        <v>1900</v>
      </c>
      <c r="B45" s="1640" t="s">
        <v>2043</v>
      </c>
    </row>
    <row r="46" spans="1:9" s="1640" customFormat="1" ht="12.75">
      <c r="B46" s="1640" t="str">
        <f>项目基本情况!K4</f>
        <v>王鹏、郑燚</v>
      </c>
    </row>
    <row r="47" spans="1:9">
      <c r="A47" s="1640"/>
      <c r="B47" s="1640"/>
    </row>
    <row r="48" spans="1:9">
      <c r="A48" s="1640" t="s">
        <v>1900</v>
      </c>
      <c r="B48" s="1640" t="s">
        <v>2046</v>
      </c>
    </row>
    <row r="49" spans="2:2">
      <c r="B49" s="1640" t="str">
        <f>"康正预评字"&amp;项目基本情况!B2&amp;"号"</f>
        <v>康正预评字2019-1-0366-P01DYGJ2号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41" sqref="F41"/>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7</v>
      </c>
    </row>
    <row r="2" spans="1:31" s="2027" customFormat="1" ht="18" customHeight="1">
      <c r="A2" s="2087" t="s">
        <v>467</v>
      </c>
      <c r="B2" s="2091">
        <f ca="1">C36</f>
        <v>22403</v>
      </c>
      <c r="C2" s="2090"/>
      <c r="D2" s="2090"/>
      <c r="E2" s="2090"/>
      <c r="F2" s="2090"/>
      <c r="G2" s="2090"/>
      <c r="H2" s="2090"/>
      <c r="I2" s="2090"/>
      <c r="J2" s="2090"/>
      <c r="K2" s="2090"/>
    </row>
    <row r="3" spans="1:31" s="2027" customFormat="1" ht="18" customHeight="1">
      <c r="A3" s="2092" t="s">
        <v>1683</v>
      </c>
      <c r="B3" s="2093">
        <f ca="1">ROUND(B2*10000/IF(B1="",'数据-汇总表'!E3,INDIRECT("'数据-取费表'!K"&amp;$K$1)),0)</f>
        <v>3674</v>
      </c>
      <c r="C3" s="2090"/>
      <c r="D3" s="2090"/>
      <c r="E3" s="2090"/>
      <c r="F3" s="2090"/>
      <c r="G3" s="2090"/>
      <c r="H3" s="2090"/>
      <c r="I3" s="2090"/>
      <c r="J3" s="2090"/>
      <c r="K3" s="2090"/>
    </row>
    <row r="4" spans="1:31" s="2027" customFormat="1" ht="18" customHeight="1">
      <c r="A4" s="426" t="s">
        <v>468</v>
      </c>
      <c r="B4" s="427">
        <f ca="1">ROUND(B2*10000/IF(B1="",'数据-汇总表'!D3,INDIRECT("'数据-取费表'!R"&amp;$K$1)),0)</f>
        <v>5511</v>
      </c>
      <c r="C4" s="428"/>
      <c r="D4" s="422"/>
      <c r="E4" s="422"/>
      <c r="F4" s="422"/>
      <c r="G4" s="422"/>
      <c r="H4" s="422"/>
      <c r="I4" s="422"/>
      <c r="J4" s="422"/>
      <c r="K4" s="422"/>
    </row>
    <row r="5" spans="1:31" s="2027" customFormat="1" ht="18" customHeight="1" thickBot="1">
      <c r="A5" s="429"/>
      <c r="B5" s="430">
        <f ca="1">ROUND(B2/(IF(B1="",'数据-汇总表'!D3,INDIRECT("'数据-取费表'!R"&amp;$K$1))/666.67),0)</f>
        <v>367</v>
      </c>
      <c r="C5" s="431" t="s">
        <v>469</v>
      </c>
      <c r="D5" s="422"/>
      <c r="E5" s="422"/>
      <c r="F5" s="422"/>
      <c r="G5" s="422"/>
      <c r="H5" s="422"/>
      <c r="I5" s="422"/>
      <c r="J5" s="422"/>
      <c r="K5" s="422"/>
    </row>
    <row r="6" spans="1:31" s="2097" customFormat="1" ht="16.5" customHeight="1">
      <c r="A6" s="2784" t="s">
        <v>1841</v>
      </c>
      <c r="B6" s="2785"/>
      <c r="C6" s="2786">
        <f ca="1">SUM(C10:K10)</f>
        <v>51892</v>
      </c>
      <c r="D6" s="2785"/>
      <c r="E6" s="2785"/>
      <c r="F6" s="2785"/>
      <c r="G6" s="2785"/>
      <c r="H6" s="2785"/>
      <c r="I6" s="2785"/>
      <c r="J6" s="2785"/>
      <c r="K6" s="2787"/>
    </row>
    <row r="7" spans="1:31" s="2099" customFormat="1" ht="15">
      <c r="A7" s="2788" t="s">
        <v>470</v>
      </c>
      <c r="B7" s="2789" t="s">
        <v>471</v>
      </c>
      <c r="C7" s="436" t="s">
        <v>3003</v>
      </c>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1844</v>
      </c>
      <c r="B8" s="261" t="s">
        <v>472</v>
      </c>
      <c r="C8" s="2790">
        <f ca="1">不动产收益法!B3</f>
        <v>8510</v>
      </c>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1845</v>
      </c>
      <c r="B9" s="261" t="s">
        <v>473</v>
      </c>
      <c r="C9" s="441">
        <f>SUMIF('数据-汇总表'!$C19:$C33,'剩余法-待开发'!C7,'数据-汇总表'!$E19:$E33)</f>
        <v>60978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1846</v>
      </c>
      <c r="B10" s="2778" t="s">
        <v>474</v>
      </c>
      <c r="C10" s="2982">
        <f ca="1">不动产收益法!B2</f>
        <v>51892</v>
      </c>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1842</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1847</v>
      </c>
      <c r="B13" s="2799" t="s">
        <v>479</v>
      </c>
      <c r="C13" s="450">
        <f ca="1">IF(B1="",'数据-取费表'!P16,INDIRECT("'数据-取费表'!p"&amp;$K$1)+INDIRECT("'数据-取费表'!t"&amp;$K$1))</f>
        <v>14635</v>
      </c>
      <c r="D13" s="2800"/>
      <c r="E13" s="2801"/>
      <c r="F13" s="2802"/>
      <c r="G13" s="2768"/>
      <c r="H13" s="2769"/>
      <c r="I13" s="2769"/>
      <c r="J13" s="2769"/>
      <c r="K13" s="2770"/>
    </row>
    <row r="14" spans="1:31" s="2102" customFormat="1" ht="13.5" customHeight="1">
      <c r="A14" s="2798" t="s">
        <v>1848</v>
      </c>
      <c r="B14" s="2799" t="s">
        <v>480</v>
      </c>
      <c r="C14" s="53">
        <f ca="1">ROUND(C13*F14,0)</f>
        <v>439</v>
      </c>
      <c r="D14" s="2800"/>
      <c r="E14" s="2801"/>
      <c r="F14" s="2803">
        <f>'数据-取费表'!B33</f>
        <v>0.03</v>
      </c>
      <c r="G14" s="2768" t="s">
        <v>481</v>
      </c>
      <c r="H14" s="2769"/>
      <c r="I14" s="2769"/>
      <c r="J14" s="2769"/>
      <c r="K14" s="2770"/>
    </row>
    <row r="15" spans="1:31" s="2102" customFormat="1" ht="13.5" customHeight="1">
      <c r="A15" s="2798" t="s">
        <v>1849</v>
      </c>
      <c r="B15" s="2799" t="s">
        <v>482</v>
      </c>
      <c r="C15" s="53">
        <f ca="1">ROUND(IF(B1="",SUMIF('数据-取费表'!C:C,"住宅",'数据-取费表'!P:P)*F15,IF(INDIRECT("'数据-取费表'!c"&amp;$K$1)="住宅",INDIRECT("'数据-取费表'!P"&amp;$K$1)*F15,0)),0)</f>
        <v>0</v>
      </c>
      <c r="D15" s="2800"/>
      <c r="E15" s="2801"/>
      <c r="F15" s="2803">
        <f>'数据-取费表'!B34</f>
        <v>0.05</v>
      </c>
      <c r="G15" s="2768" t="s">
        <v>483</v>
      </c>
      <c r="H15" s="2769"/>
      <c r="I15" s="2769"/>
      <c r="J15" s="2769"/>
      <c r="K15" s="2770"/>
    </row>
    <row r="16" spans="1:31" s="2103" customFormat="1" ht="13.5" customHeight="1">
      <c r="A16" s="2798" t="s">
        <v>1850</v>
      </c>
      <c r="B16" s="2799" t="s">
        <v>484</v>
      </c>
      <c r="C16" s="53">
        <f ca="1">ROUND(D16*E16/10000,0)</f>
        <v>1220</v>
      </c>
      <c r="D16" s="2800">
        <f ca="1">IF(B1="",'数据-汇总表'!E3,INDIRECT("'数据-取费表'!K"&amp;$K$1)+INDIRECT("'数据-取费表'!S"&amp;$K$1))</f>
        <v>60978</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1851</v>
      </c>
      <c r="B17" s="2799" t="s">
        <v>485</v>
      </c>
      <c r="C17" s="2804">
        <f ca="1">ROUND(C13*F17,0)</f>
        <v>220</v>
      </c>
      <c r="D17" s="475"/>
      <c r="E17" s="2804"/>
      <c r="F17" s="2805">
        <f>'数据-取费表'!B36</f>
        <v>1.4999999999999999E-2</v>
      </c>
      <c r="G17" s="261" t="s">
        <v>486</v>
      </c>
      <c r="H17" s="2771"/>
      <c r="I17" s="2771"/>
      <c r="J17" s="2771"/>
      <c r="K17" s="279"/>
    </row>
    <row r="18" spans="1:14" s="2102" customFormat="1" ht="13.5" customHeight="1">
      <c r="A18" s="2806" t="s">
        <v>1852</v>
      </c>
      <c r="B18" s="2807" t="s">
        <v>487</v>
      </c>
      <c r="C18" s="2808">
        <f ca="1">SUM(C13:C17)</f>
        <v>16514</v>
      </c>
      <c r="D18" s="2809"/>
      <c r="E18" s="468"/>
      <c r="F18" s="468"/>
      <c r="G18" s="2772" t="s">
        <v>2427</v>
      </c>
      <c r="H18" s="2773"/>
      <c r="I18" s="2773"/>
      <c r="J18" s="2773"/>
      <c r="K18" s="2774"/>
    </row>
    <row r="19" spans="1:14" s="2102" customFormat="1" ht="13.5" customHeight="1">
      <c r="A19" s="2806" t="s">
        <v>1853</v>
      </c>
      <c r="B19" s="2807" t="s">
        <v>488</v>
      </c>
      <c r="C19" s="2764">
        <f ca="1">ROUND(D19*E19/10000,0)</f>
        <v>305</v>
      </c>
      <c r="D19" s="2810">
        <f ca="1">D16</f>
        <v>60978</v>
      </c>
      <c r="E19" s="2764">
        <f>'数据-取费表'!B32</f>
        <v>50</v>
      </c>
      <c r="F19" s="468"/>
      <c r="G19" s="2768" t="s">
        <v>489</v>
      </c>
      <c r="H19" s="2769"/>
      <c r="I19" s="2773"/>
      <c r="J19" s="2773"/>
      <c r="K19" s="2774"/>
    </row>
    <row r="20" spans="1:14" s="2102" customFormat="1" ht="13.5" customHeight="1">
      <c r="A20" s="2806" t="s">
        <v>1854</v>
      </c>
      <c r="B20" s="2807" t="s">
        <v>490</v>
      </c>
      <c r="C20" s="2764">
        <f ca="1">C21+C22-IF(B1="",'数据-取费表'!B29,IF(G20="已全部缴纳",C21+C22,H20))</f>
        <v>244</v>
      </c>
      <c r="D20" s="2810"/>
      <c r="E20" s="2764"/>
      <c r="F20" s="2811"/>
      <c r="G20" s="3041"/>
      <c r="H20" s="2766"/>
      <c r="I20" s="2767" t="s">
        <v>2647</v>
      </c>
      <c r="J20" s="2773"/>
      <c r="K20" s="2774"/>
    </row>
    <row r="21" spans="1:14" s="2102" customFormat="1" ht="13.5" customHeight="1">
      <c r="A21" s="2798" t="s">
        <v>1855</v>
      </c>
      <c r="B21" s="2799" t="s">
        <v>491</v>
      </c>
      <c r="C21" s="53">
        <f ca="1">ROUND(D21*E21/10000,0)</f>
        <v>0</v>
      </c>
      <c r="D21" s="2800">
        <f ca="1">IF(B1="",'数据-汇总表'!E5,IF(INDIRECT("'数据-取费表'!c"&amp;$K$1)="住宅",INDIRECT("'数据-取费表'!k"&amp;$K$1),0))</f>
        <v>0</v>
      </c>
      <c r="E21" s="53">
        <f>'数据-取费表'!B27</f>
        <v>40</v>
      </c>
      <c r="F21" s="2803"/>
      <c r="G21" s="26"/>
      <c r="H21" s="51"/>
      <c r="I21" s="51"/>
      <c r="J21" s="51"/>
      <c r="K21" s="2775"/>
    </row>
    <row r="22" spans="1:14" s="2102" customFormat="1" ht="13.5" customHeight="1">
      <c r="A22" s="2798" t="s">
        <v>1856</v>
      </c>
      <c r="B22" s="2799" t="s">
        <v>492</v>
      </c>
      <c r="C22" s="53">
        <f ca="1">ROUND(D22*E22/10000,0)</f>
        <v>244</v>
      </c>
      <c r="D22" s="2800">
        <f ca="1">IF(B1="",'数据-汇总表'!E6,IF(INDIRECT("'数据-取费表'!c"&amp;$K$1)="住宅",INDIRECT("'数据-取费表'!s"&amp;$K$1),INDIRECT("'数据-取费表'!k"&amp;$K$1)+INDIRECT("'数据-取费表'!s"&amp;$K$1)))</f>
        <v>60978</v>
      </c>
      <c r="E22" s="53">
        <f>'数据-取费表'!B28</f>
        <v>40</v>
      </c>
      <c r="F22" s="2803"/>
      <c r="G22" s="26"/>
      <c r="H22" s="51"/>
      <c r="I22" s="51"/>
      <c r="J22" s="51"/>
      <c r="K22" s="2775"/>
    </row>
    <row r="23" spans="1:14" s="2102" customFormat="1" ht="13.5" customHeight="1">
      <c r="A23" s="2806" t="s">
        <v>1857</v>
      </c>
      <c r="B23" s="2988" t="s">
        <v>2830</v>
      </c>
      <c r="C23" s="2808">
        <f ca="1">ROUND((C18+C19+C20)*F23,0)</f>
        <v>341</v>
      </c>
      <c r="D23" s="468"/>
      <c r="E23" s="468"/>
      <c r="F23" s="2812">
        <f>'数据-取费表'!B37</f>
        <v>0.02</v>
      </c>
      <c r="G23" s="2768" t="s">
        <v>2428</v>
      </c>
      <c r="H23" s="2769"/>
      <c r="I23" s="2769"/>
      <c r="J23" s="2769"/>
      <c r="K23" s="2770"/>
      <c r="L23" s="2104"/>
      <c r="M23" s="2104"/>
      <c r="N23" s="2104"/>
    </row>
    <row r="24" spans="1:14" s="2102" customFormat="1" ht="13.5" customHeight="1">
      <c r="A24" s="2806" t="s">
        <v>1858</v>
      </c>
      <c r="B24" s="2988" t="s">
        <v>2833</v>
      </c>
      <c r="C24" s="2808">
        <f ca="1">ROUND(C6*F24,0)</f>
        <v>1038</v>
      </c>
      <c r="D24" s="475"/>
      <c r="E24" s="473"/>
      <c r="F24" s="2812">
        <f>'数据-取费表'!B38</f>
        <v>0.02</v>
      </c>
      <c r="G24" s="2777" t="s">
        <v>499</v>
      </c>
      <c r="H24" s="2771"/>
      <c r="I24" s="2771"/>
      <c r="J24" s="2771"/>
      <c r="K24" s="279"/>
      <c r="L24" s="2104"/>
      <c r="M24" s="2104"/>
      <c r="N24" s="2104"/>
    </row>
    <row r="25" spans="1:14" s="2105" customFormat="1" ht="13.5" customHeight="1">
      <c r="A25" s="2806" t="s">
        <v>1859</v>
      </c>
      <c r="B25" s="2988" t="s">
        <v>2831</v>
      </c>
      <c r="C25" s="467">
        <f>ROUND(F25/(1+'数据-取费表'!C42),4)</f>
        <v>2.9000000000000001E-2</v>
      </c>
      <c r="D25" s="462" t="s">
        <v>2825</v>
      </c>
      <c r="E25" s="469"/>
      <c r="F25" s="2812">
        <f>'数据-取费表'!B48+'数据-取费表'!B49</f>
        <v>3.0499999999999999E-2</v>
      </c>
      <c r="G25" s="2776" t="s">
        <v>2287</v>
      </c>
      <c r="H25" s="2769"/>
      <c r="I25" s="2769"/>
      <c r="J25" s="2769"/>
      <c r="K25" s="2770"/>
    </row>
    <row r="26" spans="1:14" s="2104" customFormat="1" ht="13.5" customHeight="1">
      <c r="A26" s="2806" t="s">
        <v>1860</v>
      </c>
      <c r="B26" s="2989" t="s">
        <v>2832</v>
      </c>
      <c r="C26" s="2813">
        <f ca="1">C28</f>
        <v>401</v>
      </c>
      <c r="D26" s="467">
        <f ca="1">C27</f>
        <v>4.48E-2</v>
      </c>
      <c r="E26" s="469" t="s">
        <v>495</v>
      </c>
      <c r="F26" s="471">
        <f ca="1">'数据-取费表'!B40</f>
        <v>4.3499999999999997E-2</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1855</v>
      </c>
      <c r="B27" s="2814" t="s">
        <v>496</v>
      </c>
      <c r="C27" s="2815">
        <f ca="1">ROUND(IF('数据-取费表'!B22&lt;=1,(1+C25)*F26*'数据-取费表'!B24,(1+C25)*(POWER((1+F26),'数据-取费表'!B24)-1)),4)</f>
        <v>4.48E-2</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1856</v>
      </c>
      <c r="B28" s="2814" t="s">
        <v>2834</v>
      </c>
      <c r="C28" s="2816">
        <f ca="1">ROUND(IF('数据-取费表'!B22&lt;=1,(C18+C19+C20+C23+C24)*F26*'数据-取费表'!B24/2,(C18+C19+C20+C23+C24)*(POWER((1+F26),'数据-取费表'!B24/2)-1)),0)</f>
        <v>401</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1861</v>
      </c>
      <c r="B29" s="2807" t="s">
        <v>497</v>
      </c>
      <c r="C29" s="2808">
        <f ca="1">ROUND(C6*F29/(1+'数据-取费表'!C42),0)</f>
        <v>2768</v>
      </c>
      <c r="D29" s="468"/>
      <c r="E29" s="468"/>
      <c r="F29" s="2990">
        <f>'数据-取费表'!B41</f>
        <v>5.6000000000000001E-2</v>
      </c>
      <c r="G29" s="2777" t="s">
        <v>498</v>
      </c>
      <c r="H29" s="2769"/>
      <c r="I29" s="2769"/>
      <c r="J29" s="2769"/>
      <c r="K29" s="2770"/>
    </row>
    <row r="30" spans="1:14" s="2107" customFormat="1" ht="13.5" customHeight="1">
      <c r="A30" s="1621" t="s">
        <v>1862</v>
      </c>
      <c r="B30" s="2818" t="s">
        <v>500</v>
      </c>
      <c r="C30" s="2813">
        <f ca="1">C31</f>
        <v>21611</v>
      </c>
      <c r="D30" s="477">
        <f ca="1">C32</f>
        <v>7.3800000000000004E-2</v>
      </c>
      <c r="E30" s="469" t="s">
        <v>495</v>
      </c>
      <c r="F30" s="471"/>
      <c r="G30" s="2776" t="s">
        <v>2968</v>
      </c>
      <c r="H30" s="2769"/>
      <c r="I30" s="2769"/>
      <c r="J30" s="2769"/>
      <c r="K30" s="2770"/>
    </row>
    <row r="31" spans="1:14" s="2106" customFormat="1" ht="13.5" customHeight="1">
      <c r="A31" s="803" t="s">
        <v>1855</v>
      </c>
      <c r="B31" s="2814"/>
      <c r="C31" s="450">
        <f ca="1">C18+C19+C20+C23+C24+C26+C29</f>
        <v>21611</v>
      </c>
      <c r="D31" s="472"/>
      <c r="E31" s="473"/>
      <c r="F31" s="474"/>
      <c r="G31" s="261"/>
      <c r="H31" s="2771"/>
      <c r="I31" s="2771"/>
      <c r="J31" s="2771"/>
      <c r="K31" s="279"/>
    </row>
    <row r="32" spans="1:14" s="2106" customFormat="1" ht="13.5" customHeight="1">
      <c r="A32" s="803" t="s">
        <v>1856</v>
      </c>
      <c r="B32" s="2814"/>
      <c r="C32" s="53">
        <f ca="1">ROUND(C25+D26,4)</f>
        <v>7.3800000000000004E-2</v>
      </c>
      <c r="D32" s="472"/>
      <c r="E32" s="473"/>
      <c r="F32" s="474"/>
      <c r="G32" s="261"/>
      <c r="H32" s="2771"/>
      <c r="I32" s="2771"/>
      <c r="J32" s="2771"/>
      <c r="K32" s="279"/>
    </row>
    <row r="33" spans="1:11" s="2108" customFormat="1" ht="13.5" customHeight="1">
      <c r="A33" s="2987" t="s">
        <v>2829</v>
      </c>
      <c r="B33" s="2985" t="s">
        <v>2827</v>
      </c>
      <c r="C33" s="478">
        <f ca="1">C35</f>
        <v>2766</v>
      </c>
      <c r="D33" s="467">
        <f ca="1">C34</f>
        <v>0.15440000000000001</v>
      </c>
      <c r="E33" s="469" t="s">
        <v>495</v>
      </c>
      <c r="F33" s="479">
        <f ca="1">IF(B1="",'数据-取费表'!Q16,INDIRECT("'数据-取费表'!q"&amp;$K$1))</f>
        <v>0.15</v>
      </c>
      <c r="G33" s="2772"/>
      <c r="H33" s="2773"/>
      <c r="I33" s="2773"/>
      <c r="J33" s="2773"/>
      <c r="K33" s="2774"/>
    </row>
    <row r="34" spans="1:11" s="2109" customFormat="1" ht="13.5" customHeight="1">
      <c r="A34" s="375" t="s">
        <v>1855</v>
      </c>
      <c r="B34" s="2819" t="s">
        <v>501</v>
      </c>
      <c r="C34" s="472">
        <f ca="1">ROUND((1+C25)*F33,4)</f>
        <v>0.15440000000000001</v>
      </c>
      <c r="D34" s="472"/>
      <c r="E34" s="473"/>
      <c r="F34" s="480"/>
      <c r="G34" s="261" t="s">
        <v>2288</v>
      </c>
      <c r="H34" s="2771"/>
      <c r="I34" s="2771"/>
      <c r="J34" s="2771"/>
      <c r="K34" s="279"/>
    </row>
    <row r="35" spans="1:11" s="2109" customFormat="1" ht="13.5" customHeight="1" thickBot="1">
      <c r="A35" s="1622" t="s">
        <v>1856</v>
      </c>
      <c r="B35" s="2986" t="s">
        <v>2835</v>
      </c>
      <c r="C35" s="1614">
        <f ca="1">ROUND((C18+C19+C20+C23+C24)*F33,0)</f>
        <v>2766</v>
      </c>
      <c r="D35" s="1615"/>
      <c r="E35" s="2820"/>
      <c r="F35" s="1616"/>
      <c r="G35" s="2778"/>
      <c r="H35" s="2779"/>
      <c r="I35" s="2779"/>
      <c r="J35" s="2779"/>
      <c r="K35" s="2780"/>
    </row>
    <row r="36" spans="1:11" s="2071" customFormat="1" ht="13.5" customHeight="1" thickBot="1">
      <c r="A36" s="284" t="s">
        <v>1843</v>
      </c>
      <c r="B36" s="2782"/>
      <c r="C36" s="2821">
        <f ca="1">ROUND((C6-C30-C33)/(1+D30+D33),0)</f>
        <v>22403</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6"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7</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1683</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2648</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1844</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1846</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1863</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1847</v>
      </c>
      <c r="B13" s="449" t="s">
        <v>479</v>
      </c>
      <c r="C13" s="450">
        <f ca="1">IF(B1="",'数据-取费表'!M16,INDIRECT("'数据-取费表'!M"&amp;$K$1)+INDIRECT("'数据-取费表'!t"&amp;$K$1))</f>
        <v>14635</v>
      </c>
      <c r="D13" s="451"/>
      <c r="E13" s="365"/>
      <c r="F13" s="452"/>
      <c r="G13" s="444"/>
      <c r="H13" s="447"/>
      <c r="I13" s="447"/>
      <c r="J13" s="447"/>
      <c r="K13" s="448"/>
    </row>
    <row r="14" spans="1:41" s="2102" customFormat="1" ht="13.5" customHeight="1">
      <c r="A14" s="1619" t="s">
        <v>1848</v>
      </c>
      <c r="B14" s="449" t="s">
        <v>480</v>
      </c>
      <c r="C14" s="53">
        <f ca="1">ROUND(C13*F14,0)</f>
        <v>439</v>
      </c>
      <c r="D14" s="451"/>
      <c r="E14" s="365"/>
      <c r="F14" s="453">
        <f>'数据-取费表'!B33</f>
        <v>0.03</v>
      </c>
      <c r="G14" s="444" t="s">
        <v>502</v>
      </c>
      <c r="H14" s="447"/>
      <c r="I14" s="447"/>
      <c r="J14" s="447"/>
      <c r="K14" s="448"/>
    </row>
    <row r="15" spans="1:41" s="2102" customFormat="1" ht="13.5" customHeight="1">
      <c r="A15" s="1619" t="s">
        <v>1849</v>
      </c>
      <c r="B15" s="449" t="s">
        <v>482</v>
      </c>
      <c r="C15" s="53">
        <f ca="1">ROUND(IF(B1="",SUMIF('数据-取费表'!C:C,"住宅",'数据-取费表'!M:M)*F15,IF(INDIRECT("'数据-取费表'!c"&amp;$K$1)="住宅",INDIRECT("'数据-取费表'!M"&amp;$K$1)*F15,0)),0)</f>
        <v>0</v>
      </c>
      <c r="D15" s="451"/>
      <c r="E15" s="365"/>
      <c r="F15" s="453">
        <f>'数据-取费表'!B34</f>
        <v>0.05</v>
      </c>
      <c r="G15" s="444" t="s">
        <v>502</v>
      </c>
      <c r="H15" s="447"/>
      <c r="I15" s="447"/>
      <c r="J15" s="447"/>
      <c r="K15" s="448"/>
    </row>
    <row r="16" spans="1:41" s="2103" customFormat="1" ht="13.5" customHeight="1">
      <c r="A16" s="1619" t="s">
        <v>1850</v>
      </c>
      <c r="B16" s="449" t="s">
        <v>484</v>
      </c>
      <c r="C16" s="53">
        <f ca="1">ROUND(D16*E16/10000,0)</f>
        <v>1220</v>
      </c>
      <c r="D16" s="451">
        <f ca="1">IF(B1="",'数据-汇总表'!E3,INDIRECT("'数据-取费表'!K"&amp;$K$1)+INDIRECT("'数据-取费表'!S"&amp;$K$1))</f>
        <v>60978</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1851</v>
      </c>
      <c r="B17" s="449" t="s">
        <v>485</v>
      </c>
      <c r="C17" s="454">
        <f ca="1">ROUND(C13*F17,0)</f>
        <v>220</v>
      </c>
      <c r="D17" s="455"/>
      <c r="E17" s="454"/>
      <c r="F17" s="456">
        <f>'数据-取费表'!B36</f>
        <v>1.4999999999999999E-2</v>
      </c>
      <c r="G17" s="444" t="s">
        <v>502</v>
      </c>
      <c r="H17" s="457"/>
      <c r="I17" s="457"/>
      <c r="J17" s="457"/>
      <c r="K17" s="458"/>
    </row>
    <row r="18" spans="1:14" s="2105" customFormat="1" ht="13.5" customHeight="1">
      <c r="A18" s="1620" t="s">
        <v>1852</v>
      </c>
      <c r="B18" s="459" t="s">
        <v>487</v>
      </c>
      <c r="C18" s="460">
        <f ca="1">SUM(C13:C17)</f>
        <v>16514</v>
      </c>
      <c r="D18" s="461"/>
      <c r="E18" s="462"/>
      <c r="F18" s="462"/>
      <c r="G18" s="1323" t="s">
        <v>2429</v>
      </c>
      <c r="H18" s="447"/>
      <c r="I18" s="447"/>
      <c r="J18" s="447"/>
      <c r="K18" s="448"/>
    </row>
    <row r="19" spans="1:14" s="2105" customFormat="1" ht="13.5" customHeight="1">
      <c r="A19" s="1620" t="s">
        <v>1853</v>
      </c>
      <c r="B19" s="459" t="s">
        <v>493</v>
      </c>
      <c r="C19" s="460">
        <f ca="1">ROUND(C18*F19,0)</f>
        <v>330</v>
      </c>
      <c r="D19" s="462"/>
      <c r="E19" s="462"/>
      <c r="F19" s="466">
        <f>'数据-取费表'!B37</f>
        <v>0.02</v>
      </c>
      <c r="G19" s="444" t="s">
        <v>503</v>
      </c>
      <c r="H19" s="447"/>
      <c r="I19" s="447"/>
      <c r="J19" s="447"/>
      <c r="K19" s="448"/>
      <c r="L19" s="2107"/>
      <c r="M19" s="2107"/>
      <c r="N19" s="2107"/>
    </row>
    <row r="20" spans="1:14" s="2105" customFormat="1" ht="13.5" customHeight="1">
      <c r="A20" s="1620" t="s">
        <v>1854</v>
      </c>
      <c r="B20" s="459" t="s">
        <v>504</v>
      </c>
      <c r="C20" s="2983">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1857</v>
      </c>
      <c r="B21" s="461" t="s">
        <v>494</v>
      </c>
      <c r="C21" s="470">
        <f ca="1">C22</f>
        <v>366</v>
      </c>
      <c r="D21" s="467">
        <f ca="1">C23</f>
        <v>4.0000000000000002E-4</v>
      </c>
      <c r="E21" s="469" t="s">
        <v>507</v>
      </c>
      <c r="F21" s="471">
        <f ca="1">'数据-取费表'!B40</f>
        <v>4.3499999999999997E-2</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1847</v>
      </c>
      <c r="B22" s="1324" t="s">
        <v>2432</v>
      </c>
      <c r="C22" s="487">
        <f ca="1">ROUND(IF('数据-取费表'!B22&lt;=1,(C18+C19)*F21*'数据-取费表'!B20/2,(C18+C19)*(POWER((1+F21),'数据-取费表'!B20/2)-1)),0)</f>
        <v>366</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1848</v>
      </c>
      <c r="B23" s="1324" t="s">
        <v>508</v>
      </c>
      <c r="C23" s="488">
        <f ca="1">ROUND(IF('数据-取费表'!B22&lt;=1,F20*F21*'数据-取费表'!B20/2,F20*(POWER((1+F21),'数据-取费表'!B20/2)-1)),4)</f>
        <v>4.0000000000000002E-4</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1858</v>
      </c>
      <c r="B24" s="2985" t="s">
        <v>2828</v>
      </c>
      <c r="C24" s="478">
        <f ca="1">C25</f>
        <v>2527</v>
      </c>
      <c r="D24" s="489">
        <f ca="1">C26</f>
        <v>3.0000000000000001E-3</v>
      </c>
      <c r="E24" s="469" t="s">
        <v>507</v>
      </c>
      <c r="F24" s="479">
        <f ca="1">IF(B1="",'数据-取费表'!Q16,INDIRECT("'数据-取费表'!q"&amp;$K$1))</f>
        <v>0.15</v>
      </c>
      <c r="G24" s="444"/>
      <c r="H24" s="447"/>
      <c r="I24" s="447"/>
      <c r="J24" s="447"/>
      <c r="K24" s="448"/>
    </row>
    <row r="25" spans="1:14" s="2106" customFormat="1" ht="13.5" customHeight="1">
      <c r="A25" s="1619" t="s">
        <v>1847</v>
      </c>
      <c r="B25" s="1324" t="s">
        <v>2433</v>
      </c>
      <c r="C25" s="490">
        <f ca="1">ROUND((C18+C19)*F24,0)</f>
        <v>2527</v>
      </c>
      <c r="D25" s="472"/>
      <c r="E25" s="473"/>
      <c r="F25" s="480"/>
      <c r="G25" s="1322" t="s">
        <v>2430</v>
      </c>
      <c r="H25" s="457"/>
      <c r="I25" s="457"/>
      <c r="J25" s="457"/>
      <c r="K25" s="458"/>
    </row>
    <row r="26" spans="1:14" s="2106" customFormat="1" ht="13.5" customHeight="1">
      <c r="A26" s="1619" t="s">
        <v>1848</v>
      </c>
      <c r="B26" s="1324" t="s">
        <v>509</v>
      </c>
      <c r="C26" s="491">
        <f ca="1">ROUND(F20*F24,4)</f>
        <v>3.0000000000000001E-3</v>
      </c>
      <c r="D26" s="472"/>
      <c r="E26" s="481"/>
      <c r="F26" s="480"/>
      <c r="G26" s="1322" t="s">
        <v>510</v>
      </c>
      <c r="H26" s="457"/>
      <c r="I26" s="457"/>
      <c r="J26" s="457"/>
      <c r="K26" s="458"/>
    </row>
    <row r="27" spans="1:14" s="2106" customFormat="1" ht="13.5" customHeight="1">
      <c r="A27" s="1623" t="s">
        <v>1866</v>
      </c>
      <c r="B27" s="459" t="s">
        <v>511</v>
      </c>
      <c r="C27" s="2984">
        <f>ROUND(F27/(1+'数据-取费表'!C42),4)</f>
        <v>5.33E-2</v>
      </c>
      <c r="D27" s="462" t="s">
        <v>2826</v>
      </c>
      <c r="E27" s="462"/>
      <c r="F27" s="466">
        <f>'数据-取费表'!B41</f>
        <v>5.6000000000000001E-2</v>
      </c>
      <c r="G27" s="1946" t="s">
        <v>2289</v>
      </c>
      <c r="H27" s="447"/>
      <c r="I27" s="447"/>
      <c r="J27" s="447"/>
      <c r="K27" s="448"/>
    </row>
    <row r="28" spans="1:14" s="2107" customFormat="1" ht="13.5" customHeight="1">
      <c r="A28" s="1623" t="s">
        <v>1867</v>
      </c>
      <c r="B28" s="476" t="s">
        <v>512</v>
      </c>
      <c r="C28" s="470">
        <f ca="1">ROUND((C18+C19+C21+C24)/(1-C20-D21-D24-C27),0)</f>
        <v>21377</v>
      </c>
      <c r="D28" s="477"/>
      <c r="E28" s="469"/>
      <c r="F28" s="471"/>
      <c r="G28" s="1323" t="s">
        <v>2431</v>
      </c>
      <c r="H28" s="447"/>
      <c r="I28" s="447"/>
      <c r="J28" s="447"/>
      <c r="K28" s="448"/>
    </row>
    <row r="29" spans="1:14" s="2107" customFormat="1" ht="13.5" customHeight="1">
      <c r="A29" s="1623" t="s">
        <v>1868</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1864</v>
      </c>
      <c r="B31" s="1326"/>
      <c r="C31" s="500">
        <f>ROUND(C6*F31/(1+'数据-取费表'!C42),0)</f>
        <v>0</v>
      </c>
      <c r="D31" s="1327"/>
      <c r="E31" s="1327"/>
      <c r="F31" s="501">
        <f>'数据-取费表'!B41</f>
        <v>5.6000000000000001E-2</v>
      </c>
      <c r="G31" s="1328"/>
      <c r="H31" s="1328"/>
      <c r="I31" s="1328"/>
      <c r="J31" s="1329"/>
      <c r="K31" s="1330"/>
    </row>
    <row r="32" spans="1:14" s="2071"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8" t="s">
        <v>2969</v>
      </c>
      <c r="H32" s="483"/>
      <c r="I32" s="483"/>
      <c r="J32" s="483"/>
      <c r="K32" s="485"/>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7" zoomScale="89" zoomScaleNormal="89" workbookViewId="0">
      <selection activeCell="D43" sqref="D43"/>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1684</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93" t="s">
        <v>522</v>
      </c>
      <c r="D6" s="3394"/>
      <c r="E6" s="3437" t="s">
        <v>523</v>
      </c>
      <c r="F6" s="3438"/>
      <c r="G6" s="3393" t="s">
        <v>524</v>
      </c>
      <c r="H6" s="3394"/>
      <c r="I6" s="3393" t="s">
        <v>525</v>
      </c>
      <c r="J6" s="3394"/>
      <c r="K6" s="514" t="s">
        <v>526</v>
      </c>
      <c r="L6" s="2119"/>
      <c r="M6" s="2120"/>
      <c r="N6" s="2120"/>
      <c r="O6" s="2120"/>
      <c r="P6" s="3395" t="s">
        <v>527</v>
      </c>
      <c r="Q6" s="3396"/>
      <c r="R6" s="3401" t="s">
        <v>523</v>
      </c>
      <c r="S6" s="3402"/>
      <c r="T6" s="3401" t="s">
        <v>524</v>
      </c>
      <c r="U6" s="3402"/>
      <c r="V6" s="3414" t="s">
        <v>525</v>
      </c>
      <c r="W6" s="3414"/>
      <c r="X6" s="1554"/>
      <c r="Y6" s="3401" t="s">
        <v>527</v>
      </c>
      <c r="Z6" s="3402"/>
      <c r="AA6" s="3390" t="s">
        <v>523</v>
      </c>
      <c r="AB6" s="3391" t="s">
        <v>524</v>
      </c>
      <c r="AC6" s="3390" t="s">
        <v>525</v>
      </c>
    </row>
    <row r="7" spans="1:29" ht="15">
      <c r="A7" s="515"/>
      <c r="B7" s="516"/>
      <c r="C7" s="3405" t="s">
        <v>2925</v>
      </c>
      <c r="D7" s="3406"/>
      <c r="E7" s="3439" t="s">
        <v>2926</v>
      </c>
      <c r="F7" s="3440"/>
      <c r="G7" s="3405" t="s">
        <v>2927</v>
      </c>
      <c r="H7" s="3406"/>
      <c r="I7" s="3405" t="s">
        <v>2928</v>
      </c>
      <c r="J7" s="3406"/>
      <c r="K7" s="514"/>
      <c r="L7" s="2119"/>
      <c r="M7" s="2120"/>
      <c r="N7" s="2120"/>
      <c r="O7" s="2120"/>
      <c r="P7" s="3397"/>
      <c r="Q7" s="3398"/>
      <c r="R7" s="3403"/>
      <c r="S7" s="3404"/>
      <c r="T7" s="3403"/>
      <c r="U7" s="3404"/>
      <c r="V7" s="3414"/>
      <c r="W7" s="3414"/>
      <c r="X7" s="1554"/>
      <c r="Y7" s="3403"/>
      <c r="Z7" s="3404"/>
      <c r="AA7" s="3391"/>
      <c r="AB7" s="3391"/>
      <c r="AC7" s="3391"/>
    </row>
    <row r="8" spans="1:29" ht="15.75" thickBot="1">
      <c r="A8" s="517"/>
      <c r="B8" s="518"/>
      <c r="C8" s="3410" t="s">
        <v>2929</v>
      </c>
      <c r="D8" s="3411"/>
      <c r="E8" s="3441" t="s">
        <v>2929</v>
      </c>
      <c r="F8" s="3442"/>
      <c r="G8" s="3410" t="s">
        <v>2929</v>
      </c>
      <c r="H8" s="3411"/>
      <c r="I8" s="3410" t="s">
        <v>2929</v>
      </c>
      <c r="J8" s="3411"/>
      <c r="K8" s="514" t="s">
        <v>528</v>
      </c>
      <c r="L8" s="2119"/>
      <c r="M8" s="2120"/>
      <c r="N8" s="2120"/>
      <c r="O8" s="2120"/>
      <c r="P8" s="3399"/>
      <c r="Q8" s="3400"/>
      <c r="R8" s="3403"/>
      <c r="S8" s="3404"/>
      <c r="T8" s="3412"/>
      <c r="U8" s="3413"/>
      <c r="V8" s="3414"/>
      <c r="W8" s="3414"/>
      <c r="X8" s="1554"/>
      <c r="Y8" s="3412"/>
      <c r="Z8" s="3413"/>
      <c r="AA8" s="3392"/>
      <c r="AB8" s="3392"/>
      <c r="AC8" s="3392"/>
    </row>
    <row r="9" spans="1:29" s="1216" customFormat="1" ht="15.75" thickBot="1">
      <c r="A9" s="2868"/>
      <c r="B9" s="2875" t="s">
        <v>529</v>
      </c>
      <c r="C9" s="519">
        <f>'数据-取费表'!B2</f>
        <v>43607</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15" t="s">
        <v>530</v>
      </c>
      <c r="Q9" s="3416"/>
      <c r="R9" s="1555" t="s">
        <v>8</v>
      </c>
      <c r="S9" s="1556">
        <f t="shared" ref="S9:S17" si="0">F9</f>
        <v>0</v>
      </c>
      <c r="T9" s="1555" t="s">
        <v>8</v>
      </c>
      <c r="U9" s="1556">
        <f t="shared" ref="U9:U17" si="1">H9</f>
        <v>0</v>
      </c>
      <c r="V9" s="1555" t="s">
        <v>8</v>
      </c>
      <c r="W9" s="1556">
        <f t="shared" ref="W9:W17" si="2">J9</f>
        <v>0</v>
      </c>
      <c r="X9" s="1557"/>
      <c r="Y9" s="3415" t="s">
        <v>530</v>
      </c>
      <c r="Z9" s="341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15" t="s">
        <v>533</v>
      </c>
      <c r="Q10" s="3417"/>
      <c r="R10" s="1555" t="s">
        <v>8</v>
      </c>
      <c r="S10" s="1556">
        <f t="shared" si="0"/>
        <v>0</v>
      </c>
      <c r="T10" s="1555" t="s">
        <v>8</v>
      </c>
      <c r="U10" s="1556">
        <f t="shared" si="1"/>
        <v>0</v>
      </c>
      <c r="V10" s="1555" t="s">
        <v>8</v>
      </c>
      <c r="W10" s="1556">
        <f t="shared" si="2"/>
        <v>0</v>
      </c>
      <c r="X10" s="1557"/>
      <c r="Y10" s="3415" t="s">
        <v>533</v>
      </c>
      <c r="Z10" s="3417"/>
      <c r="AA10" s="1558" t="e">
        <f t="shared" ref="AA10:AA42" si="3">D10/F10</f>
        <v>#DIV/0!</v>
      </c>
      <c r="AB10" s="1558" t="e">
        <f t="shared" ref="AB10:AB42" si="4">D10/H10</f>
        <v>#DIV/0!</v>
      </c>
      <c r="AC10" s="1558" t="e">
        <f t="shared" ref="AC10:AC42" si="5">D10/J10</f>
        <v>#DIV/0!</v>
      </c>
    </row>
    <row r="11" spans="1:29" s="1216" customFormat="1" ht="15">
      <c r="A11" s="2870"/>
      <c r="B11" s="2877" t="s">
        <v>2752</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8" t="s">
        <v>535</v>
      </c>
      <c r="Q11" s="1147" t="str">
        <f t="shared" ref="Q11:Q17" si="6">B11</f>
        <v>用途</v>
      </c>
      <c r="R11" s="1555" t="s">
        <v>8</v>
      </c>
      <c r="S11" s="1556">
        <f t="shared" si="0"/>
        <v>100</v>
      </c>
      <c r="T11" s="1555" t="s">
        <v>8</v>
      </c>
      <c r="U11" s="1556">
        <f t="shared" si="1"/>
        <v>100</v>
      </c>
      <c r="V11" s="1555" t="s">
        <v>8</v>
      </c>
      <c r="W11" s="1556">
        <f t="shared" si="2"/>
        <v>100</v>
      </c>
      <c r="X11" s="1557"/>
      <c r="Y11" s="3363" t="s">
        <v>536</v>
      </c>
      <c r="Z11" s="1146" t="str">
        <f t="shared" ref="Z11:Z17" si="7">Q11</f>
        <v>用途</v>
      </c>
      <c r="AA11" s="1558">
        <f t="shared" si="3"/>
        <v>1</v>
      </c>
      <c r="AB11" s="1558">
        <f t="shared" si="4"/>
        <v>1</v>
      </c>
      <c r="AC11" s="1558">
        <f t="shared" si="5"/>
        <v>1</v>
      </c>
    </row>
    <row r="12" spans="1:29" s="1334" customFormat="1" ht="27">
      <c r="A12" s="2871"/>
      <c r="B12" s="2876" t="s">
        <v>2753</v>
      </c>
      <c r="C12" s="528"/>
      <c r="D12" s="255">
        <v>100</v>
      </c>
      <c r="E12" s="528"/>
      <c r="F12" s="255">
        <f>ROUND(100/'数据-取费表'!G16,0)</f>
        <v>106</v>
      </c>
      <c r="G12" s="528"/>
      <c r="H12" s="255">
        <f>ROUND(100/'数据-取费表'!G16,0)</f>
        <v>106</v>
      </c>
      <c r="I12" s="528"/>
      <c r="J12" s="255">
        <f>ROUND(100/'数据-取费表'!G16,0)</f>
        <v>106</v>
      </c>
      <c r="K12" s="531"/>
      <c r="L12" s="2124"/>
      <c r="M12" s="2164"/>
      <c r="N12" s="2164"/>
      <c r="O12" s="2125"/>
      <c r="P12" s="3418"/>
      <c r="Q12" s="1147" t="str">
        <f t="shared" si="6"/>
        <v>土地使用年限（年）</v>
      </c>
      <c r="R12" s="1555" t="s">
        <v>8</v>
      </c>
      <c r="S12" s="1556">
        <f t="shared" si="0"/>
        <v>106</v>
      </c>
      <c r="T12" s="1555" t="s">
        <v>8</v>
      </c>
      <c r="U12" s="1556">
        <f t="shared" si="1"/>
        <v>106</v>
      </c>
      <c r="V12" s="1555" t="s">
        <v>8</v>
      </c>
      <c r="W12" s="1556">
        <f t="shared" si="2"/>
        <v>106</v>
      </c>
      <c r="X12" s="1557"/>
      <c r="Y12" s="3363"/>
      <c r="Z12" s="1146" t="str">
        <f t="shared" si="7"/>
        <v>土地使用年限（年）</v>
      </c>
      <c r="AA12" s="1558">
        <f t="shared" si="3"/>
        <v>0.94339622641509435</v>
      </c>
      <c r="AB12" s="1558">
        <f t="shared" si="4"/>
        <v>0.94339622641509435</v>
      </c>
      <c r="AC12" s="1558">
        <f t="shared" si="5"/>
        <v>0.94339622641509435</v>
      </c>
    </row>
    <row r="13" spans="1:29" ht="15">
      <c r="A13" s="2872"/>
      <c r="B13" s="2876" t="s">
        <v>2754</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8"/>
      <c r="Q13" s="1147" t="str">
        <f t="shared" si="6"/>
        <v>容积率</v>
      </c>
      <c r="R13" s="1555" t="s">
        <v>8</v>
      </c>
      <c r="S13" s="1556" t="e">
        <f t="shared" si="0"/>
        <v>#N/A</v>
      </c>
      <c r="T13" s="1555" t="s">
        <v>8</v>
      </c>
      <c r="U13" s="1556" t="e">
        <f t="shared" si="1"/>
        <v>#N/A</v>
      </c>
      <c r="V13" s="1555" t="s">
        <v>8</v>
      </c>
      <c r="W13" s="1556" t="e">
        <f t="shared" si="2"/>
        <v>#N/A</v>
      </c>
      <c r="X13" s="1557"/>
      <c r="Y13" s="3363"/>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8"/>
      <c r="Q14" s="1147">
        <f t="shared" si="6"/>
        <v>111</v>
      </c>
      <c r="R14" s="1555" t="s">
        <v>8</v>
      </c>
      <c r="S14" s="1556">
        <f t="shared" si="0"/>
        <v>100</v>
      </c>
      <c r="T14" s="1555" t="s">
        <v>8</v>
      </c>
      <c r="U14" s="1556">
        <f t="shared" si="1"/>
        <v>100</v>
      </c>
      <c r="V14" s="1555" t="s">
        <v>8</v>
      </c>
      <c r="W14" s="1556">
        <f t="shared" si="2"/>
        <v>100</v>
      </c>
      <c r="X14" s="1557"/>
      <c r="Y14" s="3363"/>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8"/>
      <c r="Q15" s="1147">
        <f t="shared" si="6"/>
        <v>111</v>
      </c>
      <c r="R15" s="1555" t="s">
        <v>8</v>
      </c>
      <c r="S15" s="1556">
        <f t="shared" si="0"/>
        <v>100</v>
      </c>
      <c r="T15" s="1555" t="s">
        <v>8</v>
      </c>
      <c r="U15" s="1556">
        <f t="shared" si="1"/>
        <v>100</v>
      </c>
      <c r="V15" s="1555" t="s">
        <v>8</v>
      </c>
      <c r="W15" s="1556">
        <f t="shared" si="2"/>
        <v>100</v>
      </c>
      <c r="X15" s="1557"/>
      <c r="Y15" s="3363"/>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8"/>
      <c r="Q16" s="1147">
        <f t="shared" si="6"/>
        <v>111</v>
      </c>
      <c r="R16" s="1555" t="s">
        <v>8</v>
      </c>
      <c r="S16" s="1556">
        <f t="shared" si="0"/>
        <v>100</v>
      </c>
      <c r="T16" s="1555" t="s">
        <v>8</v>
      </c>
      <c r="U16" s="1556">
        <f t="shared" si="1"/>
        <v>100</v>
      </c>
      <c r="V16" s="1555" t="s">
        <v>8</v>
      </c>
      <c r="W16" s="1556">
        <f t="shared" si="2"/>
        <v>100</v>
      </c>
      <c r="X16" s="1557"/>
      <c r="Y16" s="3363"/>
      <c r="Z16" s="1146">
        <f t="shared" si="7"/>
        <v>111</v>
      </c>
      <c r="AA16" s="1558">
        <f t="shared" si="3"/>
        <v>1</v>
      </c>
      <c r="AB16" s="1558">
        <f t="shared" si="4"/>
        <v>1</v>
      </c>
      <c r="AC16" s="1558">
        <f t="shared" si="5"/>
        <v>1</v>
      </c>
    </row>
    <row r="17" spans="1:29" ht="57">
      <c r="A17" s="2866" t="s">
        <v>2750</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19" t="s">
        <v>540</v>
      </c>
      <c r="Q17" s="1559" t="str">
        <f t="shared" si="6"/>
        <v>产业集聚程度</v>
      </c>
      <c r="R17" s="1560" t="s">
        <v>8</v>
      </c>
      <c r="S17" s="1561">
        <f t="shared" si="0"/>
        <v>100</v>
      </c>
      <c r="T17" s="1560" t="s">
        <v>8</v>
      </c>
      <c r="U17" s="1561">
        <f t="shared" si="1"/>
        <v>100</v>
      </c>
      <c r="V17" s="1560" t="s">
        <v>8</v>
      </c>
      <c r="W17" s="1561">
        <f t="shared" si="2"/>
        <v>100</v>
      </c>
      <c r="X17" s="1554"/>
      <c r="Y17" s="341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20"/>
      <c r="Q18" s="1559"/>
      <c r="R18" s="1560"/>
      <c r="S18" s="1561"/>
      <c r="T18" s="1560"/>
      <c r="U18" s="1561"/>
      <c r="V18" s="1560"/>
      <c r="W18" s="1561"/>
      <c r="X18" s="1554"/>
      <c r="Y18" s="342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20"/>
      <c r="Q19" s="1559" t="str">
        <f>B19</f>
        <v>交通便捷度</v>
      </c>
      <c r="R19" s="1560" t="s">
        <v>8</v>
      </c>
      <c r="S19" s="1561">
        <f>F19</f>
        <v>100</v>
      </c>
      <c r="T19" s="1560" t="s">
        <v>8</v>
      </c>
      <c r="U19" s="1561">
        <f>H19</f>
        <v>100</v>
      </c>
      <c r="V19" s="1560" t="s">
        <v>8</v>
      </c>
      <c r="W19" s="1561">
        <f>J19</f>
        <v>100</v>
      </c>
      <c r="X19" s="1554"/>
      <c r="Y19" s="342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20"/>
      <c r="Q21" s="1559" t="str">
        <f t="shared" ref="Q21:Q35" si="8">B21</f>
        <v>区域土地利用方向</v>
      </c>
      <c r="R21" s="1560" t="s">
        <v>8</v>
      </c>
      <c r="S21" s="1561">
        <f>F21</f>
        <v>100</v>
      </c>
      <c r="T21" s="1560" t="s">
        <v>8</v>
      </c>
      <c r="U21" s="1561">
        <f>H21</f>
        <v>100</v>
      </c>
      <c r="V21" s="1560" t="s">
        <v>8</v>
      </c>
      <c r="W21" s="1561">
        <f>J21</f>
        <v>100</v>
      </c>
      <c r="X21" s="1554"/>
      <c r="Y21" s="342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20"/>
      <c r="Q22" s="1559"/>
      <c r="R22" s="1560"/>
      <c r="S22" s="1561"/>
      <c r="T22" s="1560"/>
      <c r="U22" s="1561"/>
      <c r="V22" s="1560"/>
      <c r="W22" s="1561"/>
      <c r="X22" s="1554"/>
      <c r="Y22" s="342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20"/>
      <c r="Q23" s="1559" t="str">
        <f t="shared" si="8"/>
        <v>环境状况</v>
      </c>
      <c r="R23" s="1560" t="s">
        <v>8</v>
      </c>
      <c r="S23" s="1561">
        <f>F23</f>
        <v>100</v>
      </c>
      <c r="T23" s="1560" t="s">
        <v>8</v>
      </c>
      <c r="U23" s="1561">
        <f>H23</f>
        <v>100</v>
      </c>
      <c r="V23" s="1560" t="s">
        <v>8</v>
      </c>
      <c r="W23" s="1561">
        <f>J23</f>
        <v>100</v>
      </c>
      <c r="X23" s="1554"/>
      <c r="Y23" s="342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20"/>
      <c r="Q24" s="1559"/>
      <c r="R24" s="1560"/>
      <c r="S24" s="1561"/>
      <c r="T24" s="1560"/>
      <c r="U24" s="1561"/>
      <c r="V24" s="1560"/>
      <c r="W24" s="1561"/>
      <c r="X24" s="1554"/>
      <c r="Y24" s="3420"/>
      <c r="Z24" s="1562"/>
      <c r="AA24" s="1563">
        <v>1</v>
      </c>
      <c r="AB24" s="1563">
        <v>1</v>
      </c>
      <c r="AC24" s="1563">
        <v>1</v>
      </c>
    </row>
    <row r="25" spans="1:29" s="1216" customFormat="1" ht="42.75">
      <c r="A25" s="577"/>
      <c r="B25" s="2558"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20"/>
      <c r="Q25" s="1147" t="str">
        <f t="shared" si="8"/>
        <v>公共配套设施</v>
      </c>
      <c r="R25" s="1555" t="s">
        <v>8</v>
      </c>
      <c r="S25" s="1556">
        <f>F25</f>
        <v>100</v>
      </c>
      <c r="T25" s="1555" t="s">
        <v>8</v>
      </c>
      <c r="U25" s="1556">
        <f>H25</f>
        <v>100</v>
      </c>
      <c r="V25" s="1555" t="s">
        <v>8</v>
      </c>
      <c r="W25" s="1556">
        <f>J25</f>
        <v>100</v>
      </c>
      <c r="X25" s="1557"/>
      <c r="Y25" s="3420"/>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20"/>
      <c r="Q26" s="1147"/>
      <c r="R26" s="1555"/>
      <c r="S26" s="1556"/>
      <c r="T26" s="1555"/>
      <c r="U26" s="1556"/>
      <c r="V26" s="1555"/>
      <c r="W26" s="1556"/>
      <c r="X26" s="1557"/>
      <c r="Y26" s="3420"/>
      <c r="Z26" s="1146"/>
      <c r="AA26" s="1558">
        <v>1</v>
      </c>
      <c r="AB26" s="1558">
        <v>1</v>
      </c>
      <c r="AC26" s="1558">
        <v>1</v>
      </c>
    </row>
    <row r="27" spans="1:29" s="1216" customFormat="1" ht="28.5">
      <c r="A27" s="577"/>
      <c r="B27" s="2558"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20"/>
      <c r="Q27" s="2543" t="str">
        <f t="shared" ref="Q27" si="9">B27</f>
        <v>基础设施水平</v>
      </c>
      <c r="R27" s="1555" t="s">
        <v>8</v>
      </c>
      <c r="S27" s="1556">
        <f>F27</f>
        <v>100</v>
      </c>
      <c r="T27" s="1555" t="s">
        <v>8</v>
      </c>
      <c r="U27" s="1556">
        <f>H27</f>
        <v>100</v>
      </c>
      <c r="V27" s="1555" t="s">
        <v>8</v>
      </c>
      <c r="W27" s="1556">
        <f>J27</f>
        <v>100</v>
      </c>
      <c r="X27" s="1557"/>
      <c r="Y27" s="3420"/>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20"/>
      <c r="Q28" s="2543"/>
      <c r="R28" s="1555"/>
      <c r="S28" s="1556"/>
      <c r="T28" s="1555"/>
      <c r="U28" s="1556"/>
      <c r="V28" s="1555"/>
      <c r="W28" s="1556"/>
      <c r="X28" s="1557"/>
      <c r="Y28" s="3420"/>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2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20"/>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20"/>
      <c r="Q30" s="1559" t="str">
        <f t="shared" si="8"/>
        <v>毗邻道路的类型与等级</v>
      </c>
      <c r="R30" s="1560" t="s">
        <v>8</v>
      </c>
      <c r="S30" s="1561">
        <f t="shared" si="10"/>
        <v>100</v>
      </c>
      <c r="T30" s="1560" t="s">
        <v>8</v>
      </c>
      <c r="U30" s="1561">
        <f t="shared" si="11"/>
        <v>100</v>
      </c>
      <c r="V30" s="1560" t="s">
        <v>8</v>
      </c>
      <c r="W30" s="1561">
        <f t="shared" si="12"/>
        <v>100</v>
      </c>
      <c r="X30" s="1554"/>
      <c r="Y30" s="342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20"/>
      <c r="Q31" s="1559"/>
      <c r="R31" s="1560"/>
      <c r="S31" s="1561"/>
      <c r="T31" s="1560"/>
      <c r="U31" s="1561"/>
      <c r="V31" s="1560"/>
      <c r="W31" s="1561"/>
      <c r="X31" s="1554"/>
      <c r="Y31" s="3420"/>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20"/>
      <c r="Q32" s="1559" t="str">
        <f t="shared" si="8"/>
        <v>土地级别</v>
      </c>
      <c r="R32" s="1560" t="s">
        <v>8</v>
      </c>
      <c r="S32" s="1561">
        <f t="shared" si="10"/>
        <v>100</v>
      </c>
      <c r="T32" s="1560" t="s">
        <v>8</v>
      </c>
      <c r="U32" s="1561">
        <f t="shared" si="11"/>
        <v>100</v>
      </c>
      <c r="V32" s="1560" t="s">
        <v>8</v>
      </c>
      <c r="W32" s="1561">
        <f t="shared" si="12"/>
        <v>100</v>
      </c>
      <c r="X32" s="1554"/>
      <c r="Y32" s="342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20"/>
      <c r="Q33" s="1559">
        <f t="shared" si="8"/>
        <v>111</v>
      </c>
      <c r="R33" s="1560" t="s">
        <v>8</v>
      </c>
      <c r="S33" s="1561">
        <f t="shared" si="10"/>
        <v>100</v>
      </c>
      <c r="T33" s="1560" t="s">
        <v>8</v>
      </c>
      <c r="U33" s="1561">
        <f t="shared" si="11"/>
        <v>100</v>
      </c>
      <c r="V33" s="1560" t="s">
        <v>8</v>
      </c>
      <c r="W33" s="1561">
        <f t="shared" si="12"/>
        <v>100</v>
      </c>
      <c r="X33" s="1554"/>
      <c r="Y33" s="342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25" t="s">
        <v>550</v>
      </c>
      <c r="Q34" s="1559">
        <f t="shared" si="8"/>
        <v>111</v>
      </c>
      <c r="R34" s="1560" t="s">
        <v>8</v>
      </c>
      <c r="S34" s="1561">
        <f t="shared" si="10"/>
        <v>100</v>
      </c>
      <c r="T34" s="1560" t="s">
        <v>8</v>
      </c>
      <c r="U34" s="1561">
        <f t="shared" si="11"/>
        <v>100</v>
      </c>
      <c r="V34" s="1560" t="s">
        <v>8</v>
      </c>
      <c r="W34" s="1561">
        <f t="shared" si="12"/>
        <v>100</v>
      </c>
      <c r="X34" s="1554"/>
      <c r="Y34" s="3426"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26"/>
      <c r="Q35" s="1559">
        <f t="shared" si="8"/>
        <v>111</v>
      </c>
      <c r="R35" s="1564" t="s">
        <v>8</v>
      </c>
      <c r="S35" s="1565">
        <f t="shared" si="10"/>
        <v>100</v>
      </c>
      <c r="T35" s="1564" t="s">
        <v>8</v>
      </c>
      <c r="U35" s="1565">
        <f t="shared" si="11"/>
        <v>100</v>
      </c>
      <c r="V35" s="1564" t="s">
        <v>8</v>
      </c>
      <c r="W35" s="1565">
        <f t="shared" si="12"/>
        <v>100</v>
      </c>
      <c r="X35" s="1566"/>
      <c r="Y35" s="3426"/>
      <c r="Z35" s="1567">
        <f t="shared" si="13"/>
        <v>111</v>
      </c>
      <c r="AA35" s="1563">
        <f t="shared" si="3"/>
        <v>1</v>
      </c>
      <c r="AB35" s="1563">
        <f t="shared" si="4"/>
        <v>1</v>
      </c>
      <c r="AC35" s="1563">
        <f t="shared" si="5"/>
        <v>1</v>
      </c>
    </row>
    <row r="36" spans="1:29" ht="15">
      <c r="A36" s="2863" t="s">
        <v>2751</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26"/>
      <c r="Q36" s="1559" t="str">
        <f>B36</f>
        <v>宗地面积</v>
      </c>
      <c r="R36" s="1560" t="s">
        <v>8</v>
      </c>
      <c r="S36" s="1561" t="e">
        <f t="shared" si="10"/>
        <v>#N/A</v>
      </c>
      <c r="T36" s="1560" t="s">
        <v>8</v>
      </c>
      <c r="U36" s="1561" t="e">
        <f t="shared" si="11"/>
        <v>#N/A</v>
      </c>
      <c r="V36" s="1560" t="s">
        <v>8</v>
      </c>
      <c r="W36" s="1561" t="e">
        <f t="shared" si="12"/>
        <v>#N/A</v>
      </c>
      <c r="X36" s="1554"/>
      <c r="Y36" s="3426"/>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26"/>
      <c r="Q37" s="1559" t="str">
        <f t="shared" ref="Q37:Q42" si="14">B37</f>
        <v>宗地形状</v>
      </c>
      <c r="R37" s="1560" t="s">
        <v>8</v>
      </c>
      <c r="S37" s="1561">
        <f t="shared" si="10"/>
        <v>100</v>
      </c>
      <c r="T37" s="1560" t="s">
        <v>8</v>
      </c>
      <c r="U37" s="1561">
        <f t="shared" si="11"/>
        <v>100</v>
      </c>
      <c r="V37" s="1560" t="s">
        <v>8</v>
      </c>
      <c r="W37" s="1561">
        <f t="shared" si="12"/>
        <v>100</v>
      </c>
      <c r="X37" s="1554"/>
      <c r="Y37" s="3426"/>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26"/>
      <c r="Q38" s="1559" t="str">
        <f t="shared" si="14"/>
        <v>宗地开发程度</v>
      </c>
      <c r="R38" s="1555" t="s">
        <v>8</v>
      </c>
      <c r="S38" s="1556">
        <f t="shared" si="10"/>
        <v>100</v>
      </c>
      <c r="T38" s="1555" t="s">
        <v>8</v>
      </c>
      <c r="U38" s="1556">
        <f t="shared" si="11"/>
        <v>100</v>
      </c>
      <c r="V38" s="1555" t="s">
        <v>8</v>
      </c>
      <c r="W38" s="1556">
        <f t="shared" si="12"/>
        <v>100</v>
      </c>
      <c r="X38" s="1557"/>
      <c r="Y38" s="3426"/>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6" t="s">
        <v>601</v>
      </c>
      <c r="Q39" s="1559" t="str">
        <f t="shared" si="14"/>
        <v>工程地质条件</v>
      </c>
      <c r="R39" s="1560" t="s">
        <v>8</v>
      </c>
      <c r="S39" s="1561">
        <f t="shared" si="10"/>
        <v>100</v>
      </c>
      <c r="T39" s="1560" t="s">
        <v>8</v>
      </c>
      <c r="U39" s="1561">
        <f t="shared" si="11"/>
        <v>100</v>
      </c>
      <c r="V39" s="1560" t="s">
        <v>8</v>
      </c>
      <c r="W39" s="1561">
        <f t="shared" si="12"/>
        <v>100</v>
      </c>
      <c r="X39" s="1554"/>
      <c r="Y39" s="3426"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26"/>
      <c r="Q40" s="1559">
        <f t="shared" si="14"/>
        <v>111</v>
      </c>
      <c r="R40" s="1560" t="s">
        <v>8</v>
      </c>
      <c r="S40" s="1561">
        <f t="shared" si="10"/>
        <v>100</v>
      </c>
      <c r="T40" s="1560" t="s">
        <v>8</v>
      </c>
      <c r="U40" s="1561">
        <f t="shared" si="11"/>
        <v>100</v>
      </c>
      <c r="V40" s="1560" t="s">
        <v>8</v>
      </c>
      <c r="W40" s="1561">
        <f t="shared" si="12"/>
        <v>100</v>
      </c>
      <c r="X40" s="1554"/>
      <c r="Y40" s="3426"/>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26"/>
      <c r="Q41" s="1559">
        <f t="shared" si="14"/>
        <v>111</v>
      </c>
      <c r="R41" s="1560" t="s">
        <v>8</v>
      </c>
      <c r="S41" s="1561">
        <f t="shared" si="10"/>
        <v>100</v>
      </c>
      <c r="T41" s="1560" t="s">
        <v>8</v>
      </c>
      <c r="U41" s="1561">
        <f t="shared" si="11"/>
        <v>100</v>
      </c>
      <c r="V41" s="1560" t="s">
        <v>8</v>
      </c>
      <c r="W41" s="1561">
        <f t="shared" si="12"/>
        <v>100</v>
      </c>
      <c r="X41" s="1554"/>
      <c r="Y41" s="3426"/>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26"/>
      <c r="Q42" s="1559">
        <f t="shared" si="14"/>
        <v>111</v>
      </c>
      <c r="R42" s="1564" t="s">
        <v>8</v>
      </c>
      <c r="S42" s="1565">
        <f t="shared" si="10"/>
        <v>100</v>
      </c>
      <c r="T42" s="1564" t="s">
        <v>8</v>
      </c>
      <c r="U42" s="1565">
        <f t="shared" si="11"/>
        <v>100</v>
      </c>
      <c r="V42" s="1564" t="s">
        <v>8</v>
      </c>
      <c r="W42" s="1565">
        <f t="shared" si="12"/>
        <v>100</v>
      </c>
      <c r="X42" s="1566"/>
      <c r="Y42" s="3426"/>
      <c r="Z42" s="1567">
        <f t="shared" si="13"/>
        <v>111</v>
      </c>
      <c r="AA42" s="1563">
        <f t="shared" si="3"/>
        <v>1</v>
      </c>
      <c r="AB42" s="1563">
        <f t="shared" si="4"/>
        <v>1</v>
      </c>
      <c r="AC42" s="1563">
        <f t="shared" si="5"/>
        <v>1</v>
      </c>
    </row>
    <row r="43" spans="1:29" ht="15">
      <c r="A43" s="607" t="s">
        <v>556</v>
      </c>
      <c r="B43" s="608" t="s">
        <v>2930</v>
      </c>
      <c r="C43" s="609" t="s">
        <v>1</v>
      </c>
      <c r="D43" s="610"/>
      <c r="E43" s="611"/>
      <c r="F43" s="612"/>
      <c r="G43" s="613"/>
      <c r="H43" s="614"/>
      <c r="I43" s="611"/>
      <c r="J43" s="614"/>
      <c r="K43" s="1336"/>
      <c r="L43" s="2130"/>
      <c r="M43" s="2120"/>
      <c r="N43" s="2120"/>
      <c r="O43" s="2131"/>
      <c r="P43" s="3418" t="str">
        <f>A43</f>
        <v>成交单价</v>
      </c>
      <c r="Q43" s="3418"/>
      <c r="R43" s="3414">
        <f>E43</f>
        <v>0</v>
      </c>
      <c r="S43" s="3414"/>
      <c r="T43" s="3414">
        <f>G43</f>
        <v>0</v>
      </c>
      <c r="U43" s="3414"/>
      <c r="V43" s="3414">
        <f>I43</f>
        <v>0</v>
      </c>
      <c r="W43" s="3414"/>
      <c r="X43" s="1546"/>
      <c r="Y43" s="1568"/>
      <c r="Z43" s="1546"/>
      <c r="AA43" s="1546"/>
      <c r="AB43" s="1546"/>
      <c r="AC43" s="1546"/>
    </row>
    <row r="44" spans="1:29" ht="15.75" thickBot="1">
      <c r="A44" s="615" t="s">
        <v>2689</v>
      </c>
      <c r="B44" s="616"/>
      <c r="C44" s="617" t="e">
        <f>R45</f>
        <v>#DIV/0!</v>
      </c>
      <c r="D44" s="618"/>
      <c r="E44" s="617" t="e">
        <f>R44</f>
        <v>#DIV/0!</v>
      </c>
      <c r="F44" s="619"/>
      <c r="G44" s="620" t="e">
        <f>T44</f>
        <v>#DIV/0!</v>
      </c>
      <c r="H44" s="618"/>
      <c r="I44" s="617" t="e">
        <f>V44</f>
        <v>#DIV/0!</v>
      </c>
      <c r="J44" s="618"/>
      <c r="K44" s="1337"/>
      <c r="L44" s="2130"/>
      <c r="M44" s="2120"/>
      <c r="N44" s="2120"/>
      <c r="O44" s="2131"/>
      <c r="P44" s="3418" t="str">
        <f>A44</f>
        <v>比较价格（元/平方米）</v>
      </c>
      <c r="Q44" s="3418"/>
      <c r="R44" s="3421" t="e">
        <f>ROUND(PRODUCT(R43,AA9:AA42),0)</f>
        <v>#DIV/0!</v>
      </c>
      <c r="S44" s="3421"/>
      <c r="T44" s="3421" t="e">
        <f>ROUND(PRODUCT(T43,AB9:AB42),0)</f>
        <v>#DIV/0!</v>
      </c>
      <c r="U44" s="3421"/>
      <c r="V44" s="3421" t="e">
        <f>ROUND(PRODUCT(V43,AC9:AC42),0)</f>
        <v>#DIV/0!</v>
      </c>
      <c r="W44" s="3421"/>
      <c r="X44" s="1546"/>
      <c r="Y44" s="1546"/>
      <c r="Z44" s="1546"/>
      <c r="AA44" s="1546"/>
      <c r="AB44" s="1546"/>
      <c r="AC44" s="1546"/>
    </row>
    <row r="45" spans="1:29" ht="15.75" thickBot="1">
      <c r="A45" s="621" t="s">
        <v>2931</v>
      </c>
      <c r="B45" s="622"/>
      <c r="C45" s="623" t="e">
        <f>R45</f>
        <v>#DIV/0!</v>
      </c>
      <c r="D45" s="623"/>
      <c r="E45" s="623"/>
      <c r="F45" s="623"/>
      <c r="G45" s="623"/>
      <c r="H45" s="623"/>
      <c r="I45" s="623"/>
      <c r="J45" s="623"/>
      <c r="K45" s="1338"/>
      <c r="L45" s="2130"/>
      <c r="M45" s="2120"/>
      <c r="N45" s="2120"/>
      <c r="O45" s="2131"/>
      <c r="P45" s="3422" t="str">
        <f>A45</f>
        <v>估价对象XX用房的比较价格（楼面单价，元/平方米）</v>
      </c>
      <c r="Q45" s="3423"/>
      <c r="R45" s="3424" t="e">
        <f>ROUND(AVERAGE(R44:V44),0)</f>
        <v>#DIV/0!</v>
      </c>
      <c r="S45" s="3424"/>
      <c r="T45" s="3424"/>
      <c r="U45" s="3424"/>
      <c r="V45" s="3424"/>
      <c r="W45" s="3424"/>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1723</v>
      </c>
      <c r="D52" s="2213" t="s">
        <v>2291</v>
      </c>
      <c r="E52" s="631" t="s">
        <v>562</v>
      </c>
      <c r="F52" s="1937" t="s">
        <v>563</v>
      </c>
      <c r="G52" s="3432" t="s">
        <v>2282</v>
      </c>
      <c r="H52" s="3433"/>
      <c r="I52" s="1938" t="s">
        <v>1944</v>
      </c>
      <c r="J52" s="1542">
        <f>项目基本情况!F41</f>
        <v>0</v>
      </c>
      <c r="K52" s="2140" t="s">
        <v>1722</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60978</v>
      </c>
      <c r="F53" s="1936" t="e">
        <f t="shared" ref="F53:F62" si="15">ROUND(B53*E53/10000,0)</f>
        <v>#DIV/0!</v>
      </c>
      <c r="G53" s="3434"/>
      <c r="H53" s="3435"/>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36" t="s">
        <v>2283</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36"/>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36"/>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36"/>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v>
      </c>
      <c r="D58" s="2215">
        <v>0.25</v>
      </c>
      <c r="E58" s="641">
        <f>'数据-汇总表'!E11</f>
        <v>0</v>
      </c>
      <c r="F58" s="1936" t="e">
        <f t="shared" si="15"/>
        <v>#DIV/0!</v>
      </c>
      <c r="G58" s="1942" t="s">
        <v>2284</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1676</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922</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2283</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2284</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2292</v>
      </c>
      <c r="E63" s="643">
        <f>IF(B43="楼面地价",SUM(E53:E62),'数据-汇总表'!D3)</f>
        <v>40652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2019-5-1</v>
      </c>
      <c r="D65" s="2755">
        <f>EDATE(C65,-3)</f>
        <v>43497</v>
      </c>
      <c r="E65" s="2755">
        <f t="shared" ref="E65:N65" si="18">EDATE(D65,-3)</f>
        <v>43405</v>
      </c>
      <c r="F65" s="2755">
        <f t="shared" si="18"/>
        <v>43313</v>
      </c>
      <c r="G65" s="2755">
        <f t="shared" si="18"/>
        <v>43221</v>
      </c>
      <c r="H65" s="2755">
        <f t="shared" si="18"/>
        <v>43132</v>
      </c>
      <c r="I65" s="2755">
        <f t="shared" si="18"/>
        <v>43040</v>
      </c>
      <c r="J65" s="2755">
        <f t="shared" si="18"/>
        <v>42948</v>
      </c>
      <c r="K65" s="2755">
        <f t="shared" si="18"/>
        <v>42856</v>
      </c>
      <c r="L65" s="2755">
        <f t="shared" si="18"/>
        <v>42767</v>
      </c>
      <c r="M65" s="2755">
        <f t="shared" si="18"/>
        <v>42675</v>
      </c>
      <c r="N65" s="2755">
        <f t="shared" si="18"/>
        <v>42583</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2529</v>
      </c>
      <c r="B67" s="646"/>
      <c r="C67" s="2751" t="str">
        <f>YEAR(C65)&amp;"-"&amp;ROUNDUP(MONTH(C65)/3,0)</f>
        <v>2019-2</v>
      </c>
      <c r="D67" s="2757" t="str">
        <f t="shared" ref="D67:N67" si="19">YEAR(D65)&amp;"-"&amp;ROUNDUP(MONTH(D65)/3,0)</f>
        <v>2019-1</v>
      </c>
      <c r="E67" s="2757" t="str">
        <f t="shared" si="19"/>
        <v>2018-4</v>
      </c>
      <c r="F67" s="2757" t="str">
        <f t="shared" si="19"/>
        <v>2018-3</v>
      </c>
      <c r="G67" s="2757" t="str">
        <f t="shared" si="19"/>
        <v>2018-2</v>
      </c>
      <c r="H67" s="2757" t="str">
        <f t="shared" si="19"/>
        <v>2018-1</v>
      </c>
      <c r="I67" s="2757" t="str">
        <f t="shared" si="19"/>
        <v>2017-4</v>
      </c>
      <c r="J67" s="2757" t="str">
        <f t="shared" si="19"/>
        <v>2017-3</v>
      </c>
      <c r="K67" s="2757" t="str">
        <f t="shared" si="19"/>
        <v>2017-2</v>
      </c>
      <c r="L67" s="2757" t="str">
        <f t="shared" si="19"/>
        <v>2017-1</v>
      </c>
      <c r="M67" s="2757" t="str">
        <f t="shared" si="19"/>
        <v>2016-4</v>
      </c>
      <c r="N67" s="2757" t="str">
        <f t="shared" si="19"/>
        <v>2016-3</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2645</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2544</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2546</v>
      </c>
      <c r="C95" s="2563" t="s">
        <v>2547</v>
      </c>
      <c r="D95" s="2563" t="s">
        <v>2548</v>
      </c>
      <c r="E95" s="2563" t="s">
        <v>2549</v>
      </c>
      <c r="F95" s="2563" t="s">
        <v>2550</v>
      </c>
      <c r="G95" s="2563" t="s">
        <v>2551</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1693</v>
      </c>
      <c r="B1" s="1397"/>
      <c r="C1" s="1403" t="s">
        <v>2423</v>
      </c>
      <c r="D1" s="1509">
        <f>SUM(D29:D30,D33:D39)</f>
        <v>0</v>
      </c>
      <c r="E1" s="1403" t="s">
        <v>2424</v>
      </c>
      <c r="F1" s="2417"/>
      <c r="G1" s="1398"/>
      <c r="H1" s="1398"/>
      <c r="I1" s="1398"/>
      <c r="J1" s="1398"/>
      <c r="K1" s="1398"/>
      <c r="L1" s="1868" t="s">
        <v>2236</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919</v>
      </c>
      <c r="B2" s="1038" t="e">
        <f>C26</f>
        <v>#DIV/0!</v>
      </c>
      <c r="C2" s="1404" t="s">
        <v>920</v>
      </c>
      <c r="D2" s="1405" t="s">
        <v>921</v>
      </c>
      <c r="E2" s="1406"/>
      <c r="F2" s="1405" t="s">
        <v>923</v>
      </c>
      <c r="G2" s="1638">
        <f>IF(E2="商业",项目基本情况!B43,IF(E2="办公",项目基本情况!C43,IF(E2="住宅",项目基本情况!D43,项目基本情况!E43)))</f>
        <v>0</v>
      </c>
      <c r="H2" s="1405" t="s">
        <v>925</v>
      </c>
      <c r="I2" s="1639">
        <f>IF(E2="商业",项目基本情况!B44,IF(E2="办公",项目基本情况!C44,IF(E2="住宅",项目基本情况!D44,项目基本情况!E44)))</f>
        <v>0</v>
      </c>
      <c r="J2" s="1407"/>
      <c r="K2" s="1407"/>
      <c r="L2" s="1871" t="s">
        <v>2237</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1686</v>
      </c>
      <c r="B3" s="1038" t="e">
        <f>ROUND(B2*10000/D1,0)</f>
        <v>#DIV/0!</v>
      </c>
      <c r="C3" s="1404" t="s">
        <v>926</v>
      </c>
      <c r="D3" s="1405" t="s">
        <v>927</v>
      </c>
      <c r="E3" s="1409"/>
      <c r="F3" s="1410"/>
      <c r="G3" s="1039">
        <f>IF(F3="宗地容积率",'数据-汇总表'!I4,IF(F3="估价对象容积率",'数据-汇总表'!I6,'数据-汇总表'!I7))</f>
        <v>4</v>
      </c>
      <c r="H3" s="1411" t="s">
        <v>928</v>
      </c>
      <c r="I3" s="1040">
        <v>8</v>
      </c>
      <c r="J3" s="1407" t="s">
        <v>929</v>
      </c>
      <c r="K3" s="1407"/>
      <c r="L3" s="1871" t="s">
        <v>2238</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2278</v>
      </c>
      <c r="B4" s="2418" t="e">
        <f>ROUND(B2*10000/F1,0)</f>
        <v>#DIV/0!</v>
      </c>
      <c r="C4" s="1880" t="s">
        <v>2252</v>
      </c>
      <c r="D4" s="1880" t="e">
        <f>ROUND(B2/(F1/666.67),0)</f>
        <v>#DIV/0!</v>
      </c>
      <c r="E4" s="1880" t="s">
        <v>2253</v>
      </c>
      <c r="F4" s="1878"/>
      <c r="G4" s="1878"/>
      <c r="H4" s="1878"/>
      <c r="I4" s="1878"/>
      <c r="J4" s="1879"/>
      <c r="K4" s="3154"/>
      <c r="L4" s="1871" t="s">
        <v>2239</v>
      </c>
      <c r="M4" s="1872">
        <f>SUMPRODUCT((区片价!B49:B75=I2)*(区片价!C3:F3=E2)*(区片价!C49:F75))</f>
        <v>0</v>
      </c>
      <c r="N4" s="1873">
        <f>SUMPRODUCT((因素修正幅度!B49:B75=I2)*(因素修正幅度!C3:F3=E2)*(因素修正幅度!C49:F75))</f>
        <v>0</v>
      </c>
      <c r="O4" s="3154"/>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1822</v>
      </c>
      <c r="B5" s="1412" t="s">
        <v>930</v>
      </c>
      <c r="C5" s="1041" t="e">
        <f>ROUND(IF(E2="商业",C6*C7+C16,(IF(E2="住宅",C6*C12+C16,C6+C16))),0)</f>
        <v>#DIV/0!</v>
      </c>
      <c r="D5" s="3073" t="e">
        <f>ROUND(C6+C16,0)</f>
        <v>#DIV/0!</v>
      </c>
      <c r="E5" s="3073"/>
      <c r="F5" s="1413"/>
      <c r="G5" s="1414"/>
      <c r="H5" s="1414"/>
      <c r="I5" s="1414"/>
      <c r="J5" s="1415"/>
      <c r="K5" s="3155"/>
      <c r="L5" s="1871" t="s">
        <v>2240</v>
      </c>
      <c r="M5" s="1872">
        <f>SUMPRODUCT((区片价!B76:B109=I2)*(区片价!C3:F3=E2)*(区片价!C76:F109))</f>
        <v>0</v>
      </c>
      <c r="N5" s="1873">
        <f>SUMPRODUCT((因素修正幅度!B76:B109=I2)*(因素修正幅度!C3:F3=E2)*(因素修正幅度!C76:F109))</f>
        <v>0</v>
      </c>
      <c r="O5" s="3155"/>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1869</v>
      </c>
      <c r="B6" s="1419" t="s">
        <v>930</v>
      </c>
      <c r="C6" s="1042">
        <f>SUMIF(L1:L12,基准地价!G2,M1:M12)</f>
        <v>0</v>
      </c>
      <c r="D6" s="1420" t="s">
        <v>1694</v>
      </c>
      <c r="E6" s="1421"/>
      <c r="F6" s="1421"/>
      <c r="G6" s="1422"/>
      <c r="H6" s="1422"/>
      <c r="I6" s="1422"/>
      <c r="J6" s="1423"/>
      <c r="K6" s="1453"/>
      <c r="L6" s="1871" t="s">
        <v>2241</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44" t="str">
        <f>IF(E2="商业",IF(C8="不临58条商业街","",2),"")</f>
        <v/>
      </c>
      <c r="B7" s="1424" t="s">
        <v>931</v>
      </c>
      <c r="C7" s="1043" t="e">
        <f>IF(C8="不临58条商业街",1,ROUND(1+(1.6*E8+1.2*E9+0.8*E10+0.4*E11)*C9,4))</f>
        <v>#DIV/0!</v>
      </c>
      <c r="D7" s="1425" t="s">
        <v>932</v>
      </c>
      <c r="E7" s="1044"/>
      <c r="F7" s="1426"/>
      <c r="G7" s="1427"/>
      <c r="H7" s="1427"/>
      <c r="I7" s="1427"/>
      <c r="J7" s="1428"/>
      <c r="K7" s="1453"/>
      <c r="L7" s="1871" t="s">
        <v>2242</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2761</v>
      </c>
      <c r="X7" s="2883">
        <f>G2</f>
        <v>0</v>
      </c>
      <c r="Y7" s="2883" t="s">
        <v>2762</v>
      </c>
      <c r="Z7" s="2884">
        <f>G3</f>
        <v>4</v>
      </c>
      <c r="AA7" s="2178"/>
      <c r="AB7" s="2178"/>
      <c r="AC7" s="2179"/>
      <c r="AD7" s="2885"/>
      <c r="AE7" s="2885"/>
      <c r="AF7" s="2885"/>
      <c r="AG7" s="2885"/>
      <c r="AH7" s="2885"/>
      <c r="AI7" s="2885"/>
      <c r="AJ7" s="2886"/>
    </row>
    <row r="8" spans="1:39" ht="15">
      <c r="A8" s="3445"/>
      <c r="B8" s="1411" t="s">
        <v>933</v>
      </c>
      <c r="C8" s="1517"/>
      <c r="D8" s="1045" t="s">
        <v>934</v>
      </c>
      <c r="E8" s="1046" t="e">
        <f>ROUND(C11/E7,4)</f>
        <v>#DIV/0!</v>
      </c>
      <c r="F8" s="1429" t="s">
        <v>935</v>
      </c>
      <c r="G8" s="1430"/>
      <c r="H8" s="1430"/>
      <c r="I8" s="1430"/>
      <c r="J8" s="1431"/>
      <c r="K8" s="1453"/>
      <c r="L8" s="1871" t="s">
        <v>2243</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55" t="s">
        <v>2779</v>
      </c>
      <c r="X8" s="3456"/>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45"/>
      <c r="B9" s="1411" t="s">
        <v>936</v>
      </c>
      <c r="C9" s="1047">
        <f>SUMIF(修正!C59:C119,C8,修正!E59:E119)</f>
        <v>0</v>
      </c>
      <c r="D9" s="1048" t="s">
        <v>937</v>
      </c>
      <c r="E9" s="1048" t="e">
        <f>ROUND(C11/E7,4)</f>
        <v>#DIV/0!</v>
      </c>
      <c r="F9" s="1429" t="s">
        <v>938</v>
      </c>
      <c r="G9" s="1430"/>
      <c r="H9" s="1430"/>
      <c r="I9" s="1430"/>
      <c r="J9" s="1431"/>
      <c r="K9" s="1453"/>
      <c r="L9" s="1871" t="s">
        <v>2244</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54"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45"/>
      <c r="B10" s="1411" t="s">
        <v>939</v>
      </c>
      <c r="C10" s="1048">
        <f>SUMIF(修正!C59:C119,C8,修正!F59:F119)</f>
        <v>0</v>
      </c>
      <c r="D10" s="1048" t="s">
        <v>940</v>
      </c>
      <c r="E10" s="1048" t="e">
        <f>ROUND(C11/E7,4)</f>
        <v>#DIV/0!</v>
      </c>
      <c r="F10" s="1429" t="s">
        <v>941</v>
      </c>
      <c r="G10" s="1430"/>
      <c r="H10" s="1430"/>
      <c r="I10" s="1430"/>
      <c r="J10" s="1431"/>
      <c r="K10" s="1453"/>
      <c r="L10" s="1871" t="s">
        <v>2245</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54"/>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45"/>
      <c r="B11" s="1432" t="s">
        <v>942</v>
      </c>
      <c r="C11" s="1049">
        <f>C10/4</f>
        <v>0</v>
      </c>
      <c r="D11" s="1049" t="s">
        <v>943</v>
      </c>
      <c r="E11" s="1049" t="e">
        <f>ROUND(C11/E7,4)</f>
        <v>#DIV/0!</v>
      </c>
      <c r="F11" s="1433" t="s">
        <v>944</v>
      </c>
      <c r="G11" s="1434"/>
      <c r="H11" s="1434"/>
      <c r="I11" s="1434"/>
      <c r="J11" s="1435"/>
      <c r="K11" s="1453"/>
      <c r="L11" s="1871" t="s">
        <v>2246</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54" t="s">
        <v>2777</v>
      </c>
      <c r="X11" s="1048" t="s">
        <v>2762</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44" t="s">
        <v>1870</v>
      </c>
      <c r="B12" s="1436" t="s">
        <v>945</v>
      </c>
      <c r="C12" s="1043">
        <f>ROUND(C15*D15*E15*F15*G15*H15*I15*J15,4)</f>
        <v>1</v>
      </c>
      <c r="D12" s="1437" t="s">
        <v>946</v>
      </c>
      <c r="E12" s="1438"/>
      <c r="F12" s="1438"/>
      <c r="G12" s="1439"/>
      <c r="H12" s="1439"/>
      <c r="I12" s="1439"/>
      <c r="J12" s="1440"/>
      <c r="K12" s="1453"/>
      <c r="L12" s="1874" t="s">
        <v>2247</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54"/>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46"/>
      <c r="B13" s="1441" t="s">
        <v>1695</v>
      </c>
      <c r="C13" s="1442" t="s">
        <v>1696</v>
      </c>
      <c r="D13" s="1085" t="s">
        <v>1697</v>
      </c>
      <c r="E13" s="1085" t="s">
        <v>1698</v>
      </c>
      <c r="F13" s="1443" t="s">
        <v>947</v>
      </c>
      <c r="G13" s="1444" t="s">
        <v>1641</v>
      </c>
      <c r="H13" s="1445" t="s">
        <v>1641</v>
      </c>
      <c r="I13" s="1446" t="s">
        <v>1641</v>
      </c>
      <c r="J13" s="1447" t="s">
        <v>1641</v>
      </c>
      <c r="K13" s="3170"/>
      <c r="L13" s="3170"/>
      <c r="M13" s="3170"/>
      <c r="N13" s="3170"/>
      <c r="O13" s="3170"/>
      <c r="P13" s="1398"/>
      <c r="Q13" s="2175"/>
      <c r="R13" s="2893">
        <v>12</v>
      </c>
      <c r="S13" s="2882"/>
      <c r="T13" s="2893" t="e">
        <f t="shared" si="0"/>
        <v>#DIV/0!</v>
      </c>
      <c r="U13" s="2882"/>
      <c r="V13" s="2893" t="e">
        <f t="shared" si="1"/>
        <v>#DIV/0!</v>
      </c>
      <c r="W13" s="3454"/>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46"/>
      <c r="B14" s="1448"/>
      <c r="C14" s="1449"/>
      <c r="D14" s="1450"/>
      <c r="E14" s="1450"/>
      <c r="F14" s="1451"/>
      <c r="G14" s="1452" t="s">
        <v>948</v>
      </c>
      <c r="H14" s="1453"/>
      <c r="I14" s="1454"/>
      <c r="J14" s="1455"/>
      <c r="K14" s="3156"/>
      <c r="L14" s="3156"/>
      <c r="M14" s="3156"/>
      <c r="N14" s="3156"/>
      <c r="O14" s="3156"/>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47"/>
      <c r="B15" s="3175" t="s">
        <v>1699</v>
      </c>
      <c r="C15" s="1049">
        <f>IF(C14="有",1.1,1)</f>
        <v>1</v>
      </c>
      <c r="D15" s="1049">
        <f>IF(D14="有",1.1,1)</f>
        <v>1</v>
      </c>
      <c r="E15" s="1049">
        <f>IF(E14="有",1.1,1)</f>
        <v>1</v>
      </c>
      <c r="F15" s="1049">
        <f>IF(F14="500米范围内",1.2,IF(F14="500-1000米",1.1,1))</f>
        <v>1</v>
      </c>
      <c r="G15" s="3167">
        <v>1</v>
      </c>
      <c r="H15" s="3167">
        <v>1</v>
      </c>
      <c r="I15" s="3167">
        <v>1</v>
      </c>
      <c r="J15" s="3168">
        <v>1</v>
      </c>
      <c r="K15" s="3171"/>
      <c r="L15" s="3171"/>
      <c r="M15" s="3171"/>
      <c r="N15" s="3171"/>
      <c r="O15" s="3171"/>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44" t="s">
        <v>1837</v>
      </c>
      <c r="B16" s="1424" t="s">
        <v>949</v>
      </c>
      <c r="C16" s="1052" t="e">
        <f>ROUND(IF(F17="与级别开发程度一致",0,(G17-E17)/C17),0)</f>
        <v>#DIV/0!</v>
      </c>
      <c r="D16" s="3462" t="s">
        <v>953</v>
      </c>
      <c r="E16" s="3463"/>
      <c r="F16" s="3462" t="s">
        <v>950</v>
      </c>
      <c r="G16" s="3463"/>
      <c r="H16" s="1456"/>
      <c r="I16" s="1456"/>
      <c r="J16" s="1456"/>
      <c r="K16" s="1456"/>
      <c r="L16" s="1456"/>
      <c r="M16" s="1456"/>
      <c r="N16" s="1456"/>
      <c r="O16" s="3180"/>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48"/>
      <c r="B17" s="3181" t="s">
        <v>952</v>
      </c>
      <c r="C17" s="3182">
        <f>SUMPRODUCT((修正!A2:A5=E2)*(修正!B1:M1=G2)*(修正!B2:M5))</f>
        <v>0</v>
      </c>
      <c r="D17" s="3183" t="str">
        <f>IF(OR(G2="八级",G2="九级",G2="十级",G2="十一级",G2="十二级"),"五通一平","七通一平")</f>
        <v>七通一平</v>
      </c>
      <c r="E17" s="3173">
        <f>SUMPRODUCT((修正!B1:M1=G2)*(修正!B15:M15))</f>
        <v>0</v>
      </c>
      <c r="F17" s="3174"/>
      <c r="G17" s="3173">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4">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1828</v>
      </c>
      <c r="B18" s="3176" t="s">
        <v>954</v>
      </c>
      <c r="C18" s="3177">
        <f>SUMIF(修正!C18:C39,E3,修正!E18:E39)</f>
        <v>0</v>
      </c>
      <c r="D18" s="3178"/>
      <c r="E18" s="3179"/>
      <c r="F18" s="3161"/>
      <c r="G18" s="3155"/>
      <c r="H18" s="3155"/>
      <c r="I18" s="3155"/>
      <c r="J18" s="3169"/>
      <c r="K18" s="3155"/>
      <c r="L18" s="3155"/>
      <c r="M18" s="3155"/>
      <c r="N18" s="3155"/>
      <c r="O18" s="3155"/>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1834</v>
      </c>
      <c r="B19" s="1459" t="s">
        <v>955</v>
      </c>
      <c r="C19" s="1053" t="e">
        <f>ROUND(IF(H19="按公示增长率计算",SUMPRODUCT((地价!A3:A26=YEAR(G19)&amp;"-"&amp;ROUNDUP(MONTH(G19)/3,0))*(地价!X2:AB2=E2)*(地价!X3:AB26)),IF(H19="地价指数",M20/M19,(1+I19)^O19)),4)</f>
        <v>#VALUE!</v>
      </c>
      <c r="D19" s="1463" t="s">
        <v>956</v>
      </c>
      <c r="E19" s="1054">
        <v>41640</v>
      </c>
      <c r="F19" s="1463" t="s">
        <v>957</v>
      </c>
      <c r="G19" s="1055">
        <f>'数据-取费表'!B2</f>
        <v>43607</v>
      </c>
      <c r="H19" s="1464"/>
      <c r="I19" s="2741" t="str">
        <f>IF(H19="季度增幅（自定义）",SUMIF(N21:N24,E2,O21:O24),"")</f>
        <v/>
      </c>
      <c r="J19" s="1460"/>
      <c r="K19" s="3155"/>
      <c r="L19" s="2993" t="s">
        <v>2837</v>
      </c>
      <c r="M19" s="2994">
        <f>ROUND(SUMIF(地价!B2:F2,E2,地价!B26:F26),0)</f>
        <v>0</v>
      </c>
      <c r="N19" s="2743" t="s">
        <v>1675</v>
      </c>
      <c r="O19" s="2742">
        <f>ROUNDDOWN(DATEDIF(E19,G19,"M")/3,0)</f>
        <v>21</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1835</v>
      </c>
      <c r="B20" s="2736" t="s">
        <v>970</v>
      </c>
      <c r="C20" s="2737" t="e">
        <f>ROUND(POWER(1+G20,J20-I20)*(POWER(1+G20,I20)-1)/(POWER(1+G20,J20)-1),4)</f>
        <v>#DIV/0!</v>
      </c>
      <c r="D20" s="2738" t="s">
        <v>971</v>
      </c>
      <c r="E20" s="3048">
        <f ca="1">存贷款利率!I4/100</f>
        <v>4.3499999999999997E-2</v>
      </c>
      <c r="F20" s="2738" t="s">
        <v>972</v>
      </c>
      <c r="G20" s="2739">
        <f>SUMIF(M26:P26,E2,M28:P28)</f>
        <v>0</v>
      </c>
      <c r="H20" s="2738" t="s">
        <v>973</v>
      </c>
      <c r="I20" s="2734" t="e">
        <f>SUMIF('数据-取费表'!C6:C15,E2,'数据-取费表'!F6:F15)/COUNTIF('数据-取费表'!C6:C15,E2)</f>
        <v>#DIV/0!</v>
      </c>
      <c r="J20" s="2740">
        <f>IF(E2="住宅",70,IF(E2="商业",40,50))</f>
        <v>50</v>
      </c>
      <c r="K20" s="3157"/>
      <c r="L20" s="2995" t="s">
        <v>2838</v>
      </c>
      <c r="M20" s="3164">
        <f>ROUND(SUMPRODUCT((地价!A4:A26=YEAR(G19)&amp;"-"&amp;ROUNDUP(MONTH(G19)/3,0))*(地价!B2:F2=E2)*(地价!B4:F26)),0)</f>
        <v>0</v>
      </c>
      <c r="N20" s="2746" t="s">
        <v>2641</v>
      </c>
      <c r="O20" s="2744" t="s">
        <v>2640</v>
      </c>
      <c r="P20" s="2745" t="s">
        <v>2646</v>
      </c>
      <c r="Q20" s="2881"/>
      <c r="R20" s="2181"/>
      <c r="S20" s="2181"/>
      <c r="T20" s="2181"/>
      <c r="U20" s="2181"/>
      <c r="V20" s="2181"/>
      <c r="W20" s="2181"/>
      <c r="X20" s="2181"/>
      <c r="Y20" s="1461"/>
      <c r="Z20" s="1461"/>
      <c r="AA20" s="1461"/>
      <c r="AB20" s="1461"/>
      <c r="AC20" s="1461"/>
      <c r="AD20" s="1461"/>
    </row>
    <row r="21" spans="1:40" s="1418" customFormat="1" ht="14.25">
      <c r="A21" s="1628" t="s">
        <v>1836</v>
      </c>
      <c r="B21" s="1469" t="s">
        <v>2757</v>
      </c>
      <c r="C21" s="1154">
        <f>IF(B21="容积率修正",IF(G3&lt;=10,D22,J22),C23)</f>
        <v>0</v>
      </c>
      <c r="D21" s="1470"/>
      <c r="E21" s="1470"/>
      <c r="F21" s="1470"/>
      <c r="G21" s="1470"/>
      <c r="H21" s="1470"/>
      <c r="I21" s="1470"/>
      <c r="J21" s="1471"/>
      <c r="K21" s="3155"/>
      <c r="L21" s="1470"/>
      <c r="M21" s="1470"/>
      <c r="N21" s="1467" t="s">
        <v>974</v>
      </c>
      <c r="O21" s="1530"/>
      <c r="P21" s="2733">
        <f>SUMPRODUCT((地价!A3:A26=YEAR(G19)&amp;"-"&amp;ROUNDUP(MONTH(G19)/3,0))*(地价!AD2:AH2=N21)*(地价!AD3:AH26))</f>
        <v>1.46E-2</v>
      </c>
      <c r="Q21" s="2881"/>
      <c r="R21" s="2181"/>
      <c r="S21" s="2181"/>
      <c r="T21" s="2181"/>
      <c r="U21" s="2181"/>
      <c r="V21" s="2181"/>
      <c r="W21" s="2181"/>
      <c r="X21" s="2181"/>
      <c r="Y21" s="1400"/>
      <c r="Z21" s="1400"/>
      <c r="AA21" s="1400"/>
      <c r="AB21" s="1400"/>
      <c r="AC21" s="1461"/>
      <c r="AD21" s="1461"/>
    </row>
    <row r="22" spans="1:40" s="1418" customFormat="1" ht="14.25">
      <c r="A22" s="1629" t="s">
        <v>1869</v>
      </c>
      <c r="B22" s="1472" t="s">
        <v>975</v>
      </c>
      <c r="C22" s="1056" t="s">
        <v>1701</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8"/>
      <c r="L22" s="1470"/>
      <c r="M22" s="1470"/>
      <c r="N22" s="1467" t="s">
        <v>977</v>
      </c>
      <c r="O22" s="1530"/>
      <c r="P22" s="2733">
        <f>SUMPRODUCT((地价!A3:A26=YEAR(G19)&amp;"-"&amp;ROUNDUP(MONTH(G19)/3,0))*(地价!AD2:AH2=N22)*(地价!AD3:AH26))</f>
        <v>1.46E-2</v>
      </c>
      <c r="Q22" s="2881"/>
      <c r="R22" s="2181"/>
      <c r="S22" s="2181"/>
      <c r="T22" s="2181"/>
      <c r="U22" s="2181"/>
      <c r="V22" s="2181"/>
      <c r="W22" s="2181"/>
      <c r="X22" s="2181"/>
      <c r="Y22" s="1461"/>
      <c r="Z22" s="1461"/>
      <c r="AA22" s="1461"/>
      <c r="AB22" s="1461"/>
      <c r="AC22" s="1461"/>
      <c r="AD22" s="1461"/>
    </row>
    <row r="23" spans="1:40" ht="15.75" thickBot="1">
      <c r="A23" s="1629" t="s">
        <v>1870</v>
      </c>
      <c r="B23" s="1472" t="s">
        <v>978</v>
      </c>
      <c r="C23" s="1057">
        <f>ROUND(IF(G3&gt;1,IF(I3&lt;7,SUMPRODUCT((B93:B98=I3)*(C92:N92=G2)*(C93:N98)),SUMIF(C92:N92,G2,C100:N100)),IF(I3&lt;7,SUMPRODUCT((B102:B107=I3)*(C92:N92=G2)*(C102:N107)),SUMIF(C92:N92,G2,C109:N109))),4)</f>
        <v>0</v>
      </c>
      <c r="D23" s="1518"/>
      <c r="E23" s="1518"/>
      <c r="F23" s="1519"/>
      <c r="G23" s="1520"/>
      <c r="H23" s="1521"/>
      <c r="I23" s="1522"/>
      <c r="J23" s="1522"/>
      <c r="K23" s="3159"/>
      <c r="L23" s="1398"/>
      <c r="M23" s="1398"/>
      <c r="N23" s="1467" t="s">
        <v>922</v>
      </c>
      <c r="O23" s="1530"/>
      <c r="P23" s="2733">
        <f>SUMPRODUCT((地价!A3:A26=YEAR(G19)&amp;"-"&amp;ROUNDUP(MONTH(G19)/3,0))*(地价!AD2:AH2=N23)*(地价!AD3:AH26))</f>
        <v>2.2599999999999999E-2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1871</v>
      </c>
      <c r="B24" s="1412" t="s">
        <v>979</v>
      </c>
      <c r="C24" s="1058">
        <f>SUMIF(A44:A87,E2,B44:B87)</f>
        <v>0</v>
      </c>
      <c r="D24" s="1523"/>
      <c r="E24" s="1524"/>
      <c r="F24" s="1524"/>
      <c r="G24" s="1524"/>
      <c r="H24" s="1524"/>
      <c r="I24" s="1524"/>
      <c r="J24" s="1524"/>
      <c r="K24" s="3159"/>
      <c r="L24" s="1470"/>
      <c r="M24" s="1470"/>
      <c r="N24" s="1467" t="s">
        <v>980</v>
      </c>
      <c r="O24" s="3163"/>
      <c r="P24" s="2733">
        <f>SUMPRODUCT((地价!A3:A26=YEAR(G19)&amp;"-"&amp;ROUNDUP(MONTH(G19)/3,0))*(地价!AD2:AH2=N24)*(地价!AD3:AH26))</f>
        <v>1.4E-2</v>
      </c>
      <c r="Q24" s="2881"/>
      <c r="R24" s="2181"/>
      <c r="S24" s="2181"/>
      <c r="T24" s="2181"/>
      <c r="U24" s="2181"/>
      <c r="V24" s="2181"/>
      <c r="W24" s="2181"/>
      <c r="X24" s="2181"/>
      <c r="Y24" s="1461"/>
      <c r="Z24" s="1461"/>
      <c r="AA24" s="1461"/>
      <c r="AB24" s="1461"/>
      <c r="AC24" s="1461"/>
      <c r="AD24" s="1461"/>
    </row>
    <row r="25" spans="1:40" ht="15" thickBot="1">
      <c r="A25" s="1627" t="s">
        <v>1872</v>
      </c>
      <c r="B25" s="1474" t="s">
        <v>981</v>
      </c>
      <c r="C25" s="1475"/>
      <c r="D25" s="1427"/>
      <c r="E25" s="1427"/>
      <c r="F25" s="1476"/>
      <c r="G25" s="1427"/>
      <c r="H25" s="1427"/>
      <c r="I25" s="1427"/>
      <c r="J25" s="1428"/>
      <c r="K25" s="1453"/>
      <c r="L25" s="2181"/>
      <c r="M25" s="2181"/>
      <c r="N25" s="3165" t="s">
        <v>2644</v>
      </c>
      <c r="O25" s="3166"/>
      <c r="P25" s="2412">
        <f>SUMPRODUCT((地价!A3:A26=YEAR(G19)&amp;"-"&amp;ROUNDUP(MONTH(G19)/3,0))*(地价!AD2:AH2=N25)*(地价!AD3:AH26))</f>
        <v>2.06E-2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985</v>
      </c>
      <c r="C26" s="1059" t="e">
        <f>E29+SUM(E33:E39)</f>
        <v>#DIV/0!</v>
      </c>
      <c r="D26" s="1478"/>
      <c r="E26" s="1453"/>
      <c r="F26" s="1479"/>
      <c r="G26" s="1453"/>
      <c r="H26" s="1453"/>
      <c r="I26" s="1453"/>
      <c r="J26" s="1480"/>
      <c r="K26" s="1453"/>
      <c r="L26" s="1584" t="s">
        <v>897</v>
      </c>
      <c r="M26" s="1425" t="s">
        <v>982</v>
      </c>
      <c r="N26" s="1425" t="s">
        <v>983</v>
      </c>
      <c r="O26" s="1425" t="s">
        <v>901</v>
      </c>
      <c r="P26" s="1465" t="s">
        <v>984</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987</v>
      </c>
      <c r="C27" s="1060" t="e">
        <f>E30+SUM(I33:I39)</f>
        <v>#DIV/0!</v>
      </c>
      <c r="D27" s="1482"/>
      <c r="E27" s="1483"/>
      <c r="F27" s="1484"/>
      <c r="G27" s="1483"/>
      <c r="H27" s="1483"/>
      <c r="I27" s="1483"/>
      <c r="J27" s="1485"/>
      <c r="K27" s="1453"/>
      <c r="L27" s="1457" t="s">
        <v>986</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988</v>
      </c>
      <c r="C28" s="1487" t="s">
        <v>989</v>
      </c>
      <c r="D28" s="1487" t="s">
        <v>990</v>
      </c>
      <c r="E28" s="1488" t="s">
        <v>991</v>
      </c>
      <c r="F28" s="1489"/>
      <c r="G28" s="1439"/>
      <c r="H28" s="1439"/>
      <c r="I28" s="1439"/>
      <c r="J28" s="1440"/>
      <c r="K28" s="1453"/>
      <c r="L28" s="1458" t="s">
        <v>972</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992</v>
      </c>
      <c r="C29" s="1059" t="e">
        <f>ROUND(C5*C18*C19*C20*C21*C24,0)</f>
        <v>#DIV/0!</v>
      </c>
      <c r="D29" s="1492"/>
      <c r="E29" s="1835" t="e">
        <f>ROUND(C29*D29/10000,0)</f>
        <v>#DIV/0!</v>
      </c>
      <c r="F29" s="1493" t="s">
        <v>1700</v>
      </c>
      <c r="G29" s="1494"/>
      <c r="H29" s="1494"/>
      <c r="I29" s="1494"/>
      <c r="J29" s="1495"/>
      <c r="K29" s="3160"/>
      <c r="L29" s="3160"/>
      <c r="M29" s="3160"/>
      <c r="N29" s="3160"/>
      <c r="O29" s="3160"/>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993</v>
      </c>
      <c r="C30" s="1051" t="e">
        <f>ROUND(IF(E2="工业",C29*M39,C29*M38),0)</f>
        <v>#DIV/0!</v>
      </c>
      <c r="D30" s="1498"/>
      <c r="E30" s="1835" t="e">
        <f>ROUND(C30*D30/10000,0)</f>
        <v>#DIV/0!</v>
      </c>
      <c r="F30" s="1499" t="s">
        <v>994</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995</v>
      </c>
      <c r="C31" s="1504" t="s">
        <v>996</v>
      </c>
      <c r="D31" s="1439"/>
      <c r="E31" s="1504"/>
      <c r="F31" s="1504"/>
      <c r="G31" s="1437" t="s">
        <v>994</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989</v>
      </c>
      <c r="D32" s="1508" t="s">
        <v>990</v>
      </c>
      <c r="E32" s="1508" t="s">
        <v>991</v>
      </c>
      <c r="F32" s="1509" t="s">
        <v>997</v>
      </c>
      <c r="G32" s="1468" t="s">
        <v>989</v>
      </c>
      <c r="H32" s="1468" t="s">
        <v>990</v>
      </c>
      <c r="I32" s="1468" t="s">
        <v>991</v>
      </c>
      <c r="J32" s="1510"/>
      <c r="K32" s="3161"/>
      <c r="L32" s="3161"/>
      <c r="M32" s="3161"/>
      <c r="N32" s="3161"/>
      <c r="O32" s="3161"/>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51" t="s">
        <v>2957</v>
      </c>
      <c r="B33" s="1512" t="s">
        <v>998</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62"/>
      <c r="L33" s="3162"/>
      <c r="M33" s="3162"/>
      <c r="N33" s="3162"/>
      <c r="O33" s="3162"/>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52"/>
      <c r="B34" s="1442" t="s">
        <v>999</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62"/>
      <c r="L34" s="3162"/>
      <c r="M34" s="3162"/>
      <c r="N34" s="3162"/>
      <c r="O34" s="3162"/>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52"/>
      <c r="B35" s="1442" t="s">
        <v>1000</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62"/>
      <c r="L35" s="3162"/>
      <c r="M35" s="3162"/>
      <c r="N35" s="3162"/>
      <c r="O35" s="3162"/>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53"/>
      <c r="B36" s="1442" t="s">
        <v>1001</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62"/>
      <c r="L36" s="3162"/>
      <c r="M36" s="3162"/>
      <c r="N36" s="3162"/>
      <c r="O36" s="3162"/>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1002</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1702</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1003</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1704</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1004</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1703</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51" t="s">
        <v>2984</v>
      </c>
      <c r="C41" s="839" t="e">
        <f>ROUND(POWER(1+E41,H41-G41)*(POWER(1+E41,G41)-1)/(POWER(1+E41,H41)-1),4)</f>
        <v>#DIV/0!</v>
      </c>
      <c r="D41" s="378" t="s">
        <v>2982</v>
      </c>
      <c r="E41" s="3150">
        <f>G20</f>
        <v>0</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1005</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1006</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1007</v>
      </c>
      <c r="B46" s="2373" t="s">
        <v>1008</v>
      </c>
      <c r="C46" s="2395" t="s">
        <v>1009</v>
      </c>
      <c r="D46" s="2396" t="s">
        <v>1010</v>
      </c>
      <c r="E46" s="2397" t="s">
        <v>1012</v>
      </c>
      <c r="F46" s="2398" t="s">
        <v>2248</v>
      </c>
      <c r="G46" s="2396" t="s">
        <v>1013</v>
      </c>
      <c r="H46" s="2379" t="s">
        <v>2415</v>
      </c>
      <c r="I46" s="2396" t="s">
        <v>1011</v>
      </c>
      <c r="J46" s="2399" t="s">
        <v>1014</v>
      </c>
      <c r="K46" s="2399" t="s">
        <v>1015</v>
      </c>
      <c r="L46" s="2399" t="s">
        <v>1016</v>
      </c>
      <c r="M46" s="2399" t="s">
        <v>1017</v>
      </c>
      <c r="N46" s="2399" t="s">
        <v>1018</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1019</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1020</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1021</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1022</v>
      </c>
      <c r="B50" s="3050" t="s">
        <v>2933</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1023</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1024</v>
      </c>
      <c r="B52" s="3049" t="s">
        <v>2932</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1025</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1026</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1027</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1028</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1007</v>
      </c>
      <c r="B57" s="2373"/>
      <c r="C57" s="2395" t="s">
        <v>1009</v>
      </c>
      <c r="D57" s="2396" t="s">
        <v>1010</v>
      </c>
      <c r="E57" s="2397" t="s">
        <v>1012</v>
      </c>
      <c r="F57" s="2398" t="s">
        <v>2249</v>
      </c>
      <c r="G57" s="2396" t="s">
        <v>1013</v>
      </c>
      <c r="H57" s="2379" t="s">
        <v>2415</v>
      </c>
      <c r="I57" s="2396" t="s">
        <v>1011</v>
      </c>
      <c r="J57" s="2399" t="s">
        <v>1014</v>
      </c>
      <c r="K57" s="2399" t="s">
        <v>1015</v>
      </c>
      <c r="L57" s="2399" t="s">
        <v>1016</v>
      </c>
      <c r="M57" s="2399" t="s">
        <v>1017</v>
      </c>
      <c r="N57" s="2399" t="s">
        <v>1018</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1029</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1020</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1021</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1022</v>
      </c>
      <c r="B61" s="3050" t="s">
        <v>2934</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1023</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1024</v>
      </c>
      <c r="B63" s="3049" t="s">
        <v>2932</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1025</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1026</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1027</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1030</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1007</v>
      </c>
      <c r="B68" s="2373"/>
      <c r="C68" s="2395" t="s">
        <v>1009</v>
      </c>
      <c r="D68" s="2396" t="s">
        <v>1010</v>
      </c>
      <c r="E68" s="2397" t="s">
        <v>1012</v>
      </c>
      <c r="F68" s="2398" t="s">
        <v>2250</v>
      </c>
      <c r="G68" s="2396" t="s">
        <v>1013</v>
      </c>
      <c r="H68" s="2379" t="s">
        <v>2415</v>
      </c>
      <c r="I68" s="2396" t="s">
        <v>1011</v>
      </c>
      <c r="J68" s="2399" t="s">
        <v>1014</v>
      </c>
      <c r="K68" s="2399" t="s">
        <v>1015</v>
      </c>
      <c r="L68" s="2399" t="s">
        <v>1016</v>
      </c>
      <c r="M68" s="2399" t="s">
        <v>1017</v>
      </c>
      <c r="N68" s="2399" t="s">
        <v>1018</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1031</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1032</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1021</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1033</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1025</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1026</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1024</v>
      </c>
      <c r="B75" s="3049" t="s">
        <v>2932</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1027</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1034</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1035</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1007</v>
      </c>
      <c r="B79" s="2373"/>
      <c r="C79" s="2395" t="s">
        <v>1009</v>
      </c>
      <c r="D79" s="2396" t="s">
        <v>1010</v>
      </c>
      <c r="E79" s="2397" t="s">
        <v>1012</v>
      </c>
      <c r="F79" s="2398" t="s">
        <v>2251</v>
      </c>
      <c r="G79" s="2396" t="s">
        <v>1013</v>
      </c>
      <c r="H79" s="2379" t="s">
        <v>2415</v>
      </c>
      <c r="I79" s="2396" t="s">
        <v>1011</v>
      </c>
      <c r="J79" s="2399" t="s">
        <v>1014</v>
      </c>
      <c r="K79" s="2399" t="s">
        <v>1015</v>
      </c>
      <c r="L79" s="2399" t="s">
        <v>1016</v>
      </c>
      <c r="M79" s="2399" t="s">
        <v>1017</v>
      </c>
      <c r="N79" s="2399" t="s">
        <v>1018</v>
      </c>
      <c r="AC79" s="1402"/>
      <c r="AD79" s="1401"/>
      <c r="AJ79" s="1400"/>
      <c r="AN79" s="1401"/>
    </row>
    <row r="80" spans="1:40" ht="36">
      <c r="A80" s="1063" t="s">
        <v>1036</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1032</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1021</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1033</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1025</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1026</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1024</v>
      </c>
      <c r="B86" s="3049" t="s">
        <v>2932</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1037</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49" t="s">
        <v>1632</v>
      </c>
      <c r="B90" s="3449"/>
      <c r="C90" s="3449"/>
      <c r="D90" s="3449"/>
      <c r="E90" s="3449"/>
      <c r="F90" s="3449"/>
      <c r="G90" s="3449"/>
      <c r="H90" s="3449"/>
      <c r="I90" s="3449"/>
      <c r="J90" s="3449"/>
      <c r="K90" s="2415"/>
      <c r="L90" s="2415"/>
      <c r="M90" s="2415"/>
      <c r="N90" s="2415"/>
    </row>
    <row r="91" spans="1:40">
      <c r="A91" s="3450" t="s">
        <v>1442</v>
      </c>
      <c r="B91" s="3450" t="s">
        <v>1633</v>
      </c>
      <c r="C91" s="1136" t="s">
        <v>1634</v>
      </c>
      <c r="D91" s="1137"/>
      <c r="E91" s="1137"/>
      <c r="F91" s="1137"/>
      <c r="G91" s="1137"/>
      <c r="H91" s="1137"/>
      <c r="I91" s="1137"/>
      <c r="J91" s="1138"/>
      <c r="K91" s="1130"/>
      <c r="L91" s="1130"/>
      <c r="M91" s="1130"/>
      <c r="N91" s="1130"/>
    </row>
    <row r="92" spans="1:40">
      <c r="A92" s="3450"/>
      <c r="B92" s="3450"/>
      <c r="C92" s="2414" t="s">
        <v>906</v>
      </c>
      <c r="D92" s="2414" t="s">
        <v>884</v>
      </c>
      <c r="E92" s="2414" t="s">
        <v>885</v>
      </c>
      <c r="F92" s="2414" t="s">
        <v>909</v>
      </c>
      <c r="G92" s="2414" t="s">
        <v>887</v>
      </c>
      <c r="H92" s="2414" t="s">
        <v>888</v>
      </c>
      <c r="I92" s="2414" t="s">
        <v>889</v>
      </c>
      <c r="J92" s="2414" t="s">
        <v>890</v>
      </c>
      <c r="K92" s="2414" t="s">
        <v>914</v>
      </c>
      <c r="L92" s="2414" t="s">
        <v>892</v>
      </c>
      <c r="M92" s="2414" t="s">
        <v>893</v>
      </c>
      <c r="N92" s="2414" t="s">
        <v>917</v>
      </c>
    </row>
    <row r="93" spans="1:40">
      <c r="A93" s="3457"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5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5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5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5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5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58"/>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5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57" t="s">
        <v>1636</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5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5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5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5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5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5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58"/>
      <c r="B108" s="3460"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59"/>
      <c r="B109" s="346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43" t="s">
        <v>1638</v>
      </c>
      <c r="B110" s="3443"/>
      <c r="C110" s="3443"/>
      <c r="D110" s="3443"/>
      <c r="E110" s="3443"/>
      <c r="F110" s="3443"/>
      <c r="G110" s="3443"/>
      <c r="H110" s="3443"/>
      <c r="I110" s="3443"/>
      <c r="J110" s="3443"/>
      <c r="K110" s="2413"/>
      <c r="L110" s="2413"/>
      <c r="M110" s="2413"/>
      <c r="N110" s="2413"/>
    </row>
    <row r="112" spans="1:14" ht="12.75" thickBot="1"/>
    <row r="113" spans="1:13" ht="25.5" thickBot="1">
      <c r="A113" s="1016" t="s">
        <v>895</v>
      </c>
      <c r="B113" s="2416">
        <f>G3</f>
        <v>4</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900</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901</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902</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72" t="s">
        <v>2987</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5" customFormat="1" ht="19.5" customHeight="1">
      <c r="A18" s="3450" t="s">
        <v>1006</v>
      </c>
      <c r="B18" s="1150" t="s">
        <v>1445</v>
      </c>
      <c r="C18" s="1127" t="s">
        <v>1446</v>
      </c>
      <c r="D18" s="1128"/>
      <c r="E18" s="1150">
        <v>1</v>
      </c>
      <c r="F18" s="1129" t="s">
        <v>1447</v>
      </c>
      <c r="G18" s="1130"/>
      <c r="H18" s="1101"/>
      <c r="I18" s="1101"/>
    </row>
    <row r="19" spans="1:9" s="1585" customFormat="1" ht="19.5" customHeight="1">
      <c r="A19" s="3450"/>
      <c r="B19" s="3450" t="s">
        <v>1448</v>
      </c>
      <c r="C19" s="1127" t="s">
        <v>1449</v>
      </c>
      <c r="D19" s="1128"/>
      <c r="E19" s="1150">
        <v>0.9</v>
      </c>
      <c r="F19" s="1129" t="s">
        <v>1450</v>
      </c>
      <c r="G19" s="1130"/>
      <c r="H19" s="1101"/>
      <c r="I19" s="1101"/>
    </row>
    <row r="20" spans="1:9" s="1585" customFormat="1" ht="19.5" customHeight="1">
      <c r="A20" s="3450"/>
      <c r="B20" s="3450"/>
      <c r="C20" s="1127" t="s">
        <v>1451</v>
      </c>
      <c r="D20" s="1128"/>
      <c r="E20" s="1150">
        <v>1.1000000000000001</v>
      </c>
      <c r="F20" s="1129" t="s">
        <v>1452</v>
      </c>
      <c r="G20" s="1130"/>
      <c r="H20" s="1101"/>
      <c r="I20" s="1101"/>
    </row>
    <row r="21" spans="1:9" s="1585" customFormat="1" ht="19.5" customHeight="1">
      <c r="A21" s="3450"/>
      <c r="B21" s="3450"/>
      <c r="C21" s="1127" t="s">
        <v>1453</v>
      </c>
      <c r="D21" s="1128"/>
      <c r="E21" s="1150">
        <v>0.8</v>
      </c>
      <c r="F21" s="1129" t="s">
        <v>1454</v>
      </c>
      <c r="G21" s="1130"/>
      <c r="H21" s="1101"/>
      <c r="I21" s="1101"/>
    </row>
    <row r="22" spans="1:9" s="1585" customFormat="1" ht="19.5" customHeight="1">
      <c r="A22" s="3450"/>
      <c r="B22" s="3450"/>
      <c r="C22" s="1127" t="s">
        <v>1455</v>
      </c>
      <c r="D22" s="1128"/>
      <c r="E22" s="1150">
        <v>0.5</v>
      </c>
      <c r="F22" s="1129"/>
      <c r="G22" s="1130"/>
      <c r="H22" s="1101"/>
      <c r="I22" s="1101"/>
    </row>
    <row r="23" spans="1:9" s="1585" customFormat="1" ht="19.5" customHeight="1">
      <c r="A23" s="3450" t="s">
        <v>1028</v>
      </c>
      <c r="B23" s="1150" t="s">
        <v>1445</v>
      </c>
      <c r="C23" s="1127" t="s">
        <v>1456</v>
      </c>
      <c r="D23" s="1128"/>
      <c r="E23" s="1150">
        <v>1</v>
      </c>
      <c r="F23" s="1129" t="s">
        <v>1457</v>
      </c>
      <c r="G23" s="1130"/>
      <c r="H23" s="1101"/>
      <c r="I23" s="1101"/>
    </row>
    <row r="24" spans="1:9" s="1585" customFormat="1" ht="19.5" customHeight="1">
      <c r="A24" s="3450"/>
      <c r="B24" s="3450" t="s">
        <v>1448</v>
      </c>
      <c r="C24" s="1127" t="s">
        <v>1458</v>
      </c>
      <c r="D24" s="1128"/>
      <c r="E24" s="1150">
        <v>0.5</v>
      </c>
      <c r="F24" s="1129"/>
      <c r="G24" s="1130"/>
      <c r="H24" s="1101"/>
      <c r="I24" s="1101"/>
    </row>
    <row r="25" spans="1:9" s="1585" customFormat="1" ht="19.5" customHeight="1">
      <c r="A25" s="3450"/>
      <c r="B25" s="3450"/>
      <c r="C25" s="1127" t="s">
        <v>1459</v>
      </c>
      <c r="D25" s="1128"/>
      <c r="E25" s="1150">
        <v>1.1000000000000001</v>
      </c>
      <c r="F25" s="1129"/>
      <c r="G25" s="1130"/>
      <c r="H25" s="1101"/>
      <c r="I25" s="1101"/>
    </row>
    <row r="26" spans="1:9" s="1585" customFormat="1" ht="19.5" customHeight="1">
      <c r="A26" s="3450"/>
      <c r="B26" s="3450"/>
      <c r="C26" s="1127" t="s">
        <v>1460</v>
      </c>
      <c r="D26" s="1128"/>
      <c r="E26" s="1150">
        <v>1.1000000000000001</v>
      </c>
      <c r="F26" s="1129"/>
      <c r="G26" s="1130"/>
      <c r="H26" s="1101"/>
      <c r="I26" s="1101"/>
    </row>
    <row r="27" spans="1:9" s="1585" customFormat="1" ht="19.5" customHeight="1">
      <c r="A27" s="3450"/>
      <c r="B27" s="3450"/>
      <c r="C27" s="1127" t="s">
        <v>1461</v>
      </c>
      <c r="D27" s="1128"/>
      <c r="E27" s="1150">
        <v>0.9</v>
      </c>
      <c r="F27" s="1129" t="s">
        <v>1462</v>
      </c>
      <c r="G27" s="1130"/>
      <c r="H27" s="1101"/>
      <c r="I27" s="1101"/>
    </row>
    <row r="28" spans="1:9" s="1585" customFormat="1" ht="19.5" customHeight="1">
      <c r="A28" s="3450"/>
      <c r="B28" s="3450"/>
      <c r="C28" s="1127" t="s">
        <v>1463</v>
      </c>
      <c r="D28" s="1128"/>
      <c r="E28" s="1150">
        <v>0.9</v>
      </c>
      <c r="F28" s="1129" t="s">
        <v>1464</v>
      </c>
      <c r="G28" s="1130"/>
      <c r="H28" s="1101"/>
      <c r="I28" s="1101"/>
    </row>
    <row r="29" spans="1:9" s="1585" customFormat="1" ht="19.5" customHeight="1">
      <c r="A29" s="3450"/>
      <c r="B29" s="3450"/>
      <c r="C29" s="1127" t="s">
        <v>1465</v>
      </c>
      <c r="D29" s="1128"/>
      <c r="E29" s="1150">
        <v>0.9</v>
      </c>
      <c r="F29" s="1129" t="s">
        <v>1466</v>
      </c>
      <c r="G29" s="1130"/>
      <c r="H29" s="1101"/>
      <c r="I29" s="1101"/>
    </row>
    <row r="30" spans="1:9" s="1585" customFormat="1" ht="19.5" customHeight="1">
      <c r="A30" s="3450"/>
      <c r="B30" s="3450"/>
      <c r="C30" s="1127" t="s">
        <v>1467</v>
      </c>
      <c r="D30" s="1128"/>
      <c r="E30" s="1150">
        <v>0.9</v>
      </c>
      <c r="F30" s="1129" t="s">
        <v>1468</v>
      </c>
      <c r="G30" s="1130"/>
      <c r="H30" s="1101"/>
      <c r="I30" s="1101"/>
    </row>
    <row r="31" spans="1:9" s="1585" customFormat="1" ht="19.5" customHeight="1">
      <c r="A31" s="3450"/>
      <c r="B31" s="3450"/>
      <c r="C31" s="1127" t="s">
        <v>1469</v>
      </c>
      <c r="D31" s="1128"/>
      <c r="E31" s="1150">
        <v>0.8</v>
      </c>
      <c r="F31" s="1129" t="s">
        <v>1470</v>
      </c>
      <c r="G31" s="1130"/>
      <c r="H31" s="1101"/>
      <c r="I31" s="1101"/>
    </row>
    <row r="32" spans="1:9" s="1585" customFormat="1" ht="19.5" customHeight="1">
      <c r="A32" s="3450"/>
      <c r="B32" s="3450"/>
      <c r="C32" s="1127" t="s">
        <v>1471</v>
      </c>
      <c r="D32" s="1128"/>
      <c r="E32" s="1150">
        <v>0.8</v>
      </c>
      <c r="F32" s="1129" t="s">
        <v>1472</v>
      </c>
      <c r="G32" s="1130"/>
      <c r="H32" s="1101"/>
      <c r="I32" s="1101"/>
    </row>
    <row r="33" spans="1:9" s="1585" customFormat="1" ht="19.5" customHeight="1">
      <c r="A33" s="3450" t="s">
        <v>1473</v>
      </c>
      <c r="B33" s="1150" t="s">
        <v>1445</v>
      </c>
      <c r="C33" s="1127" t="s">
        <v>1474</v>
      </c>
      <c r="D33" s="1128"/>
      <c r="E33" s="1150">
        <v>1</v>
      </c>
      <c r="F33" s="1129" t="s">
        <v>1475</v>
      </c>
      <c r="G33" s="1130"/>
      <c r="H33" s="1101"/>
      <c r="I33" s="1101"/>
    </row>
    <row r="34" spans="1:9" s="1585" customFormat="1" ht="19.5" customHeight="1">
      <c r="A34" s="3450"/>
      <c r="B34" s="1150" t="s">
        <v>1448</v>
      </c>
      <c r="C34" s="1127" t="s">
        <v>1476</v>
      </c>
      <c r="D34" s="1128"/>
      <c r="E34" s="1150">
        <v>1.5</v>
      </c>
      <c r="F34" s="1129" t="s">
        <v>1477</v>
      </c>
      <c r="G34" s="1130"/>
      <c r="H34" s="1101"/>
      <c r="I34" s="1101"/>
    </row>
    <row r="35" spans="1:9" s="1585" customFormat="1" ht="19.5" customHeight="1">
      <c r="A35" s="3450" t="s">
        <v>1431</v>
      </c>
      <c r="B35" s="1150" t="s">
        <v>1445</v>
      </c>
      <c r="C35" s="1127" t="s">
        <v>1478</v>
      </c>
      <c r="D35" s="1128"/>
      <c r="E35" s="1150">
        <v>1</v>
      </c>
      <c r="F35" s="1129" t="s">
        <v>1479</v>
      </c>
      <c r="G35" s="1130"/>
      <c r="H35" s="1101"/>
      <c r="I35" s="1101"/>
    </row>
    <row r="36" spans="1:9" s="1585" customFormat="1" ht="19.5" customHeight="1">
      <c r="A36" s="3450"/>
      <c r="B36" s="3450" t="s">
        <v>1448</v>
      </c>
      <c r="C36" s="1127" t="s">
        <v>1480</v>
      </c>
      <c r="D36" s="1128"/>
      <c r="E36" s="1150">
        <v>1</v>
      </c>
      <c r="F36" s="1129" t="s">
        <v>1481</v>
      </c>
      <c r="G36" s="1130"/>
      <c r="H36" s="1101"/>
      <c r="I36" s="1101"/>
    </row>
    <row r="37" spans="1:9" s="1585" customFormat="1" ht="19.5" customHeight="1">
      <c r="A37" s="3450"/>
      <c r="B37" s="3450"/>
      <c r="C37" s="1127" t="s">
        <v>1482</v>
      </c>
      <c r="D37" s="1128"/>
      <c r="E37" s="1150">
        <v>1.5</v>
      </c>
      <c r="F37" s="1129" t="s">
        <v>1483</v>
      </c>
      <c r="G37" s="1130"/>
      <c r="H37" s="1101"/>
      <c r="I37" s="1101"/>
    </row>
    <row r="38" spans="1:9" s="1585" customFormat="1" ht="19.5" customHeight="1">
      <c r="A38" s="3450"/>
      <c r="B38" s="3450"/>
      <c r="C38" s="1127" t="s">
        <v>1484</v>
      </c>
      <c r="D38" s="1128"/>
      <c r="E38" s="1150">
        <v>1</v>
      </c>
      <c r="F38" s="1129" t="s">
        <v>1485</v>
      </c>
      <c r="G38" s="1130"/>
      <c r="H38" s="1101"/>
      <c r="I38" s="1101"/>
    </row>
    <row r="39" spans="1:9" s="1585" customFormat="1" ht="19.5" customHeight="1">
      <c r="A39" s="3450"/>
      <c r="B39" s="3450"/>
      <c r="C39" s="1127" t="s">
        <v>1486</v>
      </c>
      <c r="D39" s="1128"/>
      <c r="E39" s="1150">
        <v>1</v>
      </c>
      <c r="F39" s="1129" t="s">
        <v>1487</v>
      </c>
      <c r="G39" s="1130"/>
      <c r="H39" s="1101"/>
      <c r="I39" s="1101"/>
    </row>
    <row r="40" spans="1:9" s="1585" customFormat="1" ht="19.5" customHeight="1">
      <c r="A40" s="1586" t="s">
        <v>1488</v>
      </c>
      <c r="B40" s="1586"/>
      <c r="C40" s="1586"/>
      <c r="D40" s="1586"/>
      <c r="E40" s="1586"/>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24">
      <c r="A61" s="1150">
        <v>1</v>
      </c>
      <c r="B61" s="3450" t="s">
        <v>1500</v>
      </c>
      <c r="C61" s="1064" t="s">
        <v>1501</v>
      </c>
      <c r="D61" s="1064" t="s">
        <v>1502</v>
      </c>
      <c r="E61" s="1135">
        <v>0.5</v>
      </c>
      <c r="F61" s="1150">
        <v>80</v>
      </c>
      <c r="H61" s="1101">
        <f>SUMIF(C59:C119,基准地价!C8,E59:E119)</f>
        <v>0</v>
      </c>
    </row>
    <row r="62" spans="1:8" s="1101" customFormat="1" ht="24">
      <c r="A62" s="1150">
        <v>2</v>
      </c>
      <c r="B62" s="3450"/>
      <c r="C62" s="1064" t="s">
        <v>1503</v>
      </c>
      <c r="D62" s="1064" t="s">
        <v>1504</v>
      </c>
      <c r="E62" s="1135">
        <v>0.5</v>
      </c>
      <c r="F62" s="1150">
        <v>80</v>
      </c>
    </row>
    <row r="63" spans="1:8" s="1101" customFormat="1" ht="36">
      <c r="A63" s="1150">
        <v>3</v>
      </c>
      <c r="B63" s="3450"/>
      <c r="C63" s="1064" t="s">
        <v>1505</v>
      </c>
      <c r="D63" s="1064" t="s">
        <v>1506</v>
      </c>
      <c r="E63" s="1135">
        <v>0.5</v>
      </c>
      <c r="F63" s="1150">
        <v>80</v>
      </c>
    </row>
    <row r="64" spans="1:8" s="1101" customFormat="1" ht="36">
      <c r="A64" s="1150">
        <v>4</v>
      </c>
      <c r="B64" s="3450"/>
      <c r="C64" s="1064" t="s">
        <v>1507</v>
      </c>
      <c r="D64" s="1064" t="s">
        <v>1508</v>
      </c>
      <c r="E64" s="1135">
        <v>0.4</v>
      </c>
      <c r="F64" s="1150">
        <v>60</v>
      </c>
    </row>
    <row r="65" spans="1:6" s="1101" customFormat="1" ht="36">
      <c r="A65" s="1150">
        <v>5</v>
      </c>
      <c r="B65" s="3450"/>
      <c r="C65" s="1064" t="s">
        <v>1509</v>
      </c>
      <c r="D65" s="1064" t="s">
        <v>1510</v>
      </c>
      <c r="E65" s="1135">
        <v>0.2</v>
      </c>
      <c r="F65" s="1150">
        <v>30</v>
      </c>
    </row>
    <row r="66" spans="1:6" s="1101" customFormat="1" ht="36">
      <c r="A66" s="1150">
        <v>6</v>
      </c>
      <c r="B66" s="3450"/>
      <c r="C66" s="1064" t="s">
        <v>1511</v>
      </c>
      <c r="D66" s="1064" t="s">
        <v>1512</v>
      </c>
      <c r="E66" s="1135">
        <v>0.3</v>
      </c>
      <c r="F66" s="1150">
        <v>50</v>
      </c>
    </row>
    <row r="67" spans="1:6" s="1101" customFormat="1" ht="36">
      <c r="A67" s="1150">
        <v>7</v>
      </c>
      <c r="B67" s="3450"/>
      <c r="C67" s="1064" t="s">
        <v>1513</v>
      </c>
      <c r="D67" s="1064" t="s">
        <v>1514</v>
      </c>
      <c r="E67" s="1135">
        <v>0.2</v>
      </c>
      <c r="F67" s="1150">
        <v>30</v>
      </c>
    </row>
    <row r="68" spans="1:6" s="1101" customFormat="1" ht="36">
      <c r="A68" s="1150">
        <v>8</v>
      </c>
      <c r="B68" s="3450"/>
      <c r="C68" s="1064" t="s">
        <v>1515</v>
      </c>
      <c r="D68" s="1064" t="s">
        <v>1516</v>
      </c>
      <c r="E68" s="1135">
        <v>0.2</v>
      </c>
      <c r="F68" s="1150">
        <v>30</v>
      </c>
    </row>
    <row r="69" spans="1:6" s="1101" customFormat="1" ht="36">
      <c r="A69" s="1150">
        <v>9</v>
      </c>
      <c r="B69" s="3450"/>
      <c r="C69" s="1064" t="s">
        <v>1517</v>
      </c>
      <c r="D69" s="1064" t="s">
        <v>1518</v>
      </c>
      <c r="E69" s="1135">
        <v>0.2</v>
      </c>
      <c r="F69" s="1150">
        <v>30</v>
      </c>
    </row>
    <row r="70" spans="1:6" s="1101" customFormat="1" ht="48">
      <c r="A70" s="1150">
        <v>10</v>
      </c>
      <c r="B70" s="3450"/>
      <c r="C70" s="1064" t="s">
        <v>1519</v>
      </c>
      <c r="D70" s="1064" t="s">
        <v>1520</v>
      </c>
      <c r="E70" s="1135">
        <v>0.2</v>
      </c>
      <c r="F70" s="1150">
        <v>30</v>
      </c>
    </row>
    <row r="71" spans="1:6" s="1101" customFormat="1" ht="48">
      <c r="A71" s="1150">
        <v>11</v>
      </c>
      <c r="B71" s="3450"/>
      <c r="C71" s="1064" t="s">
        <v>1521</v>
      </c>
      <c r="D71" s="1064" t="s">
        <v>1522</v>
      </c>
      <c r="E71" s="1135">
        <v>0.2</v>
      </c>
      <c r="F71" s="1150">
        <v>30</v>
      </c>
    </row>
    <row r="72" spans="1:6" s="1101" customFormat="1" ht="36">
      <c r="A72" s="1150">
        <v>12</v>
      </c>
      <c r="B72" s="3450"/>
      <c r="C72" s="1064" t="s">
        <v>1523</v>
      </c>
      <c r="D72" s="1064" t="s">
        <v>1524</v>
      </c>
      <c r="E72" s="1135">
        <v>0.5</v>
      </c>
      <c r="F72" s="1150">
        <v>80</v>
      </c>
    </row>
    <row r="73" spans="1:6" s="1101" customFormat="1" ht="24">
      <c r="A73" s="1150">
        <v>13</v>
      </c>
      <c r="B73" s="3450"/>
      <c r="C73" s="1064" t="s">
        <v>1525</v>
      </c>
      <c r="D73" s="1064" t="s">
        <v>1526</v>
      </c>
      <c r="E73" s="1135">
        <v>0.4</v>
      </c>
      <c r="F73" s="1150">
        <v>60</v>
      </c>
    </row>
    <row r="74" spans="1:6" s="1101" customFormat="1" ht="24">
      <c r="A74" s="1150">
        <v>14</v>
      </c>
      <c r="B74" s="3450"/>
      <c r="C74" s="1064" t="s">
        <v>1527</v>
      </c>
      <c r="D74" s="1064" t="s">
        <v>1528</v>
      </c>
      <c r="E74" s="1135">
        <v>0.2</v>
      </c>
      <c r="F74" s="1150">
        <v>30</v>
      </c>
    </row>
    <row r="75" spans="1:6" s="1101" customFormat="1" ht="24">
      <c r="A75" s="1150">
        <v>15</v>
      </c>
      <c r="B75" s="3450"/>
      <c r="C75" s="1064" t="s">
        <v>1529</v>
      </c>
      <c r="D75" s="1064" t="s">
        <v>1530</v>
      </c>
      <c r="E75" s="1135">
        <v>0.2</v>
      </c>
      <c r="F75" s="1150">
        <v>30</v>
      </c>
    </row>
    <row r="76" spans="1:6" s="1101" customFormat="1" ht="24">
      <c r="A76" s="1150">
        <v>16</v>
      </c>
      <c r="B76" s="3450" t="s">
        <v>1531</v>
      </c>
      <c r="C76" s="1064" t="s">
        <v>1532</v>
      </c>
      <c r="D76" s="1064" t="s">
        <v>1533</v>
      </c>
      <c r="E76" s="1135">
        <v>0.5</v>
      </c>
      <c r="F76" s="1150">
        <v>80</v>
      </c>
    </row>
    <row r="77" spans="1:6" s="1101" customFormat="1" ht="24">
      <c r="A77" s="1150">
        <v>17</v>
      </c>
      <c r="B77" s="3450"/>
      <c r="C77" s="1064" t="s">
        <v>1534</v>
      </c>
      <c r="D77" s="1064" t="s">
        <v>1535</v>
      </c>
      <c r="E77" s="1135">
        <v>0.5</v>
      </c>
      <c r="F77" s="1150">
        <v>80</v>
      </c>
    </row>
    <row r="78" spans="1:6" s="1101" customFormat="1" ht="24">
      <c r="A78" s="1150">
        <v>18</v>
      </c>
      <c r="B78" s="3450"/>
      <c r="C78" s="1064" t="s">
        <v>1536</v>
      </c>
      <c r="D78" s="1064" t="s">
        <v>1537</v>
      </c>
      <c r="E78" s="1135">
        <v>0.2</v>
      </c>
      <c r="F78" s="1150">
        <v>30</v>
      </c>
    </row>
    <row r="79" spans="1:6" s="1101" customFormat="1" ht="24">
      <c r="A79" s="1150">
        <v>19</v>
      </c>
      <c r="B79" s="3450"/>
      <c r="C79" s="1064" t="s">
        <v>1538</v>
      </c>
      <c r="D79" s="1064" t="s">
        <v>1539</v>
      </c>
      <c r="E79" s="1135">
        <v>0.5</v>
      </c>
      <c r="F79" s="1150">
        <v>80</v>
      </c>
    </row>
    <row r="80" spans="1:6" s="1101" customFormat="1" ht="36">
      <c r="A80" s="1150">
        <v>20</v>
      </c>
      <c r="B80" s="3450"/>
      <c r="C80" s="1064" t="s">
        <v>1540</v>
      </c>
      <c r="D80" s="1064" t="s">
        <v>1541</v>
      </c>
      <c r="E80" s="1135">
        <v>0.2</v>
      </c>
      <c r="F80" s="1150">
        <v>30</v>
      </c>
    </row>
    <row r="81" spans="1:6" s="1101" customFormat="1" ht="36">
      <c r="A81" s="1150">
        <v>21</v>
      </c>
      <c r="B81" s="3450"/>
      <c r="C81" s="1064" t="s">
        <v>1542</v>
      </c>
      <c r="D81" s="1064" t="s">
        <v>1543</v>
      </c>
      <c r="E81" s="1135">
        <v>0.2</v>
      </c>
      <c r="F81" s="1150">
        <v>30</v>
      </c>
    </row>
    <row r="82" spans="1:6" s="1101" customFormat="1" ht="48">
      <c r="A82" s="1150">
        <v>22</v>
      </c>
      <c r="B82" s="3450"/>
      <c r="C82" s="1064" t="s">
        <v>1544</v>
      </c>
      <c r="D82" s="1064" t="s">
        <v>1545</v>
      </c>
      <c r="E82" s="1135">
        <v>0.2</v>
      </c>
      <c r="F82" s="1150">
        <v>30</v>
      </c>
    </row>
    <row r="83" spans="1:6" s="1101" customFormat="1" ht="48">
      <c r="A83" s="1150">
        <v>23</v>
      </c>
      <c r="B83" s="3450"/>
      <c r="C83" s="1064" t="s">
        <v>1546</v>
      </c>
      <c r="D83" s="1064" t="s">
        <v>1547</v>
      </c>
      <c r="E83" s="1135">
        <v>0.2</v>
      </c>
      <c r="F83" s="1150">
        <v>30</v>
      </c>
    </row>
    <row r="84" spans="1:6" s="1101" customFormat="1" ht="36">
      <c r="A84" s="1150">
        <v>24</v>
      </c>
      <c r="B84" s="3450"/>
      <c r="C84" s="1064" t="s">
        <v>1548</v>
      </c>
      <c r="D84" s="1064" t="s">
        <v>1549</v>
      </c>
      <c r="E84" s="1135">
        <v>0.2</v>
      </c>
      <c r="F84" s="1150">
        <v>30</v>
      </c>
    </row>
    <row r="85" spans="1:6" s="1101" customFormat="1" ht="36">
      <c r="A85" s="1150">
        <v>25</v>
      </c>
      <c r="B85" s="3450"/>
      <c r="C85" s="1064" t="s">
        <v>1550</v>
      </c>
      <c r="D85" s="1064" t="s">
        <v>1551</v>
      </c>
      <c r="E85" s="1135">
        <v>0.5</v>
      </c>
      <c r="F85" s="1150">
        <v>80</v>
      </c>
    </row>
    <row r="86" spans="1:6" s="1101" customFormat="1" ht="36">
      <c r="A86" s="1150">
        <v>26</v>
      </c>
      <c r="B86" s="3450"/>
      <c r="C86" s="1064" t="s">
        <v>1552</v>
      </c>
      <c r="D86" s="1064" t="s">
        <v>1553</v>
      </c>
      <c r="E86" s="1135">
        <v>0.2</v>
      </c>
      <c r="F86" s="1150">
        <v>30</v>
      </c>
    </row>
    <row r="87" spans="1:6" s="1101" customFormat="1" ht="36">
      <c r="A87" s="1150">
        <v>27</v>
      </c>
      <c r="B87" s="3450"/>
      <c r="C87" s="1064" t="s">
        <v>1554</v>
      </c>
      <c r="D87" s="1064" t="s">
        <v>1555</v>
      </c>
      <c r="E87" s="1135">
        <v>0.2</v>
      </c>
      <c r="F87" s="1150">
        <v>30</v>
      </c>
    </row>
    <row r="88" spans="1:6" s="1101" customFormat="1" ht="36">
      <c r="A88" s="1150">
        <v>28</v>
      </c>
      <c r="B88" s="3450"/>
      <c r="C88" s="1064" t="s">
        <v>1556</v>
      </c>
      <c r="D88" s="1064" t="s">
        <v>1557</v>
      </c>
      <c r="E88" s="1135">
        <v>0.2</v>
      </c>
      <c r="F88" s="1150">
        <v>30</v>
      </c>
    </row>
    <row r="89" spans="1:6" s="1101" customFormat="1" ht="24">
      <c r="A89" s="1150">
        <v>29</v>
      </c>
      <c r="B89" s="3450"/>
      <c r="C89" s="1064" t="s">
        <v>1558</v>
      </c>
      <c r="D89" s="1064" t="s">
        <v>1559</v>
      </c>
      <c r="E89" s="1135">
        <v>0.2</v>
      </c>
      <c r="F89" s="1150">
        <v>30</v>
      </c>
    </row>
    <row r="90" spans="1:6" s="1101" customFormat="1" ht="24">
      <c r="A90" s="1150">
        <v>30</v>
      </c>
      <c r="B90" s="3450"/>
      <c r="C90" s="1064" t="s">
        <v>1560</v>
      </c>
      <c r="D90" s="1064" t="s">
        <v>1561</v>
      </c>
      <c r="E90" s="1135">
        <v>0.2</v>
      </c>
      <c r="F90" s="1150">
        <v>30</v>
      </c>
    </row>
    <row r="91" spans="1:6" s="1101" customFormat="1" ht="36">
      <c r="A91" s="1150">
        <v>31</v>
      </c>
      <c r="B91" s="3450"/>
      <c r="C91" s="1064" t="s">
        <v>1562</v>
      </c>
      <c r="D91" s="1064" t="s">
        <v>1563</v>
      </c>
      <c r="E91" s="1135">
        <v>0.2</v>
      </c>
      <c r="F91" s="1150">
        <v>30</v>
      </c>
    </row>
    <row r="92" spans="1:6" s="1101" customFormat="1" ht="24">
      <c r="A92" s="1150">
        <v>32</v>
      </c>
      <c r="B92" s="3450" t="s">
        <v>1564</v>
      </c>
      <c r="C92" s="1150" t="s">
        <v>1565</v>
      </c>
      <c r="D92" s="1064" t="s">
        <v>1566</v>
      </c>
      <c r="E92" s="1135">
        <v>0.2</v>
      </c>
      <c r="F92" s="1150">
        <v>30</v>
      </c>
    </row>
    <row r="93" spans="1:6" s="1101" customFormat="1" ht="36">
      <c r="A93" s="1150">
        <v>33</v>
      </c>
      <c r="B93" s="3450"/>
      <c r="C93" s="1150" t="s">
        <v>1567</v>
      </c>
      <c r="D93" s="1064" t="s">
        <v>1568</v>
      </c>
      <c r="E93" s="1135">
        <v>0.2</v>
      </c>
      <c r="F93" s="1150">
        <v>30</v>
      </c>
    </row>
    <row r="94" spans="1:6" s="1101" customFormat="1" ht="48">
      <c r="A94" s="1150">
        <v>34</v>
      </c>
      <c r="B94" s="3450"/>
      <c r="C94" s="1150" t="s">
        <v>1569</v>
      </c>
      <c r="D94" s="1064" t="s">
        <v>1570</v>
      </c>
      <c r="E94" s="1135">
        <v>0.2</v>
      </c>
      <c r="F94" s="1150">
        <v>30</v>
      </c>
    </row>
    <row r="95" spans="1:6" s="1101" customFormat="1" ht="36">
      <c r="A95" s="1150">
        <v>35</v>
      </c>
      <c r="B95" s="3450"/>
      <c r="C95" s="1150" t="s">
        <v>1571</v>
      </c>
      <c r="D95" s="1064" t="s">
        <v>1572</v>
      </c>
      <c r="E95" s="1135">
        <v>0.2</v>
      </c>
      <c r="F95" s="1150">
        <v>30</v>
      </c>
    </row>
    <row r="96" spans="1:6" s="1101" customFormat="1" ht="48">
      <c r="A96" s="1150">
        <v>36</v>
      </c>
      <c r="B96" s="3450"/>
      <c r="C96" s="1064" t="s">
        <v>1573</v>
      </c>
      <c r="D96" s="1064" t="s">
        <v>1574</v>
      </c>
      <c r="E96" s="1135">
        <v>0.2</v>
      </c>
      <c r="F96" s="1150">
        <v>30</v>
      </c>
    </row>
    <row r="97" spans="1:6" s="1101" customFormat="1" ht="36">
      <c r="A97" s="1150">
        <v>37</v>
      </c>
      <c r="B97" s="3450"/>
      <c r="C97" s="1150" t="s">
        <v>1575</v>
      </c>
      <c r="D97" s="1064" t="s">
        <v>1576</v>
      </c>
      <c r="E97" s="1135">
        <v>0.2</v>
      </c>
      <c r="F97" s="1150">
        <v>30</v>
      </c>
    </row>
    <row r="98" spans="1:6" s="1101" customFormat="1" ht="36">
      <c r="A98" s="1150">
        <v>38</v>
      </c>
      <c r="B98" s="3450"/>
      <c r="C98" s="1150" t="s">
        <v>1577</v>
      </c>
      <c r="D98" s="1064" t="s">
        <v>1578</v>
      </c>
      <c r="E98" s="1135">
        <v>0.2</v>
      </c>
      <c r="F98" s="1150">
        <v>30</v>
      </c>
    </row>
    <row r="99" spans="1:6" s="1101" customFormat="1" ht="36">
      <c r="A99" s="1150">
        <v>39</v>
      </c>
      <c r="B99" s="3450" t="s">
        <v>1579</v>
      </c>
      <c r="C99" s="1150" t="s">
        <v>1580</v>
      </c>
      <c r="D99" s="1064" t="s">
        <v>1581</v>
      </c>
      <c r="E99" s="1135">
        <v>0.3</v>
      </c>
      <c r="F99" s="1150">
        <v>50</v>
      </c>
    </row>
    <row r="100" spans="1:6" s="1101" customFormat="1" ht="24">
      <c r="A100" s="1150">
        <v>40</v>
      </c>
      <c r="B100" s="3450"/>
      <c r="C100" s="1150" t="s">
        <v>1582</v>
      </c>
      <c r="D100" s="1064" t="s">
        <v>1583</v>
      </c>
      <c r="E100" s="1135">
        <v>0.2</v>
      </c>
      <c r="F100" s="1150">
        <v>30</v>
      </c>
    </row>
    <row r="101" spans="1:6" s="1101" customFormat="1" ht="36">
      <c r="A101" s="1150">
        <v>41</v>
      </c>
      <c r="B101" s="3450"/>
      <c r="C101" s="1150" t="s">
        <v>1584</v>
      </c>
      <c r="D101" s="1064" t="s">
        <v>1581</v>
      </c>
      <c r="E101" s="1135">
        <v>0.2</v>
      </c>
      <c r="F101" s="1150">
        <v>30</v>
      </c>
    </row>
    <row r="102" spans="1:6" s="1101" customFormat="1" ht="48">
      <c r="A102" s="1150">
        <v>42</v>
      </c>
      <c r="B102" s="1150" t="s">
        <v>1585</v>
      </c>
      <c r="C102" s="1064" t="s">
        <v>1586</v>
      </c>
      <c r="D102" s="1064" t="s">
        <v>1587</v>
      </c>
      <c r="E102" s="1135">
        <v>0.2</v>
      </c>
      <c r="F102" s="1150">
        <v>30</v>
      </c>
    </row>
    <row r="103" spans="1:6" s="1101" customFormat="1" ht="24">
      <c r="A103" s="1150">
        <v>43</v>
      </c>
      <c r="B103" s="1150" t="s">
        <v>1588</v>
      </c>
      <c r="C103" s="1150" t="s">
        <v>1589</v>
      </c>
      <c r="D103" s="1064" t="s">
        <v>1590</v>
      </c>
      <c r="E103" s="1135">
        <v>0.2</v>
      </c>
      <c r="F103" s="1150">
        <v>30</v>
      </c>
    </row>
    <row r="104" spans="1:6" s="1101" customFormat="1" ht="36">
      <c r="A104" s="1150">
        <v>44</v>
      </c>
      <c r="B104" s="1150" t="s">
        <v>1591</v>
      </c>
      <c r="C104" s="1150" t="s">
        <v>1592</v>
      </c>
      <c r="D104" s="1064" t="s">
        <v>1593</v>
      </c>
      <c r="E104" s="1135">
        <v>0.2</v>
      </c>
      <c r="F104" s="1150">
        <v>30</v>
      </c>
    </row>
    <row r="105" spans="1:6" s="1101" customFormat="1" ht="36">
      <c r="A105" s="1150">
        <v>45</v>
      </c>
      <c r="B105" s="3450" t="s">
        <v>1594</v>
      </c>
      <c r="C105" s="1150" t="s">
        <v>1595</v>
      </c>
      <c r="D105" s="1064" t="s">
        <v>1596</v>
      </c>
      <c r="E105" s="1135">
        <v>0.2</v>
      </c>
      <c r="F105" s="1150">
        <v>30</v>
      </c>
    </row>
    <row r="106" spans="1:6" s="1101" customFormat="1" ht="36">
      <c r="A106" s="1150">
        <v>46</v>
      </c>
      <c r="B106" s="3450"/>
      <c r="C106" s="1150" t="s">
        <v>1597</v>
      </c>
      <c r="D106" s="1064" t="s">
        <v>1598</v>
      </c>
      <c r="E106" s="1135">
        <v>0.2</v>
      </c>
      <c r="F106" s="1150">
        <v>30</v>
      </c>
    </row>
    <row r="107" spans="1:6" s="1101" customFormat="1" ht="36">
      <c r="A107" s="1150">
        <v>47</v>
      </c>
      <c r="B107" s="3450" t="s">
        <v>1599</v>
      </c>
      <c r="C107" s="1150" t="s">
        <v>1600</v>
      </c>
      <c r="D107" s="1064" t="s">
        <v>1601</v>
      </c>
      <c r="E107" s="1135">
        <v>0.3</v>
      </c>
      <c r="F107" s="1150">
        <v>50</v>
      </c>
    </row>
    <row r="108" spans="1:6" s="1101" customFormat="1" ht="36">
      <c r="A108" s="1150">
        <v>48</v>
      </c>
      <c r="B108" s="3450"/>
      <c r="C108" s="1150" t="s">
        <v>1602</v>
      </c>
      <c r="D108" s="1064" t="s">
        <v>1603</v>
      </c>
      <c r="E108" s="1135">
        <v>0.2</v>
      </c>
      <c r="F108" s="1150">
        <v>30</v>
      </c>
    </row>
    <row r="109" spans="1:6" s="1101" customFormat="1" ht="36">
      <c r="A109" s="1150">
        <v>49</v>
      </c>
      <c r="B109" s="1150" t="s">
        <v>1604</v>
      </c>
      <c r="C109" s="1150" t="s">
        <v>1605</v>
      </c>
      <c r="D109" s="1064" t="s">
        <v>1606</v>
      </c>
      <c r="E109" s="1135">
        <v>0.2</v>
      </c>
      <c r="F109" s="1150">
        <v>30</v>
      </c>
    </row>
    <row r="110" spans="1:6" s="1101" customFormat="1" ht="36">
      <c r="A110" s="1150">
        <v>50</v>
      </c>
      <c r="B110" s="1150" t="s">
        <v>1607</v>
      </c>
      <c r="C110" s="1150" t="s">
        <v>1608</v>
      </c>
      <c r="D110" s="1064" t="s">
        <v>1609</v>
      </c>
      <c r="E110" s="1135">
        <v>0.2</v>
      </c>
      <c r="F110" s="1150">
        <v>30</v>
      </c>
    </row>
    <row r="111" spans="1:6" s="1101" customFormat="1" ht="36">
      <c r="A111" s="1150">
        <v>51</v>
      </c>
      <c r="B111" s="3450" t="s">
        <v>1610</v>
      </c>
      <c r="C111" s="1150" t="s">
        <v>1611</v>
      </c>
      <c r="D111" s="1064" t="s">
        <v>1612</v>
      </c>
      <c r="E111" s="1135">
        <v>0.2</v>
      </c>
      <c r="F111" s="1150">
        <v>30</v>
      </c>
    </row>
    <row r="112" spans="1:6" s="1101" customFormat="1" ht="24">
      <c r="A112" s="1150">
        <v>52</v>
      </c>
      <c r="B112" s="3450"/>
      <c r="C112" s="1150" t="s">
        <v>1613</v>
      </c>
      <c r="D112" s="1064" t="s">
        <v>1614</v>
      </c>
      <c r="E112" s="1135">
        <v>0.2</v>
      </c>
      <c r="F112" s="1150">
        <v>30</v>
      </c>
    </row>
    <row r="113" spans="1:14" s="1101" customFormat="1" ht="24">
      <c r="A113" s="1150">
        <v>53</v>
      </c>
      <c r="B113" s="3450"/>
      <c r="C113" s="1150" t="s">
        <v>1615</v>
      </c>
      <c r="D113" s="1064" t="s">
        <v>1616</v>
      </c>
      <c r="E113" s="1135">
        <v>0.2</v>
      </c>
      <c r="F113" s="1150">
        <v>30</v>
      </c>
    </row>
    <row r="114" spans="1:14" ht="36">
      <c r="A114" s="1150">
        <v>54</v>
      </c>
      <c r="B114" s="1150" t="s">
        <v>1617</v>
      </c>
      <c r="C114" s="1150" t="s">
        <v>1618</v>
      </c>
      <c r="D114" s="1064" t="s">
        <v>1619</v>
      </c>
      <c r="E114" s="1135">
        <v>0.2</v>
      </c>
      <c r="F114" s="1150">
        <v>30</v>
      </c>
    </row>
    <row r="115" spans="1:14" ht="24">
      <c r="A115" s="1150">
        <v>55</v>
      </c>
      <c r="B115" s="1150" t="s">
        <v>1620</v>
      </c>
      <c r="C115" s="1150" t="s">
        <v>1621</v>
      </c>
      <c r="D115" s="1064" t="s">
        <v>1622</v>
      </c>
      <c r="E115" s="1135">
        <v>0.2</v>
      </c>
      <c r="F115" s="1150">
        <v>30</v>
      </c>
    </row>
    <row r="116" spans="1:14" ht="24">
      <c r="A116" s="1150">
        <v>56</v>
      </c>
      <c r="B116" s="3450" t="s">
        <v>1623</v>
      </c>
      <c r="C116" s="1150" t="s">
        <v>1624</v>
      </c>
      <c r="D116" s="1064" t="s">
        <v>1625</v>
      </c>
      <c r="E116" s="1135">
        <v>0.2</v>
      </c>
      <c r="F116" s="1150">
        <v>30</v>
      </c>
    </row>
    <row r="117" spans="1:14" ht="36">
      <c r="A117" s="1150">
        <v>57</v>
      </c>
      <c r="B117" s="3450"/>
      <c r="C117" s="1150" t="s">
        <v>1626</v>
      </c>
      <c r="D117" s="1064" t="s">
        <v>1627</v>
      </c>
      <c r="E117" s="1135">
        <v>0.2</v>
      </c>
      <c r="F117" s="1150">
        <v>30</v>
      </c>
    </row>
    <row r="118" spans="1:14" ht="36">
      <c r="A118" s="1150">
        <v>58</v>
      </c>
      <c r="B118" s="1150" t="s">
        <v>1628</v>
      </c>
      <c r="C118" s="1150" t="s">
        <v>1629</v>
      </c>
      <c r="D118" s="1064" t="s">
        <v>1630</v>
      </c>
      <c r="E118" s="1135">
        <v>0.2</v>
      </c>
      <c r="F118" s="1150">
        <v>30</v>
      </c>
    </row>
    <row r="119" spans="1:14" ht="13.5">
      <c r="A119" s="1150"/>
      <c r="B119" s="1150"/>
      <c r="C119" s="1150"/>
      <c r="D119" s="1150"/>
      <c r="E119" s="1135"/>
      <c r="F119" s="1150"/>
    </row>
    <row r="121" spans="1:14" ht="19.5" customHeight="1">
      <c r="A121" s="3449" t="s">
        <v>1632</v>
      </c>
      <c r="B121" s="3449"/>
      <c r="C121" s="3449"/>
      <c r="D121" s="3449"/>
      <c r="E121" s="3449"/>
      <c r="F121" s="3449"/>
      <c r="G121" s="3449"/>
      <c r="H121" s="3449"/>
      <c r="I121" s="3449"/>
      <c r="J121" s="344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64" t="s">
        <v>1038</v>
      </c>
      <c r="B1" s="3464"/>
      <c r="C1" s="3464"/>
      <c r="D1" s="3464"/>
      <c r="E1" s="3464"/>
      <c r="F1" s="3464"/>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4.25" thickBot="1">
      <c r="A2" s="3465" t="s">
        <v>1051</v>
      </c>
      <c r="B2" s="3465"/>
      <c r="C2" s="3465"/>
      <c r="D2" s="3465"/>
      <c r="E2" s="3465"/>
      <c r="F2" s="3465"/>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66"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67"/>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68" t="s">
        <v>2077</v>
      </c>
      <c r="B1" s="3468"/>
    </row>
    <row r="2" spans="1:6" ht="14.25" thickBot="1">
      <c r="A2" s="1837"/>
      <c r="B2" s="1837"/>
    </row>
    <row r="3" spans="1:6" ht="14.25" thickBot="1">
      <c r="A3" s="1837"/>
      <c r="B3" s="1837"/>
      <c r="C3" s="1838" t="s">
        <v>2078</v>
      </c>
      <c r="D3" s="1838" t="s">
        <v>2079</v>
      </c>
      <c r="E3" s="1838" t="s">
        <v>2080</v>
      </c>
      <c r="F3" s="1838" t="s">
        <v>2081</v>
      </c>
    </row>
    <row r="4" spans="1:6" ht="14.25" thickBot="1">
      <c r="A4" s="1839" t="s">
        <v>2082</v>
      </c>
      <c r="B4" s="1840" t="s">
        <v>2083</v>
      </c>
      <c r="C4" s="1838"/>
      <c r="D4" s="1838"/>
      <c r="E4" s="1838"/>
      <c r="F4" s="1838"/>
    </row>
    <row r="5" spans="1:6" ht="14.25" thickBot="1">
      <c r="A5" s="1841" t="s">
        <v>2084</v>
      </c>
      <c r="B5" s="1842" t="s">
        <v>2085</v>
      </c>
      <c r="C5" s="1843">
        <v>8.8999999999999996E-2</v>
      </c>
      <c r="D5" s="1843">
        <v>7.3999999999999996E-2</v>
      </c>
      <c r="E5" s="1843">
        <v>7.4999999999999997E-2</v>
      </c>
      <c r="F5" s="1844">
        <v>0.1</v>
      </c>
    </row>
    <row r="6" spans="1:6" ht="14.25" thickBot="1">
      <c r="A6" s="1841" t="s">
        <v>1095</v>
      </c>
      <c r="B6" s="1845" t="s">
        <v>2086</v>
      </c>
      <c r="C6" s="1846">
        <v>0.1</v>
      </c>
      <c r="D6" s="1846">
        <v>9.0999999999999998E-2</v>
      </c>
      <c r="E6" s="1846">
        <v>9.0999999999999998E-2</v>
      </c>
      <c r="F6" s="1847">
        <v>0.1</v>
      </c>
    </row>
    <row r="7" spans="1:6" ht="14.25" thickBot="1">
      <c r="A7" s="1841" t="s">
        <v>1095</v>
      </c>
      <c r="B7" s="1848" t="s">
        <v>1083</v>
      </c>
      <c r="C7" s="1846">
        <v>8.5999999999999993E-2</v>
      </c>
      <c r="D7" s="1846">
        <v>9.6000000000000002E-2</v>
      </c>
      <c r="E7" s="1846">
        <v>7.5999999999999998E-2</v>
      </c>
      <c r="F7" s="1847">
        <v>0.1</v>
      </c>
    </row>
    <row r="8" spans="1:6" ht="14.25" thickBot="1">
      <c r="A8" s="1841" t="s">
        <v>1095</v>
      </c>
      <c r="B8" s="1845" t="s">
        <v>1096</v>
      </c>
      <c r="C8" s="1846">
        <v>9.9000000000000005E-2</v>
      </c>
      <c r="D8" s="1846">
        <v>9.8000000000000004E-2</v>
      </c>
      <c r="E8" s="1846">
        <v>9.8000000000000004E-2</v>
      </c>
      <c r="F8" s="1847">
        <v>0.1</v>
      </c>
    </row>
    <row r="9" spans="1:6" ht="14.25" thickBot="1">
      <c r="A9" s="1849" t="s">
        <v>1095</v>
      </c>
      <c r="B9" s="1850" t="s">
        <v>1110</v>
      </c>
      <c r="C9" s="1851">
        <v>0.05</v>
      </c>
      <c r="D9" s="1852"/>
      <c r="E9" s="1852"/>
      <c r="F9" s="1853"/>
    </row>
    <row r="10" spans="1:6" ht="14.25" thickBot="1">
      <c r="A10" s="1841" t="s">
        <v>1154</v>
      </c>
      <c r="B10" s="1842" t="s">
        <v>2087</v>
      </c>
      <c r="C10" s="1843">
        <v>8.8999999999999996E-2</v>
      </c>
      <c r="D10" s="1843">
        <v>7.2999999999999995E-2</v>
      </c>
      <c r="E10" s="1843">
        <v>8.2000000000000003E-2</v>
      </c>
      <c r="F10" s="1844">
        <v>0.1</v>
      </c>
    </row>
    <row r="11" spans="1:6" ht="14.25" thickBot="1">
      <c r="A11" s="1841" t="s">
        <v>1154</v>
      </c>
      <c r="B11" s="1848" t="s">
        <v>1070</v>
      </c>
      <c r="C11" s="1846">
        <v>8.8999999999999996E-2</v>
      </c>
      <c r="D11" s="1846">
        <v>7.2999999999999995E-2</v>
      </c>
      <c r="E11" s="1846">
        <v>8.2000000000000003E-2</v>
      </c>
      <c r="F11" s="1847">
        <v>0.1</v>
      </c>
    </row>
    <row r="12" spans="1:6" ht="14.25" thickBot="1">
      <c r="A12" s="1841" t="s">
        <v>1154</v>
      </c>
      <c r="B12" s="1848" t="s">
        <v>1084</v>
      </c>
      <c r="C12" s="1846">
        <v>6.0999999999999999E-2</v>
      </c>
      <c r="D12" s="1846">
        <v>7.0999999999999994E-2</v>
      </c>
      <c r="E12" s="1846">
        <v>9.6000000000000002E-2</v>
      </c>
      <c r="F12" s="1847">
        <v>0.1</v>
      </c>
    </row>
    <row r="13" spans="1:6" ht="14.25" thickBot="1">
      <c r="A13" s="1841" t="s">
        <v>1154</v>
      </c>
      <c r="B13" s="1848" t="s">
        <v>1097</v>
      </c>
      <c r="C13" s="1846">
        <v>6.9000000000000006E-2</v>
      </c>
      <c r="D13" s="1846">
        <v>6.5000000000000002E-2</v>
      </c>
      <c r="E13" s="1846">
        <v>6.6000000000000003E-2</v>
      </c>
      <c r="F13" s="1847">
        <v>0.1</v>
      </c>
    </row>
    <row r="14" spans="1:6" ht="14.25" thickBot="1">
      <c r="A14" s="1841" t="s">
        <v>1154</v>
      </c>
      <c r="B14" s="1848" t="s">
        <v>1111</v>
      </c>
      <c r="C14" s="1846">
        <v>0.1</v>
      </c>
      <c r="D14" s="1846">
        <v>6.5000000000000002E-2</v>
      </c>
      <c r="E14" s="1846">
        <v>7.0000000000000007E-2</v>
      </c>
      <c r="F14" s="1847">
        <v>0.1</v>
      </c>
    </row>
    <row r="15" spans="1:6" ht="14.25" thickBot="1">
      <c r="A15" s="1841" t="s">
        <v>1154</v>
      </c>
      <c r="B15" s="1848" t="s">
        <v>1122</v>
      </c>
      <c r="C15" s="1846">
        <v>9.8000000000000004E-2</v>
      </c>
      <c r="D15" s="1846">
        <v>8.8999999999999996E-2</v>
      </c>
      <c r="E15" s="1846">
        <v>8.8999999999999996E-2</v>
      </c>
      <c r="F15" s="1847">
        <v>0.1</v>
      </c>
    </row>
    <row r="16" spans="1:6" ht="14.25" thickBot="1">
      <c r="A16" s="1841" t="s">
        <v>1154</v>
      </c>
      <c r="B16" s="1848" t="s">
        <v>1133</v>
      </c>
      <c r="C16" s="1846">
        <v>7.0000000000000007E-2</v>
      </c>
      <c r="D16" s="1846">
        <v>9.2999999999999999E-2</v>
      </c>
      <c r="E16" s="1846">
        <v>9.6000000000000002E-2</v>
      </c>
      <c r="F16" s="1847">
        <v>0.1</v>
      </c>
    </row>
    <row r="17" spans="1:6" ht="14.25" thickBot="1">
      <c r="A17" s="1841" t="s">
        <v>1154</v>
      </c>
      <c r="B17" s="1848" t="s">
        <v>1144</v>
      </c>
      <c r="C17" s="1846">
        <v>9.5000000000000001E-2</v>
      </c>
      <c r="D17" s="1846">
        <v>0.1</v>
      </c>
      <c r="E17" s="1846">
        <v>0.1</v>
      </c>
      <c r="F17" s="1854"/>
    </row>
    <row r="18" spans="1:6" ht="14.25" thickBot="1">
      <c r="A18" s="1841" t="s">
        <v>1154</v>
      </c>
      <c r="B18" s="1848" t="s">
        <v>1156</v>
      </c>
      <c r="C18" s="1846">
        <v>7.3999999999999996E-2</v>
      </c>
      <c r="D18" s="1846">
        <v>9.9000000000000005E-2</v>
      </c>
      <c r="E18" s="1846">
        <v>0.1</v>
      </c>
      <c r="F18" s="1854"/>
    </row>
    <row r="19" spans="1:6" ht="14.25" thickBot="1">
      <c r="A19" s="1841" t="s">
        <v>1154</v>
      </c>
      <c r="B19" s="1848" t="s">
        <v>1166</v>
      </c>
      <c r="C19" s="1846">
        <v>9.9000000000000005E-2</v>
      </c>
      <c r="D19" s="1846">
        <v>7.5999999999999998E-2</v>
      </c>
      <c r="E19" s="1846">
        <v>8.6999999999999994E-2</v>
      </c>
      <c r="F19" s="1854"/>
    </row>
    <row r="20" spans="1:6" ht="14.25" thickBot="1">
      <c r="A20" s="1841" t="s">
        <v>1154</v>
      </c>
      <c r="B20" s="1848" t="s">
        <v>1176</v>
      </c>
      <c r="C20" s="1846">
        <v>9.8000000000000004E-2</v>
      </c>
      <c r="D20" s="1846">
        <v>8.5000000000000006E-2</v>
      </c>
      <c r="E20" s="1846">
        <v>8.2000000000000003E-2</v>
      </c>
      <c r="F20" s="1854"/>
    </row>
    <row r="21" spans="1:6" ht="14.25" thickBot="1">
      <c r="A21" s="1841" t="s">
        <v>1154</v>
      </c>
      <c r="B21" s="1848" t="s">
        <v>1186</v>
      </c>
      <c r="C21" s="1846">
        <v>6.6000000000000003E-2</v>
      </c>
      <c r="D21" s="1846">
        <v>6.4000000000000001E-2</v>
      </c>
      <c r="E21" s="1846">
        <v>6.5000000000000002E-2</v>
      </c>
      <c r="F21" s="1854"/>
    </row>
    <row r="22" spans="1:6" ht="14.25" thickBot="1">
      <c r="A22" s="1841" t="s">
        <v>1154</v>
      </c>
      <c r="B22" s="1848" t="s">
        <v>2088</v>
      </c>
      <c r="C22" s="1846">
        <v>0.08</v>
      </c>
      <c r="D22" s="1846">
        <v>9.8000000000000004E-2</v>
      </c>
      <c r="E22" s="1846">
        <v>9.8000000000000004E-2</v>
      </c>
      <c r="F22" s="1854"/>
    </row>
    <row r="23" spans="1:6" ht="14.25" thickBot="1">
      <c r="A23" s="1841" t="s">
        <v>1154</v>
      </c>
      <c r="B23" s="1848" t="s">
        <v>1206</v>
      </c>
      <c r="C23" s="1846">
        <v>9.9000000000000005E-2</v>
      </c>
      <c r="D23" s="1846">
        <v>9.8000000000000004E-2</v>
      </c>
      <c r="E23" s="1846">
        <v>9.0999999999999998E-2</v>
      </c>
      <c r="F23" s="1854"/>
    </row>
    <row r="24" spans="1:6" ht="14.25" thickBot="1">
      <c r="A24" s="1841" t="s">
        <v>1154</v>
      </c>
      <c r="B24" s="1848" t="s">
        <v>1216</v>
      </c>
      <c r="C24" s="1846">
        <v>8.8999999999999996E-2</v>
      </c>
      <c r="D24" s="1846">
        <v>9.7000000000000003E-2</v>
      </c>
      <c r="E24" s="1846">
        <v>7.0000000000000007E-2</v>
      </c>
      <c r="F24" s="1854"/>
    </row>
    <row r="25" spans="1:6" ht="14.25" thickBot="1">
      <c r="A25" s="1841" t="s">
        <v>1154</v>
      </c>
      <c r="B25" s="1848" t="s">
        <v>1226</v>
      </c>
      <c r="C25" s="1846">
        <v>8.8999999999999996E-2</v>
      </c>
      <c r="D25" s="1846">
        <v>0.1</v>
      </c>
      <c r="E25" s="1846">
        <v>8.1000000000000003E-2</v>
      </c>
      <c r="F25" s="1854"/>
    </row>
    <row r="26" spans="1:6" ht="14.25" thickBot="1">
      <c r="A26" s="1841" t="s">
        <v>1154</v>
      </c>
      <c r="B26" s="1848" t="s">
        <v>1236</v>
      </c>
      <c r="C26" s="1855"/>
      <c r="D26" s="1846">
        <v>9.6000000000000002E-2</v>
      </c>
      <c r="E26" s="1846">
        <v>9.2999999999999999E-2</v>
      </c>
      <c r="F26" s="1854"/>
    </row>
    <row r="27" spans="1:6" ht="14.25" thickBot="1">
      <c r="A27" s="1841" t="s">
        <v>1154</v>
      </c>
      <c r="B27" s="1848" t="s">
        <v>1246</v>
      </c>
      <c r="C27" s="1855"/>
      <c r="D27" s="1846">
        <v>7.5999999999999998E-2</v>
      </c>
      <c r="E27" s="1846">
        <v>9.1999999999999998E-2</v>
      </c>
      <c r="F27" s="1854"/>
    </row>
    <row r="28" spans="1:6" ht="14.25" thickBot="1">
      <c r="A28" s="1849" t="s">
        <v>1154</v>
      </c>
      <c r="B28" s="1850" t="s">
        <v>1256</v>
      </c>
      <c r="C28" s="1852"/>
      <c r="D28" s="1851">
        <v>7.5999999999999998E-2</v>
      </c>
      <c r="E28" s="1851">
        <v>9.1999999999999998E-2</v>
      </c>
      <c r="F28" s="1853"/>
    </row>
    <row r="29" spans="1:6" ht="14.25" thickBot="1">
      <c r="A29" s="1841" t="s">
        <v>1325</v>
      </c>
      <c r="B29" s="1842" t="s">
        <v>2089</v>
      </c>
      <c r="C29" s="1843">
        <v>6.4000000000000001E-2</v>
      </c>
      <c r="D29" s="1843">
        <v>6.5000000000000002E-2</v>
      </c>
      <c r="E29" s="1843">
        <v>6.9000000000000006E-2</v>
      </c>
      <c r="F29" s="1844">
        <v>0.1</v>
      </c>
    </row>
    <row r="30" spans="1:6" ht="14.25" thickBot="1">
      <c r="A30" s="1841" t="s">
        <v>1325</v>
      </c>
      <c r="B30" s="1848" t="s">
        <v>1071</v>
      </c>
      <c r="C30" s="1846">
        <v>6.4000000000000001E-2</v>
      </c>
      <c r="D30" s="1846">
        <v>9.9000000000000005E-2</v>
      </c>
      <c r="E30" s="1846">
        <v>0.1</v>
      </c>
      <c r="F30" s="1847">
        <v>0.1</v>
      </c>
    </row>
    <row r="31" spans="1:6" ht="14.25" thickBot="1">
      <c r="A31" s="1841" t="s">
        <v>1325</v>
      </c>
      <c r="B31" s="1848" t="s">
        <v>1085</v>
      </c>
      <c r="C31" s="1846">
        <v>0.1</v>
      </c>
      <c r="D31" s="1846">
        <v>9.5000000000000001E-2</v>
      </c>
      <c r="E31" s="1846">
        <v>8.8999999999999996E-2</v>
      </c>
      <c r="F31" s="1847">
        <v>0.1</v>
      </c>
    </row>
    <row r="32" spans="1:6" ht="14.25" thickBot="1">
      <c r="A32" s="1841" t="s">
        <v>1325</v>
      </c>
      <c r="B32" s="1848" t="s">
        <v>1098</v>
      </c>
      <c r="C32" s="1846">
        <v>0.05</v>
      </c>
      <c r="D32" s="1846">
        <v>0.05</v>
      </c>
      <c r="E32" s="1846">
        <v>8.7999999999999995E-2</v>
      </c>
      <c r="F32" s="1847">
        <v>0.1</v>
      </c>
    </row>
    <row r="33" spans="1:6" ht="14.25" thickBot="1">
      <c r="A33" s="1841" t="s">
        <v>1325</v>
      </c>
      <c r="B33" s="1848" t="s">
        <v>1112</v>
      </c>
      <c r="C33" s="1846">
        <v>7.4999999999999997E-2</v>
      </c>
      <c r="D33" s="1846">
        <v>9.4E-2</v>
      </c>
      <c r="E33" s="1846">
        <v>9.7000000000000003E-2</v>
      </c>
      <c r="F33" s="1847">
        <v>0.1</v>
      </c>
    </row>
    <row r="34" spans="1:6" ht="14.25" thickBot="1">
      <c r="A34" s="1841" t="s">
        <v>1325</v>
      </c>
      <c r="B34" s="1848" t="s">
        <v>1123</v>
      </c>
      <c r="C34" s="1846">
        <v>9.8000000000000004E-2</v>
      </c>
      <c r="D34" s="1846">
        <v>8.5999999999999993E-2</v>
      </c>
      <c r="E34" s="1846">
        <v>9.7000000000000003E-2</v>
      </c>
      <c r="F34" s="1847">
        <v>0.1</v>
      </c>
    </row>
    <row r="35" spans="1:6" ht="14.25" thickBot="1">
      <c r="A35" s="1841" t="s">
        <v>1325</v>
      </c>
      <c r="B35" s="1848" t="s">
        <v>1134</v>
      </c>
      <c r="C35" s="1846">
        <v>5.8999999999999997E-2</v>
      </c>
      <c r="D35" s="1846">
        <v>6.5000000000000002E-2</v>
      </c>
      <c r="E35" s="1846">
        <v>7.0000000000000007E-2</v>
      </c>
      <c r="F35" s="1847">
        <v>0.1</v>
      </c>
    </row>
    <row r="36" spans="1:6" ht="14.25" thickBot="1">
      <c r="A36" s="1841" t="s">
        <v>1325</v>
      </c>
      <c r="B36" s="1848" t="s">
        <v>1145</v>
      </c>
      <c r="C36" s="1846">
        <v>6.3E-2</v>
      </c>
      <c r="D36" s="1846">
        <v>0.1</v>
      </c>
      <c r="E36" s="1846">
        <v>0.1</v>
      </c>
      <c r="F36" s="1847">
        <v>0.1</v>
      </c>
    </row>
    <row r="37" spans="1:6" ht="14.25" thickBot="1">
      <c r="A37" s="1841" t="s">
        <v>1325</v>
      </c>
      <c r="B37" s="1848" t="s">
        <v>1157</v>
      </c>
      <c r="C37" s="1846">
        <v>7.3999999999999996E-2</v>
      </c>
      <c r="D37" s="1846">
        <v>0.1</v>
      </c>
      <c r="E37" s="1846">
        <v>0.1</v>
      </c>
      <c r="F37" s="1847">
        <v>0.1</v>
      </c>
    </row>
    <row r="38" spans="1:6" ht="14.25" thickBot="1">
      <c r="A38" s="1841" t="s">
        <v>1325</v>
      </c>
      <c r="B38" s="1848" t="s">
        <v>1167</v>
      </c>
      <c r="C38" s="1846">
        <v>0.1</v>
      </c>
      <c r="D38" s="1846">
        <v>9.6000000000000002E-2</v>
      </c>
      <c r="E38" s="1846">
        <v>9.6000000000000002E-2</v>
      </c>
      <c r="F38" s="1854"/>
    </row>
    <row r="39" spans="1:6" ht="14.25" thickBot="1">
      <c r="A39" s="1841" t="s">
        <v>1325</v>
      </c>
      <c r="B39" s="1848" t="s">
        <v>1177</v>
      </c>
      <c r="C39" s="1846">
        <v>0.1</v>
      </c>
      <c r="D39" s="1846">
        <v>9.6000000000000002E-2</v>
      </c>
      <c r="E39" s="1846">
        <v>9.6000000000000002E-2</v>
      </c>
      <c r="F39" s="1854"/>
    </row>
    <row r="40" spans="1:6" ht="14.25" thickBot="1">
      <c r="A40" s="1841" t="s">
        <v>1325</v>
      </c>
      <c r="B40" s="1848" t="s">
        <v>1187</v>
      </c>
      <c r="C40" s="1846">
        <v>9.6000000000000002E-2</v>
      </c>
      <c r="D40" s="1846">
        <v>0.1</v>
      </c>
      <c r="E40" s="1846">
        <v>9.9000000000000005E-2</v>
      </c>
      <c r="F40" s="1854"/>
    </row>
    <row r="41" spans="1:6" ht="14.25" thickBot="1">
      <c r="A41" s="1841" t="s">
        <v>1325</v>
      </c>
      <c r="B41" s="1848" t="s">
        <v>1197</v>
      </c>
      <c r="C41" s="1846">
        <v>9.6000000000000002E-2</v>
      </c>
      <c r="D41" s="1846">
        <v>9.8000000000000004E-2</v>
      </c>
      <c r="E41" s="1846">
        <v>9.8000000000000004E-2</v>
      </c>
      <c r="F41" s="1854"/>
    </row>
    <row r="42" spans="1:6" ht="14.25" thickBot="1">
      <c r="A42" s="1841" t="s">
        <v>1325</v>
      </c>
      <c r="B42" s="1848" t="s">
        <v>1207</v>
      </c>
      <c r="C42" s="1846">
        <v>0.1</v>
      </c>
      <c r="D42" s="1846">
        <v>8.7999999999999995E-2</v>
      </c>
      <c r="E42" s="1846">
        <v>0.1</v>
      </c>
      <c r="F42" s="1854"/>
    </row>
    <row r="43" spans="1:6" ht="14.25" thickBot="1">
      <c r="A43" s="1841" t="s">
        <v>1325</v>
      </c>
      <c r="B43" s="1848" t="s">
        <v>1217</v>
      </c>
      <c r="C43" s="1846">
        <v>9.8000000000000004E-2</v>
      </c>
      <c r="D43" s="1846">
        <v>9.7000000000000003E-2</v>
      </c>
      <c r="E43" s="1846">
        <v>9.6000000000000002E-2</v>
      </c>
      <c r="F43" s="1854"/>
    </row>
    <row r="44" spans="1:6" ht="14.25" thickBot="1">
      <c r="A44" s="1841" t="s">
        <v>1325</v>
      </c>
      <c r="B44" s="1848" t="s">
        <v>1227</v>
      </c>
      <c r="C44" s="1846">
        <v>8.5999999999999993E-2</v>
      </c>
      <c r="D44" s="1846">
        <v>7.9000000000000001E-2</v>
      </c>
      <c r="E44" s="1846">
        <v>7.0999999999999994E-2</v>
      </c>
      <c r="F44" s="1854"/>
    </row>
    <row r="45" spans="1:6" ht="14.25" thickBot="1">
      <c r="A45" s="1841" t="s">
        <v>1325</v>
      </c>
      <c r="B45" s="1848" t="s">
        <v>1237</v>
      </c>
      <c r="C45" s="1846">
        <v>9.8000000000000004E-2</v>
      </c>
      <c r="D45" s="1846">
        <v>9.6000000000000002E-2</v>
      </c>
      <c r="E45" s="1846">
        <v>9.6000000000000002E-2</v>
      </c>
      <c r="F45" s="1854"/>
    </row>
    <row r="46" spans="1:6" ht="14.25" thickBot="1">
      <c r="A46" s="1841" t="s">
        <v>1325</v>
      </c>
      <c r="B46" s="1848" t="s">
        <v>1247</v>
      </c>
      <c r="C46" s="1846">
        <v>8.5999999999999993E-2</v>
      </c>
      <c r="D46" s="1846">
        <v>9.8000000000000004E-2</v>
      </c>
      <c r="E46" s="1846">
        <v>8.7999999999999995E-2</v>
      </c>
      <c r="F46" s="1854"/>
    </row>
    <row r="47" spans="1:6" ht="14.25" thickBot="1">
      <c r="A47" s="1841" t="s">
        <v>1325</v>
      </c>
      <c r="B47" s="1848" t="s">
        <v>1257</v>
      </c>
      <c r="C47" s="1846">
        <v>9.6000000000000002E-2</v>
      </c>
      <c r="D47" s="1855"/>
      <c r="E47" s="1846">
        <v>6.9000000000000006E-2</v>
      </c>
      <c r="F47" s="1854"/>
    </row>
    <row r="48" spans="1:6" ht="14.25" thickBot="1">
      <c r="A48" s="1849" t="s">
        <v>1325</v>
      </c>
      <c r="B48" s="1850" t="s">
        <v>1266</v>
      </c>
      <c r="C48" s="1851">
        <v>9.8000000000000004E-2</v>
      </c>
      <c r="D48" s="1852"/>
      <c r="E48" s="1851">
        <v>9.5000000000000001E-2</v>
      </c>
      <c r="F48" s="1853"/>
    </row>
    <row r="49" spans="1:6" ht="14.25" thickBot="1">
      <c r="A49" s="1841" t="s">
        <v>924</v>
      </c>
      <c r="B49" s="1842" t="s">
        <v>2090</v>
      </c>
      <c r="C49" s="1843">
        <v>9.7000000000000003E-2</v>
      </c>
      <c r="D49" s="1843">
        <v>9.5000000000000001E-2</v>
      </c>
      <c r="E49" s="1843">
        <v>9.7000000000000003E-2</v>
      </c>
      <c r="F49" s="1844">
        <v>0.1</v>
      </c>
    </row>
    <row r="50" spans="1:6" ht="14.25" thickBot="1">
      <c r="A50" s="1841" t="s">
        <v>924</v>
      </c>
      <c r="B50" s="1845" t="s">
        <v>1072</v>
      </c>
      <c r="C50" s="1846">
        <v>7.4999999999999997E-2</v>
      </c>
      <c r="D50" s="1846">
        <v>9.5000000000000001E-2</v>
      </c>
      <c r="E50" s="1846">
        <v>0.1</v>
      </c>
      <c r="F50" s="1847">
        <v>0.1</v>
      </c>
    </row>
    <row r="51" spans="1:6" ht="14.25" thickBot="1">
      <c r="A51" s="1841" t="s">
        <v>924</v>
      </c>
      <c r="B51" s="1845" t="s">
        <v>1086</v>
      </c>
      <c r="C51" s="1846">
        <v>9.8000000000000004E-2</v>
      </c>
      <c r="D51" s="1846">
        <v>8.8999999999999996E-2</v>
      </c>
      <c r="E51" s="1846">
        <v>0.1</v>
      </c>
      <c r="F51" s="1847">
        <v>0.1</v>
      </c>
    </row>
    <row r="52" spans="1:6" ht="14.25" thickBot="1">
      <c r="A52" s="1841" t="s">
        <v>924</v>
      </c>
      <c r="B52" s="1845" t="s">
        <v>1099</v>
      </c>
      <c r="C52" s="1846">
        <v>9.8000000000000004E-2</v>
      </c>
      <c r="D52" s="1846">
        <v>9.7000000000000003E-2</v>
      </c>
      <c r="E52" s="1846">
        <v>8.1000000000000003E-2</v>
      </c>
      <c r="F52" s="1847">
        <v>0.1</v>
      </c>
    </row>
    <row r="53" spans="1:6" ht="14.25" thickBot="1">
      <c r="A53" s="1841" t="s">
        <v>924</v>
      </c>
      <c r="B53" s="1845" t="s">
        <v>1113</v>
      </c>
      <c r="C53" s="1846">
        <v>9.7000000000000003E-2</v>
      </c>
      <c r="D53" s="1846">
        <v>7.5999999999999998E-2</v>
      </c>
      <c r="E53" s="1846">
        <v>7.0999999999999994E-2</v>
      </c>
      <c r="F53" s="1847">
        <v>0.1</v>
      </c>
    </row>
    <row r="54" spans="1:6" ht="14.25" thickBot="1">
      <c r="A54" s="1841" t="s">
        <v>924</v>
      </c>
      <c r="B54" s="1845" t="s">
        <v>1124</v>
      </c>
      <c r="C54" s="1846">
        <v>7.5999999999999998E-2</v>
      </c>
      <c r="D54" s="1846">
        <v>0.1</v>
      </c>
      <c r="E54" s="1846">
        <v>9.9000000000000005E-2</v>
      </c>
      <c r="F54" s="1847">
        <v>0.1</v>
      </c>
    </row>
    <row r="55" spans="1:6" ht="14.25" thickBot="1">
      <c r="A55" s="1841" t="s">
        <v>924</v>
      </c>
      <c r="B55" s="1845" t="s">
        <v>1135</v>
      </c>
      <c r="C55" s="1846">
        <v>0.1</v>
      </c>
      <c r="D55" s="1846">
        <v>0.1</v>
      </c>
      <c r="E55" s="1846">
        <v>9.6000000000000002E-2</v>
      </c>
      <c r="F55" s="1847">
        <v>0.1</v>
      </c>
    </row>
    <row r="56" spans="1:6" ht="14.25" thickBot="1">
      <c r="A56" s="1841" t="s">
        <v>924</v>
      </c>
      <c r="B56" s="1845" t="s">
        <v>1146</v>
      </c>
      <c r="C56" s="1846">
        <v>0.1</v>
      </c>
      <c r="D56" s="1846">
        <v>9.6000000000000002E-2</v>
      </c>
      <c r="E56" s="1846">
        <v>5.1999999999999998E-2</v>
      </c>
      <c r="F56" s="1847">
        <v>0.1</v>
      </c>
    </row>
    <row r="57" spans="1:6" ht="14.25" thickBot="1">
      <c r="A57" s="1841" t="s">
        <v>924</v>
      </c>
      <c r="B57" s="1845" t="s">
        <v>1158</v>
      </c>
      <c r="C57" s="1846">
        <v>9.7000000000000003E-2</v>
      </c>
      <c r="D57" s="1846">
        <v>9.6000000000000002E-2</v>
      </c>
      <c r="E57" s="1846">
        <v>9.6000000000000002E-2</v>
      </c>
      <c r="F57" s="1847">
        <v>0.1</v>
      </c>
    </row>
    <row r="58" spans="1:6" ht="14.25" thickBot="1">
      <c r="A58" s="1841" t="s">
        <v>924</v>
      </c>
      <c r="B58" s="1845" t="s">
        <v>1168</v>
      </c>
      <c r="C58" s="1846">
        <v>9.6000000000000002E-2</v>
      </c>
      <c r="D58" s="1846">
        <v>9.9000000000000005E-2</v>
      </c>
      <c r="E58" s="1846">
        <v>9.6000000000000002E-2</v>
      </c>
      <c r="F58" s="1847">
        <v>0.1</v>
      </c>
    </row>
    <row r="59" spans="1:6" ht="14.25" thickBot="1">
      <c r="A59" s="1841" t="s">
        <v>924</v>
      </c>
      <c r="B59" s="1845" t="s">
        <v>1178</v>
      </c>
      <c r="C59" s="1846">
        <v>7.1999999999999995E-2</v>
      </c>
      <c r="D59" s="1846">
        <v>9.6000000000000002E-2</v>
      </c>
      <c r="E59" s="1846">
        <v>7.0999999999999994E-2</v>
      </c>
      <c r="F59" s="1847">
        <v>0.1</v>
      </c>
    </row>
    <row r="60" spans="1:6" ht="14.25" thickBot="1">
      <c r="A60" s="1841" t="s">
        <v>924</v>
      </c>
      <c r="B60" s="1845" t="s">
        <v>1188</v>
      </c>
      <c r="C60" s="1846">
        <v>9.6000000000000002E-2</v>
      </c>
      <c r="D60" s="1846">
        <v>8.8999999999999996E-2</v>
      </c>
      <c r="E60" s="1846">
        <v>9.6000000000000002E-2</v>
      </c>
      <c r="F60" s="1847">
        <v>0.1</v>
      </c>
    </row>
    <row r="61" spans="1:6" ht="14.25" thickBot="1">
      <c r="A61" s="1841" t="s">
        <v>924</v>
      </c>
      <c r="B61" s="1845" t="s">
        <v>1198</v>
      </c>
      <c r="C61" s="1846">
        <v>8.8999999999999996E-2</v>
      </c>
      <c r="D61" s="1846">
        <v>9.8000000000000004E-2</v>
      </c>
      <c r="E61" s="1846">
        <v>8.7999999999999995E-2</v>
      </c>
      <c r="F61" s="1854"/>
    </row>
    <row r="62" spans="1:6" ht="14.25" thickBot="1">
      <c r="A62" s="1841" t="s">
        <v>924</v>
      </c>
      <c r="B62" s="1845" t="s">
        <v>1208</v>
      </c>
      <c r="C62" s="1846">
        <v>9.8000000000000004E-2</v>
      </c>
      <c r="D62" s="1846">
        <v>9.2999999999999999E-2</v>
      </c>
      <c r="E62" s="1846">
        <v>9.7000000000000003E-2</v>
      </c>
      <c r="F62" s="1854"/>
    </row>
    <row r="63" spans="1:6" ht="14.25" thickBot="1">
      <c r="A63" s="1841" t="s">
        <v>924</v>
      </c>
      <c r="B63" s="1845" t="s">
        <v>1218</v>
      </c>
      <c r="C63" s="1846">
        <v>9.6000000000000002E-2</v>
      </c>
      <c r="D63" s="1846">
        <v>9.8000000000000004E-2</v>
      </c>
      <c r="E63" s="1846">
        <v>0.09</v>
      </c>
      <c r="F63" s="1854"/>
    </row>
    <row r="64" spans="1:6" ht="14.25" thickBot="1">
      <c r="A64" s="1841" t="s">
        <v>924</v>
      </c>
      <c r="B64" s="1845" t="s">
        <v>1228</v>
      </c>
      <c r="C64" s="1846">
        <v>9.9000000000000005E-2</v>
      </c>
      <c r="D64" s="1846">
        <v>9.7000000000000003E-2</v>
      </c>
      <c r="E64" s="1846">
        <v>9.9000000000000005E-2</v>
      </c>
      <c r="F64" s="1854"/>
    </row>
    <row r="65" spans="1:6" ht="14.25" thickBot="1">
      <c r="A65" s="1841" t="s">
        <v>924</v>
      </c>
      <c r="B65" s="1845" t="s">
        <v>1238</v>
      </c>
      <c r="C65" s="1846">
        <v>9.8000000000000004E-2</v>
      </c>
      <c r="D65" s="1846">
        <v>9.6000000000000002E-2</v>
      </c>
      <c r="E65" s="1846">
        <v>9.6000000000000002E-2</v>
      </c>
      <c r="F65" s="1854"/>
    </row>
    <row r="66" spans="1:6" ht="14.25" thickBot="1">
      <c r="A66" s="1841" t="s">
        <v>924</v>
      </c>
      <c r="B66" s="1845" t="s">
        <v>1248</v>
      </c>
      <c r="C66" s="1846">
        <v>9.6000000000000002E-2</v>
      </c>
      <c r="D66" s="1846">
        <v>9.1999999999999998E-2</v>
      </c>
      <c r="E66" s="1846">
        <v>9.6000000000000002E-2</v>
      </c>
      <c r="F66" s="1854"/>
    </row>
    <row r="67" spans="1:6" ht="14.25" thickBot="1">
      <c r="A67" s="1841" t="s">
        <v>924</v>
      </c>
      <c r="B67" s="1845" t="s">
        <v>1258</v>
      </c>
      <c r="C67" s="1846">
        <v>9.4E-2</v>
      </c>
      <c r="D67" s="1846">
        <v>0.1</v>
      </c>
      <c r="E67" s="1846">
        <v>8.7999999999999995E-2</v>
      </c>
      <c r="F67" s="1854"/>
    </row>
    <row r="68" spans="1:6" ht="14.25" thickBot="1">
      <c r="A68" s="1841" t="s">
        <v>924</v>
      </c>
      <c r="B68" s="1845" t="s">
        <v>1267</v>
      </c>
      <c r="C68" s="1846">
        <v>0.1</v>
      </c>
      <c r="D68" s="1846">
        <v>8.7999999999999995E-2</v>
      </c>
      <c r="E68" s="1846">
        <v>9.7000000000000003E-2</v>
      </c>
      <c r="F68" s="1854"/>
    </row>
    <row r="69" spans="1:6" ht="14.25" thickBot="1">
      <c r="A69" s="1841" t="s">
        <v>924</v>
      </c>
      <c r="B69" s="1845" t="s">
        <v>1276</v>
      </c>
      <c r="C69" s="1846">
        <v>6.4000000000000001E-2</v>
      </c>
      <c r="D69" s="1846">
        <v>0.1</v>
      </c>
      <c r="E69" s="1846">
        <v>0.1</v>
      </c>
      <c r="F69" s="1854"/>
    </row>
    <row r="70" spans="1:6" ht="14.25" thickBot="1">
      <c r="A70" s="1841" t="s">
        <v>924</v>
      </c>
      <c r="B70" s="1845" t="s">
        <v>1284</v>
      </c>
      <c r="C70" s="1846">
        <v>9.0999999999999998E-2</v>
      </c>
      <c r="D70" s="1855"/>
      <c r="E70" s="1855"/>
      <c r="F70" s="1854"/>
    </row>
    <row r="71" spans="1:6" ht="14.25" thickBot="1">
      <c r="A71" s="1841" t="s">
        <v>924</v>
      </c>
      <c r="B71" s="1845" t="s">
        <v>1291</v>
      </c>
      <c r="C71" s="1846">
        <v>0.1</v>
      </c>
      <c r="D71" s="1855"/>
      <c r="E71" s="1855"/>
      <c r="F71" s="1854"/>
    </row>
    <row r="72" spans="1:6" ht="14.25" thickBot="1">
      <c r="A72" s="1841" t="s">
        <v>924</v>
      </c>
      <c r="B72" s="1845" t="s">
        <v>2091</v>
      </c>
      <c r="C72" s="1855"/>
      <c r="D72" s="1855"/>
      <c r="E72" s="1855"/>
      <c r="F72" s="1847">
        <v>0.05</v>
      </c>
    </row>
    <row r="73" spans="1:6" ht="14.25" thickBot="1">
      <c r="A73" s="1841" t="s">
        <v>924</v>
      </c>
      <c r="B73" s="1845" t="s">
        <v>2092</v>
      </c>
      <c r="C73" s="1855"/>
      <c r="D73" s="1855"/>
      <c r="E73" s="1855"/>
      <c r="F73" s="1847">
        <v>0.05</v>
      </c>
    </row>
    <row r="74" spans="1:6" ht="14.25" thickBot="1">
      <c r="A74" s="1841" t="s">
        <v>924</v>
      </c>
      <c r="B74" s="1845" t="s">
        <v>2093</v>
      </c>
      <c r="C74" s="1855"/>
      <c r="D74" s="1855"/>
      <c r="E74" s="1855"/>
      <c r="F74" s="1847">
        <v>0.05</v>
      </c>
    </row>
    <row r="75" spans="1:6" ht="14.25" thickBot="1">
      <c r="A75" s="1849" t="s">
        <v>924</v>
      </c>
      <c r="B75" s="1856" t="s">
        <v>2094</v>
      </c>
      <c r="C75" s="1852"/>
      <c r="D75" s="1852"/>
      <c r="E75" s="1852"/>
      <c r="F75" s="1857">
        <v>0.05</v>
      </c>
    </row>
    <row r="76" spans="1:6" ht="14.25" thickBot="1">
      <c r="A76" s="1841" t="s">
        <v>1406</v>
      </c>
      <c r="B76" s="1842" t="s">
        <v>2095</v>
      </c>
      <c r="C76" s="1843">
        <v>0.1</v>
      </c>
      <c r="D76" s="1843">
        <v>0.1</v>
      </c>
      <c r="E76" s="1843">
        <v>0.1</v>
      </c>
      <c r="F76" s="1844">
        <v>0.1</v>
      </c>
    </row>
    <row r="77" spans="1:6" ht="14.25" thickBot="1">
      <c r="A77" s="1841" t="s">
        <v>1406</v>
      </c>
      <c r="B77" s="1845" t="s">
        <v>1073</v>
      </c>
      <c r="C77" s="1846">
        <v>8.7999999999999995E-2</v>
      </c>
      <c r="D77" s="1846">
        <v>8.6999999999999994E-2</v>
      </c>
      <c r="E77" s="1846">
        <v>7.9000000000000001E-2</v>
      </c>
      <c r="F77" s="1847">
        <v>0.1</v>
      </c>
    </row>
    <row r="78" spans="1:6" ht="14.25" thickBot="1">
      <c r="A78" s="1841" t="s">
        <v>1406</v>
      </c>
      <c r="B78" s="1845" t="s">
        <v>1087</v>
      </c>
      <c r="C78" s="1846">
        <v>8.6999999999999994E-2</v>
      </c>
      <c r="D78" s="1846">
        <v>8.4000000000000005E-2</v>
      </c>
      <c r="E78" s="1846">
        <v>9.6000000000000002E-2</v>
      </c>
      <c r="F78" s="1847">
        <v>0.1</v>
      </c>
    </row>
    <row r="79" spans="1:6" ht="14.25" thickBot="1">
      <c r="A79" s="1841" t="s">
        <v>1406</v>
      </c>
      <c r="B79" s="1845" t="s">
        <v>1100</v>
      </c>
      <c r="C79" s="1846">
        <v>9.8000000000000004E-2</v>
      </c>
      <c r="D79" s="1846">
        <v>9.8000000000000004E-2</v>
      </c>
      <c r="E79" s="1846">
        <v>9.0999999999999998E-2</v>
      </c>
      <c r="F79" s="1847">
        <v>0.1</v>
      </c>
    </row>
    <row r="80" spans="1:6" ht="14.25" thickBot="1">
      <c r="A80" s="1841" t="s">
        <v>1406</v>
      </c>
      <c r="B80" s="1845" t="s">
        <v>1114</v>
      </c>
      <c r="C80" s="1846">
        <v>9.6000000000000002E-2</v>
      </c>
      <c r="D80" s="1846">
        <v>9.6000000000000002E-2</v>
      </c>
      <c r="E80" s="1846">
        <v>0.1</v>
      </c>
      <c r="F80" s="1847">
        <v>0.1</v>
      </c>
    </row>
    <row r="81" spans="1:6" ht="14.25" thickBot="1">
      <c r="A81" s="1841" t="s">
        <v>1406</v>
      </c>
      <c r="B81" s="1845" t="s">
        <v>1125</v>
      </c>
      <c r="C81" s="1846">
        <v>9.9000000000000005E-2</v>
      </c>
      <c r="D81" s="1846">
        <v>9.9000000000000005E-2</v>
      </c>
      <c r="E81" s="1846">
        <v>9.8000000000000004E-2</v>
      </c>
      <c r="F81" s="1847">
        <v>0.1</v>
      </c>
    </row>
    <row r="82" spans="1:6" ht="14.25" thickBot="1">
      <c r="A82" s="1841" t="s">
        <v>1406</v>
      </c>
      <c r="B82" s="1845" t="s">
        <v>1136</v>
      </c>
      <c r="C82" s="1846">
        <v>9.9000000000000005E-2</v>
      </c>
      <c r="D82" s="1846">
        <v>9.9000000000000005E-2</v>
      </c>
      <c r="E82" s="1846">
        <v>9.7000000000000003E-2</v>
      </c>
      <c r="F82" s="1847">
        <v>0.1</v>
      </c>
    </row>
    <row r="83" spans="1:6" ht="14.25" thickBot="1">
      <c r="A83" s="1841" t="s">
        <v>1406</v>
      </c>
      <c r="B83" s="1845" t="s">
        <v>1147</v>
      </c>
      <c r="C83" s="1846">
        <v>9.8000000000000004E-2</v>
      </c>
      <c r="D83" s="1846">
        <v>9.8000000000000004E-2</v>
      </c>
      <c r="E83" s="1846">
        <v>9.8000000000000004E-2</v>
      </c>
      <c r="F83" s="1847">
        <v>0.1</v>
      </c>
    </row>
    <row r="84" spans="1:6" ht="14.25" thickBot="1">
      <c r="A84" s="1841" t="s">
        <v>1406</v>
      </c>
      <c r="B84" s="1845" t="s">
        <v>1159</v>
      </c>
      <c r="C84" s="1846">
        <v>9.9000000000000005E-2</v>
      </c>
      <c r="D84" s="1846">
        <v>9.9000000000000005E-2</v>
      </c>
      <c r="E84" s="1846">
        <v>9.9000000000000005E-2</v>
      </c>
      <c r="F84" s="1847">
        <v>0.1</v>
      </c>
    </row>
    <row r="85" spans="1:6" ht="14.25" thickBot="1">
      <c r="A85" s="1841" t="s">
        <v>1406</v>
      </c>
      <c r="B85" s="1845" t="s">
        <v>1169</v>
      </c>
      <c r="C85" s="1846">
        <v>9.9000000000000005E-2</v>
      </c>
      <c r="D85" s="1846">
        <v>9.9000000000000005E-2</v>
      </c>
      <c r="E85" s="1846">
        <v>9.9000000000000005E-2</v>
      </c>
      <c r="F85" s="1847">
        <v>0.1</v>
      </c>
    </row>
    <row r="86" spans="1:6" ht="14.25" thickBot="1">
      <c r="A86" s="1841" t="s">
        <v>1406</v>
      </c>
      <c r="B86" s="1845" t="s">
        <v>1179</v>
      </c>
      <c r="C86" s="1846">
        <v>0.1</v>
      </c>
      <c r="D86" s="1846">
        <v>0.1</v>
      </c>
      <c r="E86" s="1846">
        <v>7.6999999999999999E-2</v>
      </c>
      <c r="F86" s="1847">
        <v>0.1</v>
      </c>
    </row>
    <row r="87" spans="1:6" ht="14.25" thickBot="1">
      <c r="A87" s="1841" t="s">
        <v>1406</v>
      </c>
      <c r="B87" s="1845" t="s">
        <v>1189</v>
      </c>
      <c r="C87" s="1846">
        <v>0.1</v>
      </c>
      <c r="D87" s="1846">
        <v>0.1</v>
      </c>
      <c r="E87" s="1846">
        <v>9.8000000000000004E-2</v>
      </c>
      <c r="F87" s="1854"/>
    </row>
    <row r="88" spans="1:6" ht="14.25" thickBot="1">
      <c r="A88" s="1841" t="s">
        <v>1406</v>
      </c>
      <c r="B88" s="1845" t="s">
        <v>1199</v>
      </c>
      <c r="C88" s="1846">
        <v>9.1999999999999998E-2</v>
      </c>
      <c r="D88" s="1846">
        <v>8.5000000000000006E-2</v>
      </c>
      <c r="E88" s="1846">
        <v>9.6000000000000002E-2</v>
      </c>
      <c r="F88" s="1854"/>
    </row>
    <row r="89" spans="1:6" ht="14.25" thickBot="1">
      <c r="A89" s="1841" t="s">
        <v>1406</v>
      </c>
      <c r="B89" s="1845" t="s">
        <v>1209</v>
      </c>
      <c r="C89" s="1846">
        <v>0.1</v>
      </c>
      <c r="D89" s="1846">
        <v>0.1</v>
      </c>
      <c r="E89" s="1846">
        <v>9.7000000000000003E-2</v>
      </c>
      <c r="F89" s="1854"/>
    </row>
    <row r="90" spans="1:6" ht="14.25" thickBot="1">
      <c r="A90" s="1841" t="s">
        <v>1406</v>
      </c>
      <c r="B90" s="1845" t="s">
        <v>1219</v>
      </c>
      <c r="C90" s="1846">
        <v>9.8000000000000004E-2</v>
      </c>
      <c r="D90" s="1846">
        <v>9.8000000000000004E-2</v>
      </c>
      <c r="E90" s="1846">
        <v>8.7999999999999995E-2</v>
      </c>
      <c r="F90" s="1854"/>
    </row>
    <row r="91" spans="1:6" ht="14.25" thickBot="1">
      <c r="A91" s="1841" t="s">
        <v>1406</v>
      </c>
      <c r="B91" s="1845" t="s">
        <v>1229</v>
      </c>
      <c r="C91" s="1846">
        <v>9.9000000000000005E-2</v>
      </c>
      <c r="D91" s="1846">
        <v>9.9000000000000005E-2</v>
      </c>
      <c r="E91" s="1846">
        <v>9.0999999999999998E-2</v>
      </c>
      <c r="F91" s="1854"/>
    </row>
    <row r="92" spans="1:6" ht="14.25" thickBot="1">
      <c r="A92" s="1841" t="s">
        <v>1406</v>
      </c>
      <c r="B92" s="1845" t="s">
        <v>1239</v>
      </c>
      <c r="C92" s="1846">
        <v>9.6000000000000002E-2</v>
      </c>
      <c r="D92" s="1846">
        <v>9.6000000000000002E-2</v>
      </c>
      <c r="E92" s="1846">
        <v>7.2999999999999995E-2</v>
      </c>
      <c r="F92" s="1854"/>
    </row>
    <row r="93" spans="1:6" ht="14.25" thickBot="1">
      <c r="A93" s="1841" t="s">
        <v>1406</v>
      </c>
      <c r="B93" s="1845" t="s">
        <v>1249</v>
      </c>
      <c r="C93" s="1846">
        <v>9.6000000000000002E-2</v>
      </c>
      <c r="D93" s="1846">
        <v>9.6000000000000002E-2</v>
      </c>
      <c r="E93" s="1846">
        <v>9.9000000000000005E-2</v>
      </c>
      <c r="F93" s="1854"/>
    </row>
    <row r="94" spans="1:6" ht="14.25" thickBot="1">
      <c r="A94" s="1841" t="s">
        <v>1406</v>
      </c>
      <c r="B94" s="1845" t="s">
        <v>1259</v>
      </c>
      <c r="C94" s="1846">
        <v>7.5999999999999998E-2</v>
      </c>
      <c r="D94" s="1846">
        <v>7.3999999999999996E-2</v>
      </c>
      <c r="E94" s="1846">
        <v>9.7000000000000003E-2</v>
      </c>
      <c r="F94" s="1854"/>
    </row>
    <row r="95" spans="1:6" ht="14.25" thickBot="1">
      <c r="A95" s="1841" t="s">
        <v>1406</v>
      </c>
      <c r="B95" s="1845" t="s">
        <v>1268</v>
      </c>
      <c r="C95" s="1846">
        <v>9.9000000000000005E-2</v>
      </c>
      <c r="D95" s="1846">
        <v>9.4E-2</v>
      </c>
      <c r="E95" s="1846">
        <v>9.6000000000000002E-2</v>
      </c>
      <c r="F95" s="1854"/>
    </row>
    <row r="96" spans="1:6" ht="14.25" thickBot="1">
      <c r="A96" s="1841" t="s">
        <v>1406</v>
      </c>
      <c r="B96" s="1845" t="s">
        <v>1277</v>
      </c>
      <c r="C96" s="1846">
        <v>9.9000000000000005E-2</v>
      </c>
      <c r="D96" s="1846">
        <v>9.9000000000000005E-2</v>
      </c>
      <c r="E96" s="1846">
        <v>9.9000000000000005E-2</v>
      </c>
      <c r="F96" s="1854"/>
    </row>
    <row r="97" spans="1:6" ht="14.25" thickBot="1">
      <c r="A97" s="1841" t="s">
        <v>1406</v>
      </c>
      <c r="B97" s="1845" t="s">
        <v>1285</v>
      </c>
      <c r="C97" s="1846">
        <v>9.8000000000000004E-2</v>
      </c>
      <c r="D97" s="1846">
        <v>9.8000000000000004E-2</v>
      </c>
      <c r="E97" s="1846">
        <v>9.7000000000000003E-2</v>
      </c>
      <c r="F97" s="1854"/>
    </row>
    <row r="98" spans="1:6" ht="14.25" thickBot="1">
      <c r="A98" s="1841" t="s">
        <v>1406</v>
      </c>
      <c r="B98" s="1845" t="s">
        <v>1292</v>
      </c>
      <c r="C98" s="1846">
        <v>0.1</v>
      </c>
      <c r="D98" s="1846">
        <v>0.1</v>
      </c>
      <c r="E98" s="1846">
        <v>9.7000000000000003E-2</v>
      </c>
      <c r="F98" s="1854"/>
    </row>
    <row r="99" spans="1:6" ht="14.25" thickBot="1">
      <c r="A99" s="1841" t="s">
        <v>1406</v>
      </c>
      <c r="B99" s="1845" t="s">
        <v>1299</v>
      </c>
      <c r="C99" s="1846">
        <v>0.1</v>
      </c>
      <c r="D99" s="1846">
        <v>0.1</v>
      </c>
      <c r="E99" s="1855"/>
      <c r="F99" s="1854"/>
    </row>
    <row r="100" spans="1:6" ht="14.25" thickBot="1">
      <c r="A100" s="1841" t="s">
        <v>1406</v>
      </c>
      <c r="B100" s="1845" t="s">
        <v>1306</v>
      </c>
      <c r="C100" s="1846">
        <v>0.09</v>
      </c>
      <c r="D100" s="1846">
        <v>8.8999999999999996E-2</v>
      </c>
      <c r="E100" s="1855"/>
      <c r="F100" s="1854"/>
    </row>
    <row r="101" spans="1:6" ht="14.25" thickBot="1">
      <c r="A101" s="1841" t="s">
        <v>1406</v>
      </c>
      <c r="B101" s="1845" t="s">
        <v>1313</v>
      </c>
      <c r="C101" s="1846">
        <v>9.8000000000000004E-2</v>
      </c>
      <c r="D101" s="1846">
        <v>9.7000000000000003E-2</v>
      </c>
      <c r="E101" s="1855"/>
      <c r="F101" s="1854"/>
    </row>
    <row r="102" spans="1:6" ht="14.25" thickBot="1">
      <c r="A102" s="1841" t="s">
        <v>1406</v>
      </c>
      <c r="B102" s="1845" t="s">
        <v>2096</v>
      </c>
      <c r="C102" s="1855"/>
      <c r="D102" s="1855"/>
      <c r="E102" s="1855"/>
      <c r="F102" s="1847">
        <v>0.05</v>
      </c>
    </row>
    <row r="103" spans="1:6" ht="24.75" thickBot="1">
      <c r="A103" s="1841" t="s">
        <v>1406</v>
      </c>
      <c r="B103" s="1845" t="s">
        <v>2097</v>
      </c>
      <c r="C103" s="1855"/>
      <c r="D103" s="1855"/>
      <c r="E103" s="1855"/>
      <c r="F103" s="1847">
        <v>0.05</v>
      </c>
    </row>
    <row r="104" spans="1:6" ht="14.25" thickBot="1">
      <c r="A104" s="1841" t="s">
        <v>1406</v>
      </c>
      <c r="B104" s="1845" t="s">
        <v>2098</v>
      </c>
      <c r="C104" s="1855"/>
      <c r="D104" s="1855"/>
      <c r="E104" s="1855"/>
      <c r="F104" s="1847">
        <v>0.05</v>
      </c>
    </row>
    <row r="105" spans="1:6" ht="14.25" thickBot="1">
      <c r="A105" s="1841" t="s">
        <v>1406</v>
      </c>
      <c r="B105" s="1845" t="s">
        <v>2099</v>
      </c>
      <c r="C105" s="1855"/>
      <c r="D105" s="1855"/>
      <c r="E105" s="1855"/>
      <c r="F105" s="1847">
        <v>0.05</v>
      </c>
    </row>
    <row r="106" spans="1:6" ht="14.25" thickBot="1">
      <c r="A106" s="1841" t="s">
        <v>1406</v>
      </c>
      <c r="B106" s="1845" t="s">
        <v>2100</v>
      </c>
      <c r="C106" s="1855"/>
      <c r="D106" s="1855"/>
      <c r="E106" s="1855"/>
      <c r="F106" s="1847">
        <v>0.05</v>
      </c>
    </row>
    <row r="107" spans="1:6" ht="24.75" thickBot="1">
      <c r="A107" s="1841" t="s">
        <v>1406</v>
      </c>
      <c r="B107" s="1845" t="s">
        <v>2101</v>
      </c>
      <c r="C107" s="1855"/>
      <c r="D107" s="1855"/>
      <c r="E107" s="1855"/>
      <c r="F107" s="1847">
        <v>0.05</v>
      </c>
    </row>
    <row r="108" spans="1:6" ht="24.75" thickBot="1">
      <c r="A108" s="1841" t="s">
        <v>1406</v>
      </c>
      <c r="B108" s="1845" t="s">
        <v>2102</v>
      </c>
      <c r="C108" s="1855"/>
      <c r="D108" s="1855"/>
      <c r="E108" s="1855"/>
      <c r="F108" s="1847">
        <v>0.05</v>
      </c>
    </row>
    <row r="109" spans="1:6" ht="24.75" thickBot="1">
      <c r="A109" s="1849" t="s">
        <v>1406</v>
      </c>
      <c r="B109" s="1856" t="s">
        <v>2103</v>
      </c>
      <c r="C109" s="1852"/>
      <c r="D109" s="1852"/>
      <c r="E109" s="1852"/>
      <c r="F109" s="1857">
        <v>0.05</v>
      </c>
    </row>
    <row r="110" spans="1:6" ht="14.25" thickBot="1">
      <c r="A110" s="1841" t="s">
        <v>1408</v>
      </c>
      <c r="B110" s="1842" t="s">
        <v>2104</v>
      </c>
      <c r="C110" s="1843">
        <v>0.129</v>
      </c>
      <c r="D110" s="1843">
        <v>0.129</v>
      </c>
      <c r="E110" s="1843">
        <v>0.126</v>
      </c>
      <c r="F110" s="1844">
        <v>0.13</v>
      </c>
    </row>
    <row r="111" spans="1:6" ht="14.25" thickBot="1">
      <c r="A111" s="1841" t="s">
        <v>1408</v>
      </c>
      <c r="B111" s="1845" t="s">
        <v>1074</v>
      </c>
      <c r="C111" s="1846">
        <v>0.11</v>
      </c>
      <c r="D111" s="1846">
        <v>0.11</v>
      </c>
      <c r="E111" s="1846">
        <v>9.9000000000000005E-2</v>
      </c>
      <c r="F111" s="1847">
        <v>0.128</v>
      </c>
    </row>
    <row r="112" spans="1:6" ht="14.25" thickBot="1">
      <c r="A112" s="1841" t="s">
        <v>1408</v>
      </c>
      <c r="B112" s="1845" t="s">
        <v>1088</v>
      </c>
      <c r="C112" s="1846">
        <v>0.125</v>
      </c>
      <c r="D112" s="1846">
        <v>0.125</v>
      </c>
      <c r="E112" s="1846">
        <v>0.12</v>
      </c>
      <c r="F112" s="1847">
        <v>0.125</v>
      </c>
    </row>
    <row r="113" spans="1:6" ht="14.25" thickBot="1">
      <c r="A113" s="1841" t="s">
        <v>1408</v>
      </c>
      <c r="B113" s="1845" t="s">
        <v>1101</v>
      </c>
      <c r="C113" s="1846">
        <v>0.13</v>
      </c>
      <c r="D113" s="1846">
        <v>0.13</v>
      </c>
      <c r="E113" s="1846">
        <v>0.13</v>
      </c>
      <c r="F113" s="1847">
        <v>0.13</v>
      </c>
    </row>
    <row r="114" spans="1:6" ht="14.25" thickBot="1">
      <c r="A114" s="1841" t="s">
        <v>1408</v>
      </c>
      <c r="B114" s="1845" t="s">
        <v>1115</v>
      </c>
      <c r="C114" s="1846">
        <v>0.123</v>
      </c>
      <c r="D114" s="1846">
        <v>0.123</v>
      </c>
      <c r="E114" s="1846">
        <v>0.12</v>
      </c>
      <c r="F114" s="1847">
        <v>0.13</v>
      </c>
    </row>
    <row r="115" spans="1:6" ht="14.25" thickBot="1">
      <c r="A115" s="1841" t="s">
        <v>1408</v>
      </c>
      <c r="B115" s="1845" t="s">
        <v>1126</v>
      </c>
      <c r="C115" s="1846">
        <v>0.125</v>
      </c>
      <c r="D115" s="1846">
        <v>0.125</v>
      </c>
      <c r="E115" s="1846">
        <v>0.11700000000000001</v>
      </c>
      <c r="F115" s="1847">
        <v>0.13</v>
      </c>
    </row>
    <row r="116" spans="1:6" ht="14.25" thickBot="1">
      <c r="A116" s="1841" t="s">
        <v>1408</v>
      </c>
      <c r="B116" s="1845" t="s">
        <v>1137</v>
      </c>
      <c r="C116" s="1846">
        <v>0.11700000000000001</v>
      </c>
      <c r="D116" s="1846">
        <v>0.11700000000000001</v>
      </c>
      <c r="E116" s="1846">
        <v>8.7999999999999995E-2</v>
      </c>
      <c r="F116" s="1847">
        <v>0.13</v>
      </c>
    </row>
    <row r="117" spans="1:6" ht="14.25" thickBot="1">
      <c r="A117" s="1841" t="s">
        <v>1408</v>
      </c>
      <c r="B117" s="1845" t="s">
        <v>1148</v>
      </c>
      <c r="C117" s="1846">
        <v>0.13</v>
      </c>
      <c r="D117" s="1846">
        <v>0.13</v>
      </c>
      <c r="E117" s="1846">
        <v>0.129</v>
      </c>
      <c r="F117" s="1847">
        <v>0.13</v>
      </c>
    </row>
    <row r="118" spans="1:6" ht="14.25" thickBot="1">
      <c r="A118" s="1841" t="s">
        <v>1408</v>
      </c>
      <c r="B118" s="1845" t="s">
        <v>1160</v>
      </c>
      <c r="C118" s="1846">
        <v>0.123</v>
      </c>
      <c r="D118" s="1846">
        <v>0.123</v>
      </c>
      <c r="E118" s="1846">
        <v>0.11600000000000001</v>
      </c>
      <c r="F118" s="1847">
        <v>0.13</v>
      </c>
    </row>
    <row r="119" spans="1:6" ht="14.25" thickBot="1">
      <c r="A119" s="1841" t="s">
        <v>1408</v>
      </c>
      <c r="B119" s="1845" t="s">
        <v>1170</v>
      </c>
      <c r="C119" s="1846">
        <v>0.127</v>
      </c>
      <c r="D119" s="1846">
        <v>0.127</v>
      </c>
      <c r="E119" s="1846">
        <v>0.124</v>
      </c>
      <c r="F119" s="1847">
        <v>0.13</v>
      </c>
    </row>
    <row r="120" spans="1:6" ht="14.25" thickBot="1">
      <c r="A120" s="1841" t="s">
        <v>1408</v>
      </c>
      <c r="B120" s="1845" t="s">
        <v>1180</v>
      </c>
      <c r="C120" s="1846">
        <v>0.125</v>
      </c>
      <c r="D120" s="1846">
        <v>0.125</v>
      </c>
      <c r="E120" s="1846">
        <v>0.122</v>
      </c>
      <c r="F120" s="1847">
        <v>0.13</v>
      </c>
    </row>
    <row r="121" spans="1:6" ht="14.25" thickBot="1">
      <c r="A121" s="1841" t="s">
        <v>1408</v>
      </c>
      <c r="B121" s="1845" t="s">
        <v>1190</v>
      </c>
      <c r="C121" s="1846">
        <v>0.13</v>
      </c>
      <c r="D121" s="1846">
        <v>0.13</v>
      </c>
      <c r="E121" s="1846">
        <v>0.13</v>
      </c>
      <c r="F121" s="1847">
        <v>0.13</v>
      </c>
    </row>
    <row r="122" spans="1:6" ht="14.25" thickBot="1">
      <c r="A122" s="1841" t="s">
        <v>1408</v>
      </c>
      <c r="B122" s="1845" t="s">
        <v>1200</v>
      </c>
      <c r="C122" s="1846">
        <v>0.13</v>
      </c>
      <c r="D122" s="1846">
        <v>0.13</v>
      </c>
      <c r="E122" s="1846">
        <v>0.125</v>
      </c>
      <c r="F122" s="1847">
        <v>0.13</v>
      </c>
    </row>
    <row r="123" spans="1:6" ht="14.25" thickBot="1">
      <c r="A123" s="1841" t="s">
        <v>1408</v>
      </c>
      <c r="B123" s="1845" t="s">
        <v>1210</v>
      </c>
      <c r="C123" s="1846">
        <v>0.129</v>
      </c>
      <c r="D123" s="1846">
        <v>0.129</v>
      </c>
      <c r="E123" s="1846">
        <v>0.123</v>
      </c>
      <c r="F123" s="1847">
        <v>0.13</v>
      </c>
    </row>
    <row r="124" spans="1:6" ht="14.25" thickBot="1">
      <c r="A124" s="1841" t="s">
        <v>1408</v>
      </c>
      <c r="B124" s="1845" t="s">
        <v>1220</v>
      </c>
      <c r="C124" s="1846">
        <v>0.10199999999999999</v>
      </c>
      <c r="D124" s="1846">
        <v>0.10100000000000001</v>
      </c>
      <c r="E124" s="1846">
        <v>0.08</v>
      </c>
      <c r="F124" s="1854"/>
    </row>
    <row r="125" spans="1:6" ht="14.25" thickBot="1">
      <c r="A125" s="1841" t="s">
        <v>1408</v>
      </c>
      <c r="B125" s="1845" t="s">
        <v>1230</v>
      </c>
      <c r="C125" s="1846">
        <v>0.13</v>
      </c>
      <c r="D125" s="1846">
        <v>0.13</v>
      </c>
      <c r="E125" s="1846">
        <v>0.129</v>
      </c>
      <c r="F125" s="1854"/>
    </row>
    <row r="126" spans="1:6" ht="14.25" thickBot="1">
      <c r="A126" s="1841" t="s">
        <v>1408</v>
      </c>
      <c r="B126" s="1845" t="s">
        <v>1240</v>
      </c>
      <c r="C126" s="1846">
        <v>0.13</v>
      </c>
      <c r="D126" s="1846">
        <v>0.13</v>
      </c>
      <c r="E126" s="1846">
        <v>0.126</v>
      </c>
      <c r="F126" s="1854"/>
    </row>
    <row r="127" spans="1:6" ht="14.25" thickBot="1">
      <c r="A127" s="1841" t="s">
        <v>1408</v>
      </c>
      <c r="B127" s="1845" t="s">
        <v>1250</v>
      </c>
      <c r="C127" s="1846">
        <v>0.125</v>
      </c>
      <c r="D127" s="1846">
        <v>0.125</v>
      </c>
      <c r="E127" s="1846">
        <v>0.121</v>
      </c>
      <c r="F127" s="1854"/>
    </row>
    <row r="128" spans="1:6" ht="14.25" thickBot="1">
      <c r="A128" s="1841" t="s">
        <v>1408</v>
      </c>
      <c r="B128" s="1845" t="s">
        <v>1260</v>
      </c>
      <c r="C128" s="1846">
        <v>0.12</v>
      </c>
      <c r="D128" s="1846">
        <v>0.12</v>
      </c>
      <c r="E128" s="1846">
        <v>0.105</v>
      </c>
      <c r="F128" s="1854"/>
    </row>
    <row r="129" spans="1:6" ht="14.25" thickBot="1">
      <c r="A129" s="1841" t="s">
        <v>1408</v>
      </c>
      <c r="B129" s="1845" t="s">
        <v>1269</v>
      </c>
      <c r="C129" s="1846">
        <v>0.13</v>
      </c>
      <c r="D129" s="1846">
        <v>0.13</v>
      </c>
      <c r="E129" s="1846">
        <v>0.126</v>
      </c>
      <c r="F129" s="1854"/>
    </row>
    <row r="130" spans="1:6" ht="14.25" thickBot="1">
      <c r="A130" s="1841" t="s">
        <v>1408</v>
      </c>
      <c r="B130" s="1845" t="s">
        <v>1278</v>
      </c>
      <c r="C130" s="1846">
        <v>0.125</v>
      </c>
      <c r="D130" s="1846">
        <v>0.125</v>
      </c>
      <c r="E130" s="1846">
        <v>0.122</v>
      </c>
      <c r="F130" s="1854"/>
    </row>
    <row r="131" spans="1:6" ht="14.25" thickBot="1">
      <c r="A131" s="1841" t="s">
        <v>1408</v>
      </c>
      <c r="B131" s="1845" t="s">
        <v>1286</v>
      </c>
      <c r="C131" s="1846">
        <v>0.127</v>
      </c>
      <c r="D131" s="1846">
        <v>0.126</v>
      </c>
      <c r="E131" s="1846">
        <v>0.123</v>
      </c>
      <c r="F131" s="1854"/>
    </row>
    <row r="132" spans="1:6" ht="14.25" thickBot="1">
      <c r="A132" s="1841" t="s">
        <v>1408</v>
      </c>
      <c r="B132" s="1845" t="s">
        <v>1293</v>
      </c>
      <c r="C132" s="1846">
        <v>9.0999999999999998E-2</v>
      </c>
      <c r="D132" s="1846">
        <v>0.121</v>
      </c>
      <c r="E132" s="1846">
        <v>9.9000000000000005E-2</v>
      </c>
      <c r="F132" s="1854"/>
    </row>
    <row r="133" spans="1:6" ht="14.25" thickBot="1">
      <c r="A133" s="1841" t="s">
        <v>1408</v>
      </c>
      <c r="B133" s="1845" t="s">
        <v>1300</v>
      </c>
      <c r="C133" s="1846">
        <v>0.13</v>
      </c>
      <c r="D133" s="1846">
        <v>0.13</v>
      </c>
      <c r="E133" s="1846">
        <v>0.129</v>
      </c>
      <c r="F133" s="1854"/>
    </row>
    <row r="134" spans="1:6" ht="14.25" thickBot="1">
      <c r="A134" s="1841" t="s">
        <v>1408</v>
      </c>
      <c r="B134" s="1845" t="s">
        <v>2105</v>
      </c>
      <c r="C134" s="1846">
        <v>6.8000000000000005E-2</v>
      </c>
      <c r="D134" s="1846">
        <v>6.5000000000000002E-2</v>
      </c>
      <c r="E134" s="1846">
        <v>6.5000000000000002E-2</v>
      </c>
      <c r="F134" s="1847">
        <v>0.13</v>
      </c>
    </row>
    <row r="135" spans="1:6" ht="14.25" thickBot="1">
      <c r="A135" s="1841" t="s">
        <v>1408</v>
      </c>
      <c r="B135" s="1845" t="s">
        <v>1314</v>
      </c>
      <c r="C135" s="1846">
        <v>0.123</v>
      </c>
      <c r="D135" s="1846">
        <v>0.123</v>
      </c>
      <c r="E135" s="1846">
        <v>0.11</v>
      </c>
      <c r="F135" s="1854"/>
    </row>
    <row r="136" spans="1:6" ht="14.25" thickBot="1">
      <c r="A136" s="1841" t="s">
        <v>1408</v>
      </c>
      <c r="B136" s="1845" t="s">
        <v>1321</v>
      </c>
      <c r="C136" s="1846">
        <v>0.13</v>
      </c>
      <c r="D136" s="1846">
        <v>0.13</v>
      </c>
      <c r="E136" s="1846">
        <v>0.125</v>
      </c>
      <c r="F136" s="1854"/>
    </row>
    <row r="137" spans="1:6" ht="14.25" thickBot="1">
      <c r="A137" s="1841" t="s">
        <v>1408</v>
      </c>
      <c r="B137" s="1845" t="s">
        <v>1328</v>
      </c>
      <c r="C137" s="1846">
        <v>0.121</v>
      </c>
      <c r="D137" s="1846">
        <v>0.122</v>
      </c>
      <c r="E137" s="1846">
        <v>0.115</v>
      </c>
      <c r="F137" s="1854"/>
    </row>
    <row r="138" spans="1:6" ht="14.25" thickBot="1">
      <c r="A138" s="1841" t="s">
        <v>1408</v>
      </c>
      <c r="B138" s="1845" t="s">
        <v>2106</v>
      </c>
      <c r="C138" s="1846">
        <v>0.105</v>
      </c>
      <c r="D138" s="1846">
        <v>0.125</v>
      </c>
      <c r="E138" s="1846">
        <v>0.112</v>
      </c>
      <c r="F138" s="1854"/>
    </row>
    <row r="139" spans="1:6" ht="14.25" thickBot="1">
      <c r="A139" s="1841" t="s">
        <v>1408</v>
      </c>
      <c r="B139" s="1845" t="s">
        <v>2107</v>
      </c>
      <c r="C139" s="1846">
        <v>0.127</v>
      </c>
      <c r="D139" s="1846">
        <v>0.127</v>
      </c>
      <c r="E139" s="1846">
        <v>0.122</v>
      </c>
      <c r="F139" s="1847">
        <v>0.13</v>
      </c>
    </row>
    <row r="140" spans="1:6" ht="14.25" thickBot="1">
      <c r="A140" s="1841" t="s">
        <v>1408</v>
      </c>
      <c r="B140" s="1845" t="s">
        <v>2108</v>
      </c>
      <c r="C140" s="1846">
        <v>0.125</v>
      </c>
      <c r="D140" s="1846">
        <v>0.125</v>
      </c>
      <c r="E140" s="1846">
        <v>0.11899999999999999</v>
      </c>
      <c r="F140" s="1847">
        <v>0.13</v>
      </c>
    </row>
    <row r="141" spans="1:6" ht="14.25" thickBot="1">
      <c r="A141" s="1841" t="s">
        <v>1408</v>
      </c>
      <c r="B141" s="1845" t="s">
        <v>1347</v>
      </c>
      <c r="C141" s="1846">
        <v>0.125</v>
      </c>
      <c r="D141" s="1846">
        <v>0.125</v>
      </c>
      <c r="E141" s="1846">
        <v>0.11700000000000001</v>
      </c>
      <c r="F141" s="1854"/>
    </row>
    <row r="142" spans="1:6" ht="14.25" thickBot="1">
      <c r="A142" s="1841" t="s">
        <v>1408</v>
      </c>
      <c r="B142" s="1845" t="s">
        <v>1352</v>
      </c>
      <c r="C142" s="1846">
        <v>0.125</v>
      </c>
      <c r="D142" s="1846">
        <v>0.125</v>
      </c>
      <c r="E142" s="1846">
        <v>0.115</v>
      </c>
      <c r="F142" s="1854"/>
    </row>
    <row r="143" spans="1:6" ht="14.25" thickBot="1">
      <c r="A143" s="1841" t="s">
        <v>1408</v>
      </c>
      <c r="B143" s="1845" t="s">
        <v>1357</v>
      </c>
      <c r="C143" s="1846">
        <v>0.121</v>
      </c>
      <c r="D143" s="1846">
        <v>0.121</v>
      </c>
      <c r="E143" s="1846">
        <v>0.108</v>
      </c>
      <c r="F143" s="1854"/>
    </row>
    <row r="144" spans="1:6" ht="14.25" thickBot="1">
      <c r="A144" s="1841" t="s">
        <v>1408</v>
      </c>
      <c r="B144" s="1858" t="s">
        <v>2109</v>
      </c>
      <c r="C144" s="1859">
        <v>0.126</v>
      </c>
      <c r="D144" s="1859">
        <v>0.126</v>
      </c>
      <c r="E144" s="1859">
        <v>0.121</v>
      </c>
      <c r="F144" s="1854"/>
    </row>
    <row r="145" spans="1:6" ht="14.25" thickBot="1">
      <c r="A145" s="1849" t="s">
        <v>1408</v>
      </c>
      <c r="B145" s="1860" t="s">
        <v>2110</v>
      </c>
      <c r="C145" s="1861"/>
      <c r="D145" s="1861"/>
      <c r="E145" s="1861"/>
      <c r="F145" s="1862">
        <v>0.05</v>
      </c>
    </row>
    <row r="146" spans="1:6" ht="24.75" thickBot="1">
      <c r="A146" s="1863" t="s">
        <v>1408</v>
      </c>
      <c r="B146" s="1848" t="s">
        <v>2111</v>
      </c>
      <c r="C146" s="1855"/>
      <c r="D146" s="1855"/>
      <c r="E146" s="1855"/>
      <c r="F146" s="1864">
        <v>0.05</v>
      </c>
    </row>
    <row r="147" spans="1:6" ht="24.75" thickBot="1">
      <c r="A147" s="1841" t="s">
        <v>1408</v>
      </c>
      <c r="B147" s="1845" t="s">
        <v>2112</v>
      </c>
      <c r="C147" s="1855"/>
      <c r="D147" s="1855"/>
      <c r="E147" s="1855"/>
      <c r="F147" s="1847">
        <v>0.05</v>
      </c>
    </row>
    <row r="148" spans="1:6" ht="24.75" thickBot="1">
      <c r="A148" s="1841" t="s">
        <v>1408</v>
      </c>
      <c r="B148" s="1845" t="s">
        <v>2113</v>
      </c>
      <c r="C148" s="1855"/>
      <c r="D148" s="1855"/>
      <c r="E148" s="1855"/>
      <c r="F148" s="1847">
        <v>0.05</v>
      </c>
    </row>
    <row r="149" spans="1:6" ht="24.75" thickBot="1">
      <c r="A149" s="1841" t="s">
        <v>1408</v>
      </c>
      <c r="B149" s="1845" t="s">
        <v>2114</v>
      </c>
      <c r="C149" s="1855"/>
      <c r="D149" s="1855"/>
      <c r="E149" s="1855"/>
      <c r="F149" s="1847">
        <v>0.05</v>
      </c>
    </row>
    <row r="150" spans="1:6" ht="24.75" thickBot="1">
      <c r="A150" s="1841" t="s">
        <v>1408</v>
      </c>
      <c r="B150" s="1845" t="s">
        <v>2115</v>
      </c>
      <c r="C150" s="1855"/>
      <c r="D150" s="1855"/>
      <c r="E150" s="1855"/>
      <c r="F150" s="1847">
        <v>0.05</v>
      </c>
    </row>
    <row r="151" spans="1:6" ht="24.75" thickBot="1">
      <c r="A151" s="1841" t="s">
        <v>1408</v>
      </c>
      <c r="B151" s="1845" t="s">
        <v>2116</v>
      </c>
      <c r="C151" s="1855"/>
      <c r="D151" s="1855"/>
      <c r="E151" s="1855"/>
      <c r="F151" s="1847">
        <v>0.05</v>
      </c>
    </row>
    <row r="152" spans="1:6" ht="24.75" thickBot="1">
      <c r="A152" s="1841" t="s">
        <v>1408</v>
      </c>
      <c r="B152" s="1845" t="s">
        <v>1390</v>
      </c>
      <c r="C152" s="1855"/>
      <c r="D152" s="1855"/>
      <c r="E152" s="1855"/>
      <c r="F152" s="1847">
        <v>0.05</v>
      </c>
    </row>
    <row r="153" spans="1:6" ht="14.25" thickBot="1">
      <c r="A153" s="1841" t="s">
        <v>1408</v>
      </c>
      <c r="B153" s="1845" t="s">
        <v>2117</v>
      </c>
      <c r="C153" s="1855"/>
      <c r="D153" s="1855"/>
      <c r="E153" s="1855"/>
      <c r="F153" s="1847">
        <v>0.05</v>
      </c>
    </row>
    <row r="154" spans="1:6" ht="14.25" thickBot="1">
      <c r="A154" s="1841" t="s">
        <v>1408</v>
      </c>
      <c r="B154" s="1845" t="s">
        <v>2118</v>
      </c>
      <c r="C154" s="1855"/>
      <c r="D154" s="1855"/>
      <c r="E154" s="1855"/>
      <c r="F154" s="1847">
        <v>0.05</v>
      </c>
    </row>
    <row r="155" spans="1:6" ht="24.75" thickBot="1">
      <c r="A155" s="1841" t="s">
        <v>1408</v>
      </c>
      <c r="B155" s="1845" t="s">
        <v>2119</v>
      </c>
      <c r="C155" s="1855"/>
      <c r="D155" s="1855"/>
      <c r="E155" s="1855"/>
      <c r="F155" s="1847">
        <v>0.05</v>
      </c>
    </row>
    <row r="156" spans="1:6" ht="24.75" thickBot="1">
      <c r="A156" s="1841" t="s">
        <v>1408</v>
      </c>
      <c r="B156" s="1845" t="s">
        <v>2120</v>
      </c>
      <c r="C156" s="1855"/>
      <c r="D156" s="1855"/>
      <c r="E156" s="1855"/>
      <c r="F156" s="1847">
        <v>0.05</v>
      </c>
    </row>
    <row r="157" spans="1:6" ht="14.25" thickBot="1">
      <c r="A157" s="1849" t="s">
        <v>1408</v>
      </c>
      <c r="B157" s="1856" t="s">
        <v>2121</v>
      </c>
      <c r="C157" s="1852"/>
      <c r="D157" s="1852"/>
      <c r="E157" s="1852"/>
      <c r="F157" s="1857">
        <v>0.05</v>
      </c>
    </row>
    <row r="158" spans="1:6" ht="14.25" thickBot="1">
      <c r="A158" s="1841" t="s">
        <v>1410</v>
      </c>
      <c r="B158" s="1842" t="s">
        <v>2122</v>
      </c>
      <c r="C158" s="1843">
        <v>0.13</v>
      </c>
      <c r="D158" s="1843">
        <v>0.13</v>
      </c>
      <c r="E158" s="1843">
        <v>0.13</v>
      </c>
      <c r="F158" s="1844">
        <v>0.13</v>
      </c>
    </row>
    <row r="159" spans="1:6" ht="14.25" thickBot="1">
      <c r="A159" s="1841" t="s">
        <v>1410</v>
      </c>
      <c r="B159" s="1845" t="s">
        <v>1075</v>
      </c>
      <c r="C159" s="1846">
        <v>0.13</v>
      </c>
      <c r="D159" s="1846">
        <v>0.13</v>
      </c>
      <c r="E159" s="1846">
        <v>0.13</v>
      </c>
      <c r="F159" s="1847">
        <v>0.13</v>
      </c>
    </row>
    <row r="160" spans="1:6" ht="14.25" thickBot="1">
      <c r="A160" s="1841" t="s">
        <v>1410</v>
      </c>
      <c r="B160" s="1845" t="s">
        <v>1089</v>
      </c>
      <c r="C160" s="1846">
        <v>0.13</v>
      </c>
      <c r="D160" s="1846">
        <v>0.13</v>
      </c>
      <c r="E160" s="1846">
        <v>0.129</v>
      </c>
      <c r="F160" s="1847">
        <v>0.13</v>
      </c>
    </row>
    <row r="161" spans="1:6" ht="14.25" thickBot="1">
      <c r="A161" s="1841" t="s">
        <v>1410</v>
      </c>
      <c r="B161" s="1845" t="s">
        <v>1102</v>
      </c>
      <c r="C161" s="1846">
        <v>0.128</v>
      </c>
      <c r="D161" s="1846">
        <v>0.128</v>
      </c>
      <c r="E161" s="1846">
        <v>0.125</v>
      </c>
      <c r="F161" s="1847">
        <v>0.13</v>
      </c>
    </row>
    <row r="162" spans="1:6" ht="14.25" thickBot="1">
      <c r="A162" s="1841" t="s">
        <v>1410</v>
      </c>
      <c r="B162" s="1845" t="s">
        <v>1116</v>
      </c>
      <c r="C162" s="1846">
        <v>0.122</v>
      </c>
      <c r="D162" s="1846">
        <v>0.122</v>
      </c>
      <c r="E162" s="1846">
        <v>0.126</v>
      </c>
      <c r="F162" s="1847">
        <v>0.122</v>
      </c>
    </row>
    <row r="163" spans="1:6" ht="14.25" thickBot="1">
      <c r="A163" s="1841" t="s">
        <v>1410</v>
      </c>
      <c r="B163" s="1845" t="s">
        <v>1127</v>
      </c>
      <c r="C163" s="1846">
        <v>0.13</v>
      </c>
      <c r="D163" s="1846">
        <v>0.13</v>
      </c>
      <c r="E163" s="1846">
        <v>0.125</v>
      </c>
      <c r="F163" s="1847">
        <v>0.13</v>
      </c>
    </row>
    <row r="164" spans="1:6" ht="14.25" thickBot="1">
      <c r="A164" s="1841" t="s">
        <v>1410</v>
      </c>
      <c r="B164" s="1845" t="s">
        <v>1138</v>
      </c>
      <c r="C164" s="1846">
        <v>0.13</v>
      </c>
      <c r="D164" s="1846">
        <v>0.13</v>
      </c>
      <c r="E164" s="1846">
        <v>0.13</v>
      </c>
      <c r="F164" s="1847">
        <v>0.13</v>
      </c>
    </row>
    <row r="165" spans="1:6" ht="14.25" thickBot="1">
      <c r="A165" s="1841" t="s">
        <v>1410</v>
      </c>
      <c r="B165" s="1845" t="s">
        <v>1149</v>
      </c>
      <c r="C165" s="1846">
        <v>0.13</v>
      </c>
      <c r="D165" s="1846">
        <v>0.13</v>
      </c>
      <c r="E165" s="1846">
        <v>0.124</v>
      </c>
      <c r="F165" s="1847">
        <v>0.13</v>
      </c>
    </row>
    <row r="166" spans="1:6" ht="14.25" thickBot="1">
      <c r="A166" s="1841" t="s">
        <v>1410</v>
      </c>
      <c r="B166" s="1845" t="s">
        <v>1161</v>
      </c>
      <c r="C166" s="1846">
        <v>0.13</v>
      </c>
      <c r="D166" s="1846">
        <v>0.13</v>
      </c>
      <c r="E166" s="1846">
        <v>0.13</v>
      </c>
      <c r="F166" s="1847">
        <v>0.13</v>
      </c>
    </row>
    <row r="167" spans="1:6" ht="14.25" thickBot="1">
      <c r="A167" s="1841" t="s">
        <v>1410</v>
      </c>
      <c r="B167" s="1845" t="s">
        <v>1171</v>
      </c>
      <c r="C167" s="1846">
        <v>0.125</v>
      </c>
      <c r="D167" s="1846">
        <v>0.125</v>
      </c>
      <c r="E167" s="1846">
        <v>0.121</v>
      </c>
      <c r="F167" s="1854"/>
    </row>
    <row r="168" spans="1:6" ht="14.25" thickBot="1">
      <c r="A168" s="1841" t="s">
        <v>1410</v>
      </c>
      <c r="B168" s="1845" t="s">
        <v>1181</v>
      </c>
      <c r="C168" s="1846">
        <v>0.13</v>
      </c>
      <c r="D168" s="1846">
        <v>0.13</v>
      </c>
      <c r="E168" s="1846">
        <v>0.126</v>
      </c>
      <c r="F168" s="1854"/>
    </row>
    <row r="169" spans="1:6" ht="14.25" thickBot="1">
      <c r="A169" s="1841" t="s">
        <v>1410</v>
      </c>
      <c r="B169" s="1845" t="s">
        <v>1191</v>
      </c>
      <c r="C169" s="1846">
        <v>0.128</v>
      </c>
      <c r="D169" s="1846">
        <v>0.129</v>
      </c>
      <c r="E169" s="1846">
        <v>0.13</v>
      </c>
      <c r="F169" s="1854"/>
    </row>
    <row r="170" spans="1:6" ht="14.25" thickBot="1">
      <c r="A170" s="1841" t="s">
        <v>1410</v>
      </c>
      <c r="B170" s="1845" t="s">
        <v>1201</v>
      </c>
      <c r="C170" s="1846">
        <v>0.14099999999999999</v>
      </c>
      <c r="D170" s="1846">
        <v>0.13</v>
      </c>
      <c r="E170" s="1846">
        <v>0.125</v>
      </c>
      <c r="F170" s="1854"/>
    </row>
    <row r="171" spans="1:6" ht="14.25" thickBot="1">
      <c r="A171" s="1841" t="s">
        <v>1410</v>
      </c>
      <c r="B171" s="1845" t="s">
        <v>2123</v>
      </c>
      <c r="C171" s="1846">
        <v>0.127</v>
      </c>
      <c r="D171" s="1846">
        <v>0.126</v>
      </c>
      <c r="E171" s="1846">
        <v>0.126</v>
      </c>
      <c r="F171" s="1847">
        <v>0.11799999999999999</v>
      </c>
    </row>
    <row r="172" spans="1:6" ht="14.25" thickBot="1">
      <c r="A172" s="1841" t="s">
        <v>1410</v>
      </c>
      <c r="B172" s="1845" t="s">
        <v>2124</v>
      </c>
      <c r="C172" s="1846">
        <v>0.13</v>
      </c>
      <c r="D172" s="1846">
        <v>0.13</v>
      </c>
      <c r="E172" s="1846">
        <v>0.13</v>
      </c>
      <c r="F172" s="1854"/>
    </row>
    <row r="173" spans="1:6" ht="14.25" thickBot="1">
      <c r="A173" s="1841" t="s">
        <v>1410</v>
      </c>
      <c r="B173" s="1845" t="s">
        <v>1231</v>
      </c>
      <c r="C173" s="1846">
        <v>0.13</v>
      </c>
      <c r="D173" s="1846">
        <v>0.13</v>
      </c>
      <c r="E173" s="1846">
        <v>0.13</v>
      </c>
      <c r="F173" s="1854"/>
    </row>
    <row r="174" spans="1:6" ht="14.25" thickBot="1">
      <c r="A174" s="1841" t="s">
        <v>1410</v>
      </c>
      <c r="B174" s="1845" t="s">
        <v>2125</v>
      </c>
      <c r="C174" s="1846">
        <v>0.13</v>
      </c>
      <c r="D174" s="1846">
        <v>0.13</v>
      </c>
      <c r="E174" s="1846">
        <v>0.13</v>
      </c>
      <c r="F174" s="1847">
        <v>0.13</v>
      </c>
    </row>
    <row r="175" spans="1:6" ht="14.25" thickBot="1">
      <c r="A175" s="1841" t="s">
        <v>1410</v>
      </c>
      <c r="B175" s="1845" t="s">
        <v>2126</v>
      </c>
      <c r="C175" s="1846">
        <v>0.13</v>
      </c>
      <c r="D175" s="1846">
        <v>0.13</v>
      </c>
      <c r="E175" s="1846">
        <v>0.13</v>
      </c>
      <c r="F175" s="1847">
        <v>0.13</v>
      </c>
    </row>
    <row r="176" spans="1:6" ht="14.25" thickBot="1">
      <c r="A176" s="1841" t="s">
        <v>1410</v>
      </c>
      <c r="B176" s="1845" t="s">
        <v>1261</v>
      </c>
      <c r="C176" s="1846">
        <v>0.13</v>
      </c>
      <c r="D176" s="1846">
        <v>0.13</v>
      </c>
      <c r="E176" s="1846">
        <v>0.13</v>
      </c>
      <c r="F176" s="1847">
        <v>0.13</v>
      </c>
    </row>
    <row r="177" spans="1:6" ht="14.25" thickBot="1">
      <c r="A177" s="1841" t="s">
        <v>1410</v>
      </c>
      <c r="B177" s="1845" t="s">
        <v>2127</v>
      </c>
      <c r="C177" s="1846">
        <v>0.13</v>
      </c>
      <c r="D177" s="1846">
        <v>0.13</v>
      </c>
      <c r="E177" s="1846">
        <v>0.13</v>
      </c>
      <c r="F177" s="1847">
        <v>0.13</v>
      </c>
    </row>
    <row r="178" spans="1:6" ht="14.25" thickBot="1">
      <c r="A178" s="1841" t="s">
        <v>1410</v>
      </c>
      <c r="B178" s="1845" t="s">
        <v>1279</v>
      </c>
      <c r="C178" s="1846">
        <v>0.13</v>
      </c>
      <c r="D178" s="1846">
        <v>0.13</v>
      </c>
      <c r="E178" s="1846">
        <v>0.13</v>
      </c>
      <c r="F178" s="1847">
        <v>0.127</v>
      </c>
    </row>
    <row r="179" spans="1:6" ht="14.25" thickBot="1">
      <c r="A179" s="1841" t="s">
        <v>1410</v>
      </c>
      <c r="B179" s="1845" t="s">
        <v>1287</v>
      </c>
      <c r="C179" s="1846">
        <v>0.13</v>
      </c>
      <c r="D179" s="1846">
        <v>0.13</v>
      </c>
      <c r="E179" s="1846">
        <v>0.13</v>
      </c>
      <c r="F179" s="1854"/>
    </row>
    <row r="180" spans="1:6" ht="14.25" thickBot="1">
      <c r="A180" s="1841" t="s">
        <v>1410</v>
      </c>
      <c r="B180" s="1845" t="s">
        <v>2128</v>
      </c>
      <c r="C180" s="1846">
        <v>0.13</v>
      </c>
      <c r="D180" s="1846">
        <v>0.13</v>
      </c>
      <c r="E180" s="1846">
        <v>0.125</v>
      </c>
      <c r="F180" s="1847">
        <v>0.13</v>
      </c>
    </row>
    <row r="181" spans="1:6" ht="14.25" thickBot="1">
      <c r="A181" s="1841" t="s">
        <v>1410</v>
      </c>
      <c r="B181" s="1845" t="s">
        <v>1301</v>
      </c>
      <c r="C181" s="1846">
        <v>0.122</v>
      </c>
      <c r="D181" s="1846">
        <v>0.123</v>
      </c>
      <c r="E181" s="1846">
        <v>0.126</v>
      </c>
      <c r="F181" s="1847">
        <v>0.121</v>
      </c>
    </row>
    <row r="182" spans="1:6" ht="14.25" thickBot="1">
      <c r="A182" s="1841" t="s">
        <v>1410</v>
      </c>
      <c r="B182" s="1845" t="s">
        <v>1308</v>
      </c>
      <c r="C182" s="1846">
        <v>0.125</v>
      </c>
      <c r="D182" s="1846">
        <v>0.125</v>
      </c>
      <c r="E182" s="1846">
        <v>0.11700000000000001</v>
      </c>
      <c r="F182" s="1847">
        <v>0.13</v>
      </c>
    </row>
    <row r="183" spans="1:6" ht="14.25" thickBot="1">
      <c r="A183" s="1841" t="s">
        <v>1410</v>
      </c>
      <c r="B183" s="1845" t="s">
        <v>1315</v>
      </c>
      <c r="C183" s="1846">
        <v>0.127</v>
      </c>
      <c r="D183" s="1846">
        <v>0.127</v>
      </c>
      <c r="E183" s="1846">
        <v>0.128</v>
      </c>
      <c r="F183" s="1854"/>
    </row>
    <row r="184" spans="1:6" ht="14.25" thickBot="1">
      <c r="A184" s="1841" t="s">
        <v>1410</v>
      </c>
      <c r="B184" s="1845" t="s">
        <v>1322</v>
      </c>
      <c r="C184" s="1846">
        <v>0.125</v>
      </c>
      <c r="D184" s="1846">
        <v>0.125</v>
      </c>
      <c r="E184" s="1846">
        <v>0.127</v>
      </c>
      <c r="F184" s="1854"/>
    </row>
    <row r="185" spans="1:6" ht="14.25" thickBot="1">
      <c r="A185" s="1841" t="s">
        <v>1410</v>
      </c>
      <c r="B185" s="1845" t="s">
        <v>2129</v>
      </c>
      <c r="C185" s="1846">
        <v>0.127</v>
      </c>
      <c r="D185" s="1846">
        <v>0.127</v>
      </c>
      <c r="E185" s="1846">
        <v>0.128</v>
      </c>
      <c r="F185" s="1847">
        <v>0.13</v>
      </c>
    </row>
    <row r="186" spans="1:6" ht="24.75" thickBot="1">
      <c r="A186" s="1841" t="s">
        <v>1410</v>
      </c>
      <c r="B186" s="1845" t="s">
        <v>2130</v>
      </c>
      <c r="C186" s="1855"/>
      <c r="D186" s="1855"/>
      <c r="E186" s="1855"/>
      <c r="F186" s="1847">
        <v>0.05</v>
      </c>
    </row>
    <row r="187" spans="1:6" ht="14.25" thickBot="1">
      <c r="A187" s="1841" t="s">
        <v>1410</v>
      </c>
      <c r="B187" s="1845" t="s">
        <v>2131</v>
      </c>
      <c r="C187" s="1855"/>
      <c r="D187" s="1855"/>
      <c r="E187" s="1855"/>
      <c r="F187" s="1847">
        <v>0.05</v>
      </c>
    </row>
    <row r="188" spans="1:6" ht="14.25" thickBot="1">
      <c r="A188" s="1841" t="s">
        <v>1410</v>
      </c>
      <c r="B188" s="1845" t="s">
        <v>2132</v>
      </c>
      <c r="C188" s="1855"/>
      <c r="D188" s="1855"/>
      <c r="E188" s="1855"/>
      <c r="F188" s="1847">
        <v>0.05</v>
      </c>
    </row>
    <row r="189" spans="1:6" ht="24.75" thickBot="1">
      <c r="A189" s="1841" t="s">
        <v>1410</v>
      </c>
      <c r="B189" s="1845" t="s">
        <v>2133</v>
      </c>
      <c r="C189" s="1855"/>
      <c r="D189" s="1855"/>
      <c r="E189" s="1855"/>
      <c r="F189" s="1847">
        <v>0.05</v>
      </c>
    </row>
    <row r="190" spans="1:6" ht="24.75" thickBot="1">
      <c r="A190" s="1841" t="s">
        <v>1410</v>
      </c>
      <c r="B190" s="1845" t="s">
        <v>2134</v>
      </c>
      <c r="C190" s="1855"/>
      <c r="D190" s="1855"/>
      <c r="E190" s="1855"/>
      <c r="F190" s="1847">
        <v>0.05</v>
      </c>
    </row>
    <row r="191" spans="1:6" ht="24.75" thickBot="1">
      <c r="A191" s="1841" t="s">
        <v>1410</v>
      </c>
      <c r="B191" s="1845" t="s">
        <v>2135</v>
      </c>
      <c r="C191" s="1855"/>
      <c r="D191" s="1855"/>
      <c r="E191" s="1855"/>
      <c r="F191" s="1847">
        <v>0.05</v>
      </c>
    </row>
    <row r="192" spans="1:6" ht="24.75" thickBot="1">
      <c r="A192" s="1841" t="s">
        <v>1410</v>
      </c>
      <c r="B192" s="1845" t="s">
        <v>2136</v>
      </c>
      <c r="C192" s="1855"/>
      <c r="D192" s="1855"/>
      <c r="E192" s="1855"/>
      <c r="F192" s="1847">
        <v>0.05</v>
      </c>
    </row>
    <row r="193" spans="1:6" ht="24.75" thickBot="1">
      <c r="A193" s="1841" t="s">
        <v>1410</v>
      </c>
      <c r="B193" s="1845" t="s">
        <v>2137</v>
      </c>
      <c r="C193" s="1855"/>
      <c r="D193" s="1855"/>
      <c r="E193" s="1855"/>
      <c r="F193" s="1847">
        <v>0.05</v>
      </c>
    </row>
    <row r="194" spans="1:6" ht="24.75" thickBot="1">
      <c r="A194" s="1841" t="s">
        <v>1410</v>
      </c>
      <c r="B194" s="1845" t="s">
        <v>2138</v>
      </c>
      <c r="C194" s="1855"/>
      <c r="D194" s="1855"/>
      <c r="E194" s="1855"/>
      <c r="F194" s="1847">
        <v>0.05</v>
      </c>
    </row>
    <row r="195" spans="1:6" ht="14.25" thickBot="1">
      <c r="A195" s="1841" t="s">
        <v>1410</v>
      </c>
      <c r="B195" s="1845" t="s">
        <v>2139</v>
      </c>
      <c r="C195" s="1855"/>
      <c r="D195" s="1855"/>
      <c r="E195" s="1855"/>
      <c r="F195" s="1847">
        <v>0.05</v>
      </c>
    </row>
    <row r="196" spans="1:6" ht="24.75" thickBot="1">
      <c r="A196" s="1841" t="s">
        <v>1410</v>
      </c>
      <c r="B196" s="1845" t="s">
        <v>2140</v>
      </c>
      <c r="C196" s="1855"/>
      <c r="D196" s="1855"/>
      <c r="E196" s="1855"/>
      <c r="F196" s="1847">
        <v>0.05</v>
      </c>
    </row>
    <row r="197" spans="1:6" ht="24.75" thickBot="1">
      <c r="A197" s="1841" t="s">
        <v>1410</v>
      </c>
      <c r="B197" s="1845" t="s">
        <v>2141</v>
      </c>
      <c r="C197" s="1855"/>
      <c r="D197" s="1855"/>
      <c r="E197" s="1855"/>
      <c r="F197" s="1847">
        <v>0.05</v>
      </c>
    </row>
    <row r="198" spans="1:6" ht="24.75" thickBot="1">
      <c r="A198" s="1841" t="s">
        <v>1410</v>
      </c>
      <c r="B198" s="1845" t="s">
        <v>2142</v>
      </c>
      <c r="C198" s="1855"/>
      <c r="D198" s="1855"/>
      <c r="E198" s="1855"/>
      <c r="F198" s="1847">
        <v>0.05</v>
      </c>
    </row>
    <row r="199" spans="1:6" ht="24.75" thickBot="1">
      <c r="A199" s="1841" t="s">
        <v>1410</v>
      </c>
      <c r="B199" s="1845" t="s">
        <v>2143</v>
      </c>
      <c r="C199" s="1855"/>
      <c r="D199" s="1855"/>
      <c r="E199" s="1855"/>
      <c r="F199" s="1847">
        <v>0.05</v>
      </c>
    </row>
    <row r="200" spans="1:6" ht="24.75" thickBot="1">
      <c r="A200" s="1841" t="s">
        <v>1410</v>
      </c>
      <c r="B200" s="1845" t="s">
        <v>2144</v>
      </c>
      <c r="C200" s="1855"/>
      <c r="D200" s="1855"/>
      <c r="E200" s="1855"/>
      <c r="F200" s="1847">
        <v>0.05</v>
      </c>
    </row>
    <row r="201" spans="1:6" ht="24.75" thickBot="1">
      <c r="A201" s="1841" t="s">
        <v>1410</v>
      </c>
      <c r="B201" s="1845" t="s">
        <v>2145</v>
      </c>
      <c r="C201" s="1855"/>
      <c r="D201" s="1855"/>
      <c r="E201" s="1855"/>
      <c r="F201" s="1847">
        <v>0.05</v>
      </c>
    </row>
    <row r="202" spans="1:6" ht="24.75" thickBot="1">
      <c r="A202" s="1841" t="s">
        <v>1410</v>
      </c>
      <c r="B202" s="1845" t="s">
        <v>2146</v>
      </c>
      <c r="C202" s="1855"/>
      <c r="D202" s="1855"/>
      <c r="E202" s="1855"/>
      <c r="F202" s="1847">
        <v>0.05</v>
      </c>
    </row>
    <row r="203" spans="1:6" ht="24.75" thickBot="1">
      <c r="A203" s="1841" t="s">
        <v>1410</v>
      </c>
      <c r="B203" s="1845" t="s">
        <v>2147</v>
      </c>
      <c r="C203" s="1855"/>
      <c r="D203" s="1855"/>
      <c r="E203" s="1855"/>
      <c r="F203" s="1847">
        <v>0.05</v>
      </c>
    </row>
    <row r="204" spans="1:6" ht="14.25" thickBot="1">
      <c r="A204" s="1841" t="s">
        <v>1410</v>
      </c>
      <c r="B204" s="1845" t="s">
        <v>2148</v>
      </c>
      <c r="C204" s="1855"/>
      <c r="D204" s="1855"/>
      <c r="E204" s="1855"/>
      <c r="F204" s="1847">
        <v>0.05</v>
      </c>
    </row>
    <row r="205" spans="1:6" ht="14.25" thickBot="1">
      <c r="A205" s="1849" t="s">
        <v>1410</v>
      </c>
      <c r="B205" s="1856" t="s">
        <v>2149</v>
      </c>
      <c r="C205" s="1852"/>
      <c r="D205" s="1852"/>
      <c r="E205" s="1852"/>
      <c r="F205" s="1857">
        <v>0.05</v>
      </c>
    </row>
    <row r="206" spans="1:6" ht="14.25" thickBot="1">
      <c r="A206" s="1841" t="s">
        <v>1412</v>
      </c>
      <c r="B206" s="1842" t="s">
        <v>2150</v>
      </c>
      <c r="C206" s="1843">
        <v>0.15</v>
      </c>
      <c r="D206" s="1843">
        <v>0.15</v>
      </c>
      <c r="E206" s="1843">
        <v>0.15</v>
      </c>
      <c r="F206" s="1844">
        <v>0.15</v>
      </c>
    </row>
    <row r="207" spans="1:6" ht="14.25" thickBot="1">
      <c r="A207" s="1841" t="s">
        <v>1412</v>
      </c>
      <c r="B207" s="1845" t="s">
        <v>1076</v>
      </c>
      <c r="C207" s="1846">
        <v>0.15</v>
      </c>
      <c r="D207" s="1846">
        <v>0.15</v>
      </c>
      <c r="E207" s="1846">
        <v>0.15</v>
      </c>
      <c r="F207" s="1847">
        <v>0.14399999999999999</v>
      </c>
    </row>
    <row r="208" spans="1:6" ht="14.25" thickBot="1">
      <c r="A208" s="1841" t="s">
        <v>1412</v>
      </c>
      <c r="B208" s="1845" t="s">
        <v>1090</v>
      </c>
      <c r="C208" s="1846">
        <v>0.15</v>
      </c>
      <c r="D208" s="1846">
        <v>0.15</v>
      </c>
      <c r="E208" s="1846">
        <v>0.15</v>
      </c>
      <c r="F208" s="1847">
        <v>0.15</v>
      </c>
    </row>
    <row r="209" spans="1:6" ht="14.25" thickBot="1">
      <c r="A209" s="1841" t="s">
        <v>1412</v>
      </c>
      <c r="B209" s="1845" t="s">
        <v>1103</v>
      </c>
      <c r="C209" s="1846">
        <v>0.13700000000000001</v>
      </c>
      <c r="D209" s="1846">
        <v>0.13700000000000001</v>
      </c>
      <c r="E209" s="1846">
        <v>0.14000000000000001</v>
      </c>
      <c r="F209" s="1847">
        <v>0.11700000000000001</v>
      </c>
    </row>
    <row r="210" spans="1:6" ht="14.25" thickBot="1">
      <c r="A210" s="1841" t="s">
        <v>1412</v>
      </c>
      <c r="B210" s="1845" t="s">
        <v>2151</v>
      </c>
      <c r="C210" s="1846">
        <v>0.15</v>
      </c>
      <c r="D210" s="1846">
        <v>0.15</v>
      </c>
      <c r="E210" s="1846">
        <v>0.15</v>
      </c>
      <c r="F210" s="1847">
        <v>0.13800000000000001</v>
      </c>
    </row>
    <row r="211" spans="1:6" ht="14.25" thickBot="1">
      <c r="A211" s="1841" t="s">
        <v>1412</v>
      </c>
      <c r="B211" s="1845" t="s">
        <v>2152</v>
      </c>
      <c r="C211" s="1846">
        <v>0.13700000000000001</v>
      </c>
      <c r="D211" s="1846">
        <v>0.13500000000000001</v>
      </c>
      <c r="E211" s="1846">
        <v>0.13600000000000001</v>
      </c>
      <c r="F211" s="1847">
        <v>0.1</v>
      </c>
    </row>
    <row r="212" spans="1:6" ht="14.25" thickBot="1">
      <c r="A212" s="1841" t="s">
        <v>1412</v>
      </c>
      <c r="B212" s="1845" t="s">
        <v>2153</v>
      </c>
      <c r="C212" s="1846">
        <v>0.15</v>
      </c>
      <c r="D212" s="1846">
        <v>0.15</v>
      </c>
      <c r="E212" s="1846">
        <v>0.14799999999999999</v>
      </c>
      <c r="F212" s="1847">
        <v>0.13600000000000001</v>
      </c>
    </row>
    <row r="213" spans="1:6" ht="14.25" thickBot="1">
      <c r="A213" s="1841" t="s">
        <v>1412</v>
      </c>
      <c r="B213" s="1845" t="s">
        <v>1150</v>
      </c>
      <c r="C213" s="1846">
        <v>0.15</v>
      </c>
      <c r="D213" s="1846">
        <v>0.15</v>
      </c>
      <c r="E213" s="1846">
        <v>0.15</v>
      </c>
      <c r="F213" s="1847">
        <v>0.13800000000000001</v>
      </c>
    </row>
    <row r="214" spans="1:6" ht="14.25" thickBot="1">
      <c r="A214" s="1841" t="s">
        <v>1412</v>
      </c>
      <c r="B214" s="1845" t="s">
        <v>1162</v>
      </c>
      <c r="C214" s="1846">
        <v>9.0999999999999998E-2</v>
      </c>
      <c r="D214" s="1846">
        <v>0.09</v>
      </c>
      <c r="E214" s="1846">
        <v>9.1999999999999998E-2</v>
      </c>
      <c r="F214" s="1854"/>
    </row>
    <row r="215" spans="1:6" ht="14.25" thickBot="1">
      <c r="A215" s="1841" t="s">
        <v>1412</v>
      </c>
      <c r="B215" s="1845" t="s">
        <v>2154</v>
      </c>
      <c r="C215" s="1846">
        <v>0.15</v>
      </c>
      <c r="D215" s="1846">
        <v>0.15</v>
      </c>
      <c r="E215" s="1846">
        <v>0.15</v>
      </c>
      <c r="F215" s="1847">
        <v>0.15</v>
      </c>
    </row>
    <row r="216" spans="1:6" ht="14.25" thickBot="1">
      <c r="A216" s="1841" t="s">
        <v>1412</v>
      </c>
      <c r="B216" s="1845" t="s">
        <v>1182</v>
      </c>
      <c r="C216" s="1846">
        <v>0.14699999999999999</v>
      </c>
      <c r="D216" s="1846">
        <v>0.14699999999999999</v>
      </c>
      <c r="E216" s="1846">
        <v>0.15</v>
      </c>
      <c r="F216" s="1847">
        <v>0.14000000000000001</v>
      </c>
    </row>
    <row r="217" spans="1:6" ht="14.25" thickBot="1">
      <c r="A217" s="1841" t="s">
        <v>1412</v>
      </c>
      <c r="B217" s="1845" t="s">
        <v>1192</v>
      </c>
      <c r="C217" s="1846">
        <v>0.15</v>
      </c>
      <c r="D217" s="1846">
        <v>0.15</v>
      </c>
      <c r="E217" s="1846">
        <v>0.15</v>
      </c>
      <c r="F217" s="1847">
        <v>0.15</v>
      </c>
    </row>
    <row r="218" spans="1:6" ht="14.25" thickBot="1">
      <c r="A218" s="1841" t="s">
        <v>1412</v>
      </c>
      <c r="B218" s="1845" t="s">
        <v>2155</v>
      </c>
      <c r="C218" s="1846">
        <v>0.15</v>
      </c>
      <c r="D218" s="1846">
        <v>0.15</v>
      </c>
      <c r="E218" s="1846">
        <v>0.15</v>
      </c>
      <c r="F218" s="1847">
        <v>0.15</v>
      </c>
    </row>
    <row r="219" spans="1:6" ht="14.25" thickBot="1">
      <c r="A219" s="1841" t="s">
        <v>1412</v>
      </c>
      <c r="B219" s="1845" t="s">
        <v>1212</v>
      </c>
      <c r="C219" s="1846">
        <v>0.15</v>
      </c>
      <c r="D219" s="1846">
        <v>0.15</v>
      </c>
      <c r="E219" s="1846">
        <v>0.15</v>
      </c>
      <c r="F219" s="1847">
        <v>0.14799999999999999</v>
      </c>
    </row>
    <row r="220" spans="1:6" ht="14.25" thickBot="1">
      <c r="A220" s="1841" t="s">
        <v>1412</v>
      </c>
      <c r="B220" s="1845" t="s">
        <v>2156</v>
      </c>
      <c r="C220" s="1846">
        <v>0.15</v>
      </c>
      <c r="D220" s="1846">
        <v>0.15</v>
      </c>
      <c r="E220" s="1846">
        <v>0.15</v>
      </c>
      <c r="F220" s="1847">
        <v>0.15</v>
      </c>
    </row>
    <row r="221" spans="1:6" ht="14.25" thickBot="1">
      <c r="A221" s="1841" t="s">
        <v>1412</v>
      </c>
      <c r="B221" s="1845" t="s">
        <v>1232</v>
      </c>
      <c r="C221" s="1846"/>
      <c r="D221" s="1855"/>
      <c r="E221" s="1855"/>
      <c r="F221" s="1847">
        <v>0.14799999999999999</v>
      </c>
    </row>
    <row r="222" spans="1:6" ht="14.25" thickBot="1">
      <c r="A222" s="1841" t="s">
        <v>1412</v>
      </c>
      <c r="B222" s="1845" t="s">
        <v>1242</v>
      </c>
      <c r="C222" s="1846"/>
      <c r="D222" s="1855"/>
      <c r="E222" s="1855"/>
      <c r="F222" s="1847">
        <v>0.1</v>
      </c>
    </row>
    <row r="223" spans="1:6" ht="14.25" thickBot="1">
      <c r="A223" s="1841" t="s">
        <v>1412</v>
      </c>
      <c r="B223" s="1845" t="s">
        <v>1252</v>
      </c>
      <c r="C223" s="1846"/>
      <c r="D223" s="1855"/>
      <c r="E223" s="1855"/>
      <c r="F223" s="1847">
        <v>0.15</v>
      </c>
    </row>
    <row r="224" spans="1:6" ht="14.25" thickBot="1">
      <c r="A224" s="1841" t="s">
        <v>1412</v>
      </c>
      <c r="B224" s="1845" t="s">
        <v>1262</v>
      </c>
      <c r="C224" s="1846"/>
      <c r="D224" s="1855"/>
      <c r="E224" s="1855"/>
      <c r="F224" s="1847">
        <v>0.15</v>
      </c>
    </row>
    <row r="225" spans="1:6" ht="14.25" thickBot="1">
      <c r="A225" s="1841" t="s">
        <v>1412</v>
      </c>
      <c r="B225" s="1845" t="s">
        <v>2157</v>
      </c>
      <c r="C225" s="1846">
        <v>0.15</v>
      </c>
      <c r="D225" s="1846">
        <v>0.15</v>
      </c>
      <c r="E225" s="1846">
        <v>0.15</v>
      </c>
      <c r="F225" s="1847">
        <v>0.15</v>
      </c>
    </row>
    <row r="226" spans="1:6" ht="14.25" thickBot="1">
      <c r="A226" s="1841" t="s">
        <v>1412</v>
      </c>
      <c r="B226" s="1845" t="s">
        <v>1280</v>
      </c>
      <c r="C226" s="1846">
        <v>0.15</v>
      </c>
      <c r="D226" s="1846">
        <v>0.15</v>
      </c>
      <c r="E226" s="1846">
        <v>0.15</v>
      </c>
      <c r="F226" s="1847">
        <v>0.14799999999999999</v>
      </c>
    </row>
    <row r="227" spans="1:6" ht="14.25" thickBot="1">
      <c r="A227" s="1841" t="s">
        <v>1412</v>
      </c>
      <c r="B227" s="1845" t="s">
        <v>2158</v>
      </c>
      <c r="C227" s="1846">
        <v>0.15</v>
      </c>
      <c r="D227" s="1846">
        <v>0.15</v>
      </c>
      <c r="E227" s="1846">
        <v>0.15</v>
      </c>
      <c r="F227" s="1847">
        <v>0.15</v>
      </c>
    </row>
    <row r="228" spans="1:6" ht="14.25" thickBot="1">
      <c r="A228" s="1841" t="s">
        <v>1412</v>
      </c>
      <c r="B228" s="1845" t="s">
        <v>1295</v>
      </c>
      <c r="C228" s="1846">
        <v>0.15</v>
      </c>
      <c r="D228" s="1846">
        <v>0.15</v>
      </c>
      <c r="E228" s="1846">
        <v>0.15</v>
      </c>
      <c r="F228" s="1847">
        <v>0.15</v>
      </c>
    </row>
    <row r="229" spans="1:6" ht="14.25" thickBot="1">
      <c r="A229" s="1841" t="s">
        <v>1412</v>
      </c>
      <c r="B229" s="1845" t="s">
        <v>1302</v>
      </c>
      <c r="C229" s="1846">
        <v>0.15</v>
      </c>
      <c r="D229" s="1846">
        <v>0.15</v>
      </c>
      <c r="E229" s="1846">
        <v>0.15</v>
      </c>
      <c r="F229" s="1854"/>
    </row>
    <row r="230" spans="1:6" ht="14.25" thickBot="1">
      <c r="A230" s="1841" t="s">
        <v>1412</v>
      </c>
      <c r="B230" s="1845" t="s">
        <v>1309</v>
      </c>
      <c r="C230" s="1846">
        <v>0.14499999999999999</v>
      </c>
      <c r="D230" s="1846">
        <v>0.14499999999999999</v>
      </c>
      <c r="E230" s="1846">
        <v>0.14399999999999999</v>
      </c>
      <c r="F230" s="1854"/>
    </row>
    <row r="231" spans="1:6" ht="14.25" thickBot="1">
      <c r="A231" s="1841" t="s">
        <v>1412</v>
      </c>
      <c r="B231" s="1845" t="s">
        <v>2159</v>
      </c>
      <c r="C231" s="1846">
        <v>0.128</v>
      </c>
      <c r="D231" s="1846">
        <v>0.125</v>
      </c>
      <c r="E231" s="1846">
        <v>0.13200000000000001</v>
      </c>
      <c r="F231" s="1854"/>
    </row>
    <row r="232" spans="1:6" ht="14.25" thickBot="1">
      <c r="A232" s="1841" t="s">
        <v>1412</v>
      </c>
      <c r="B232" s="1845" t="s">
        <v>2160</v>
      </c>
      <c r="C232" s="1846">
        <v>0.14499999999999999</v>
      </c>
      <c r="D232" s="1846">
        <v>0.14399999999999999</v>
      </c>
      <c r="E232" s="1846">
        <v>0.14599999999999999</v>
      </c>
      <c r="F232" s="1847">
        <v>0.13800000000000001</v>
      </c>
    </row>
    <row r="233" spans="1:6" ht="14.25" thickBot="1">
      <c r="A233" s="1841" t="s">
        <v>1412</v>
      </c>
      <c r="B233" s="1845" t="s">
        <v>2161</v>
      </c>
      <c r="C233" s="1846">
        <v>0.14499999999999999</v>
      </c>
      <c r="D233" s="1846">
        <v>0.14299999999999999</v>
      </c>
      <c r="E233" s="1846">
        <v>0.14199999999999999</v>
      </c>
      <c r="F233" s="1854"/>
    </row>
    <row r="234" spans="1:6" ht="14.25" thickBot="1">
      <c r="A234" s="1841" t="s">
        <v>1412</v>
      </c>
      <c r="B234" s="1845" t="s">
        <v>2162</v>
      </c>
      <c r="C234" s="1846">
        <v>0.14000000000000001</v>
      </c>
      <c r="D234" s="1846">
        <v>0.14000000000000001</v>
      </c>
      <c r="E234" s="1846">
        <v>0.14399999999999999</v>
      </c>
      <c r="F234" s="1854"/>
    </row>
    <row r="235" spans="1:6" ht="14.25" thickBot="1">
      <c r="A235" s="1841" t="s">
        <v>1412</v>
      </c>
      <c r="B235" s="1845" t="s">
        <v>2163</v>
      </c>
      <c r="C235" s="1846">
        <v>0.14099999999999999</v>
      </c>
      <c r="D235" s="1846">
        <v>0.14199999999999999</v>
      </c>
      <c r="E235" s="1846">
        <v>0.14499999999999999</v>
      </c>
      <c r="F235" s="1847">
        <v>0.15</v>
      </c>
    </row>
    <row r="236" spans="1:6" ht="14.25" thickBot="1">
      <c r="A236" s="1841" t="s">
        <v>1412</v>
      </c>
      <c r="B236" s="1845" t="s">
        <v>1344</v>
      </c>
      <c r="C236" s="1855"/>
      <c r="D236" s="1855"/>
      <c r="E236" s="1855"/>
      <c r="F236" s="1847">
        <v>0.14299999999999999</v>
      </c>
    </row>
    <row r="237" spans="1:6" ht="24.75" thickBot="1">
      <c r="A237" s="1841" t="s">
        <v>1412</v>
      </c>
      <c r="B237" s="1845" t="s">
        <v>2164</v>
      </c>
      <c r="C237" s="1855"/>
      <c r="D237" s="1855"/>
      <c r="E237" s="1855"/>
      <c r="F237" s="1847">
        <v>0.05</v>
      </c>
    </row>
    <row r="238" spans="1:6" ht="24.75" thickBot="1">
      <c r="A238" s="1841" t="s">
        <v>1412</v>
      </c>
      <c r="B238" s="1845" t="s">
        <v>2165</v>
      </c>
      <c r="C238" s="1855"/>
      <c r="D238" s="1855"/>
      <c r="E238" s="1855"/>
      <c r="F238" s="1847">
        <v>0.05</v>
      </c>
    </row>
    <row r="239" spans="1:6" ht="24.75" thickBot="1">
      <c r="A239" s="1841" t="s">
        <v>1412</v>
      </c>
      <c r="B239" s="1845" t="s">
        <v>2166</v>
      </c>
      <c r="C239" s="1855"/>
      <c r="D239" s="1855"/>
      <c r="E239" s="1855"/>
      <c r="F239" s="1847">
        <v>0.05</v>
      </c>
    </row>
    <row r="240" spans="1:6" ht="24.75" thickBot="1">
      <c r="A240" s="1841" t="s">
        <v>1412</v>
      </c>
      <c r="B240" s="1845" t="s">
        <v>2167</v>
      </c>
      <c r="C240" s="1855"/>
      <c r="D240" s="1855"/>
      <c r="E240" s="1855"/>
      <c r="F240" s="1847">
        <v>0.05</v>
      </c>
    </row>
    <row r="241" spans="1:6" ht="24.75" thickBot="1">
      <c r="A241" s="1841" t="s">
        <v>1412</v>
      </c>
      <c r="B241" s="1845" t="s">
        <v>2168</v>
      </c>
      <c r="C241" s="1855"/>
      <c r="D241" s="1855"/>
      <c r="E241" s="1855"/>
      <c r="F241" s="1847">
        <v>0.05</v>
      </c>
    </row>
    <row r="242" spans="1:6" ht="24.75" thickBot="1">
      <c r="A242" s="1841" t="s">
        <v>1412</v>
      </c>
      <c r="B242" s="1845" t="s">
        <v>2169</v>
      </c>
      <c r="C242" s="1855"/>
      <c r="D242" s="1855"/>
      <c r="E242" s="1855"/>
      <c r="F242" s="1847">
        <v>0.05</v>
      </c>
    </row>
    <row r="243" spans="1:6" ht="24.75" thickBot="1">
      <c r="A243" s="1841" t="s">
        <v>1412</v>
      </c>
      <c r="B243" s="1845" t="s">
        <v>2170</v>
      </c>
      <c r="C243" s="1855"/>
      <c r="D243" s="1855"/>
      <c r="E243" s="1855"/>
      <c r="F243" s="1847">
        <v>0.05</v>
      </c>
    </row>
    <row r="244" spans="1:6" ht="24.75" thickBot="1">
      <c r="A244" s="1849" t="s">
        <v>1412</v>
      </c>
      <c r="B244" s="1856" t="s">
        <v>2171</v>
      </c>
      <c r="C244" s="1852"/>
      <c r="D244" s="1852"/>
      <c r="E244" s="1852"/>
      <c r="F244" s="1857">
        <v>0.05</v>
      </c>
    </row>
    <row r="245" spans="1:6" ht="14.25" thickBot="1">
      <c r="A245" s="1841" t="s">
        <v>1414</v>
      </c>
      <c r="B245" s="1842" t="s">
        <v>2172</v>
      </c>
      <c r="C245" s="1843">
        <v>0.15</v>
      </c>
      <c r="D245" s="1843">
        <v>0.15</v>
      </c>
      <c r="E245" s="1843">
        <v>0.15</v>
      </c>
      <c r="F245" s="1844">
        <v>0.14299999999999999</v>
      </c>
    </row>
    <row r="246" spans="1:6" ht="14.25" thickBot="1">
      <c r="A246" s="1841" t="s">
        <v>1414</v>
      </c>
      <c r="B246" s="1845" t="s">
        <v>1077</v>
      </c>
      <c r="C246" s="1846">
        <v>0.15</v>
      </c>
      <c r="D246" s="1846">
        <v>0.15</v>
      </c>
      <c r="E246" s="1846">
        <v>0.15</v>
      </c>
      <c r="F246" s="1847">
        <v>0.114</v>
      </c>
    </row>
    <row r="247" spans="1:6" ht="14.25" thickBot="1">
      <c r="A247" s="1841" t="s">
        <v>1414</v>
      </c>
      <c r="B247" s="1845" t="s">
        <v>2173</v>
      </c>
      <c r="C247" s="1846">
        <v>0.15</v>
      </c>
      <c r="D247" s="1846">
        <v>0.15</v>
      </c>
      <c r="E247" s="1846">
        <v>0.15</v>
      </c>
      <c r="F247" s="1847">
        <v>0.15</v>
      </c>
    </row>
    <row r="248" spans="1:6" ht="14.25" thickBot="1">
      <c r="A248" s="1841" t="s">
        <v>1414</v>
      </c>
      <c r="B248" s="1845" t="s">
        <v>2174</v>
      </c>
      <c r="C248" s="1846">
        <v>0.15</v>
      </c>
      <c r="D248" s="1846">
        <v>0.15</v>
      </c>
      <c r="E248" s="1846">
        <v>0.15</v>
      </c>
      <c r="F248" s="1847">
        <v>0.14000000000000001</v>
      </c>
    </row>
    <row r="249" spans="1:6" ht="14.25" thickBot="1">
      <c r="A249" s="1841" t="s">
        <v>1414</v>
      </c>
      <c r="B249" s="1845" t="s">
        <v>2175</v>
      </c>
      <c r="C249" s="1846">
        <v>0.15</v>
      </c>
      <c r="D249" s="1846">
        <v>0.14899999999999999</v>
      </c>
      <c r="E249" s="1846">
        <v>0.15</v>
      </c>
      <c r="F249" s="1847">
        <v>0.1</v>
      </c>
    </row>
    <row r="250" spans="1:6" ht="14.25" thickBot="1">
      <c r="A250" s="1841" t="s">
        <v>1414</v>
      </c>
      <c r="B250" s="1845" t="s">
        <v>2176</v>
      </c>
      <c r="C250" s="1846">
        <v>0.15</v>
      </c>
      <c r="D250" s="1846">
        <v>0.15</v>
      </c>
      <c r="E250" s="1846">
        <v>0.15</v>
      </c>
      <c r="F250" s="1847">
        <v>0.14399999999999999</v>
      </c>
    </row>
    <row r="251" spans="1:6" ht="14.25" thickBot="1">
      <c r="A251" s="1841" t="s">
        <v>1414</v>
      </c>
      <c r="B251" s="1845" t="s">
        <v>1140</v>
      </c>
      <c r="C251" s="1846">
        <v>0.15</v>
      </c>
      <c r="D251" s="1846">
        <v>0.15</v>
      </c>
      <c r="E251" s="1846">
        <v>0.15</v>
      </c>
      <c r="F251" s="1847">
        <v>0.14299999999999999</v>
      </c>
    </row>
    <row r="252" spans="1:6" ht="14.25" thickBot="1">
      <c r="A252" s="1841" t="s">
        <v>1414</v>
      </c>
      <c r="B252" s="1845" t="s">
        <v>1151</v>
      </c>
      <c r="C252" s="1846">
        <v>0.15</v>
      </c>
      <c r="D252" s="1846">
        <v>0.15</v>
      </c>
      <c r="E252" s="1846">
        <v>0.15</v>
      </c>
      <c r="F252" s="1847">
        <v>0.1</v>
      </c>
    </row>
    <row r="253" spans="1:6" ht="14.25" thickBot="1">
      <c r="A253" s="1841" t="s">
        <v>1414</v>
      </c>
      <c r="B253" s="1845" t="s">
        <v>1163</v>
      </c>
      <c r="C253" s="1846">
        <v>0.15</v>
      </c>
      <c r="D253" s="1846">
        <v>0.15</v>
      </c>
      <c r="E253" s="1846">
        <v>0.15</v>
      </c>
      <c r="F253" s="1847">
        <v>0.1</v>
      </c>
    </row>
    <row r="254" spans="1:6" ht="14.25" thickBot="1">
      <c r="A254" s="1841" t="s">
        <v>1414</v>
      </c>
      <c r="B254" s="1845" t="s">
        <v>1173</v>
      </c>
      <c r="C254" s="1855"/>
      <c r="D254" s="1855"/>
      <c r="E254" s="1855"/>
      <c r="F254" s="1847">
        <v>0.15</v>
      </c>
    </row>
    <row r="255" spans="1:6" ht="14.25" thickBot="1">
      <c r="A255" s="1841" t="s">
        <v>1414</v>
      </c>
      <c r="B255" s="1845" t="s">
        <v>1183</v>
      </c>
      <c r="C255" s="1855"/>
      <c r="D255" s="1855"/>
      <c r="E255" s="1855"/>
      <c r="F255" s="1847">
        <v>0.14299999999999999</v>
      </c>
    </row>
    <row r="256" spans="1:6" ht="14.25" thickBot="1">
      <c r="A256" s="1841" t="s">
        <v>1414</v>
      </c>
      <c r="B256" s="1845" t="s">
        <v>2177</v>
      </c>
      <c r="C256" s="1846">
        <v>0.14599999999999999</v>
      </c>
      <c r="D256" s="1846">
        <v>0.14699999999999999</v>
      </c>
      <c r="E256" s="1846">
        <v>0.15</v>
      </c>
      <c r="F256" s="1847">
        <v>0.13200000000000001</v>
      </c>
    </row>
    <row r="257" spans="1:6" ht="14.25" thickBot="1">
      <c r="A257" s="1841" t="s">
        <v>1414</v>
      </c>
      <c r="B257" s="1845" t="s">
        <v>1203</v>
      </c>
      <c r="C257" s="1846">
        <v>0.15</v>
      </c>
      <c r="D257" s="1846">
        <v>0.15</v>
      </c>
      <c r="E257" s="1846">
        <v>0.15</v>
      </c>
      <c r="F257" s="1847">
        <v>0.13900000000000001</v>
      </c>
    </row>
    <row r="258" spans="1:6" ht="14.25" thickBot="1">
      <c r="A258" s="1841" t="s">
        <v>1414</v>
      </c>
      <c r="B258" s="1845" t="s">
        <v>1213</v>
      </c>
      <c r="C258" s="1846">
        <v>0.15</v>
      </c>
      <c r="D258" s="1846">
        <v>0.15</v>
      </c>
      <c r="E258" s="1846">
        <v>0.15</v>
      </c>
      <c r="F258" s="1847">
        <v>0.13</v>
      </c>
    </row>
    <row r="259" spans="1:6" ht="14.25" thickBot="1">
      <c r="A259" s="1841" t="s">
        <v>1414</v>
      </c>
      <c r="B259" s="1845" t="s">
        <v>2178</v>
      </c>
      <c r="C259" s="1846">
        <v>0.14799999999999999</v>
      </c>
      <c r="D259" s="1846">
        <v>0.14899999999999999</v>
      </c>
      <c r="E259" s="1846">
        <v>0.15</v>
      </c>
      <c r="F259" s="1847">
        <v>0.13700000000000001</v>
      </c>
    </row>
    <row r="260" spans="1:6" ht="14.25" thickBot="1">
      <c r="A260" s="1841" t="s">
        <v>1414</v>
      </c>
      <c r="B260" s="1845" t="s">
        <v>1233</v>
      </c>
      <c r="C260" s="1846">
        <v>0.15</v>
      </c>
      <c r="D260" s="1846">
        <v>0.15</v>
      </c>
      <c r="E260" s="1846">
        <v>0.15</v>
      </c>
      <c r="F260" s="1847">
        <v>0.14199999999999999</v>
      </c>
    </row>
    <row r="261" spans="1:6" ht="14.25" thickBot="1">
      <c r="A261" s="1841" t="s">
        <v>1414</v>
      </c>
      <c r="B261" s="1845" t="s">
        <v>1243</v>
      </c>
      <c r="C261" s="1846">
        <v>0.15</v>
      </c>
      <c r="D261" s="1846">
        <v>0.15</v>
      </c>
      <c r="E261" s="1846">
        <v>0.14899999999999999</v>
      </c>
      <c r="F261" s="1847">
        <v>0.14799999999999999</v>
      </c>
    </row>
    <row r="262" spans="1:6" ht="14.25" thickBot="1">
      <c r="A262" s="1841" t="s">
        <v>1414</v>
      </c>
      <c r="B262" s="1845" t="s">
        <v>1253</v>
      </c>
      <c r="C262" s="1846">
        <v>0.15</v>
      </c>
      <c r="D262" s="1846">
        <v>0.15</v>
      </c>
      <c r="E262" s="1846">
        <v>0.15</v>
      </c>
      <c r="F262" s="1854"/>
    </row>
    <row r="263" spans="1:6" ht="14.25" thickBot="1">
      <c r="A263" s="1841" t="s">
        <v>1414</v>
      </c>
      <c r="B263" s="1845" t="s">
        <v>2179</v>
      </c>
      <c r="C263" s="1846">
        <v>0.14899999999999999</v>
      </c>
      <c r="D263" s="1846">
        <v>0.14899999999999999</v>
      </c>
      <c r="E263" s="1846">
        <v>0.15</v>
      </c>
      <c r="F263" s="1847">
        <v>0.13</v>
      </c>
    </row>
    <row r="264" spans="1:6" ht="14.25" thickBot="1">
      <c r="A264" s="1841" t="s">
        <v>1414</v>
      </c>
      <c r="B264" s="1845" t="s">
        <v>1272</v>
      </c>
      <c r="C264" s="1846">
        <v>0.14799999999999999</v>
      </c>
      <c r="D264" s="1846">
        <v>0.14699999999999999</v>
      </c>
      <c r="E264" s="1846">
        <v>0.15</v>
      </c>
      <c r="F264" s="1847">
        <v>7.8E-2</v>
      </c>
    </row>
    <row r="265" spans="1:6" ht="14.25" thickBot="1">
      <c r="A265" s="1841" t="s">
        <v>1414</v>
      </c>
      <c r="B265" s="1845" t="s">
        <v>1281</v>
      </c>
      <c r="C265" s="1846">
        <v>0.15</v>
      </c>
      <c r="D265" s="1846">
        <v>0.15</v>
      </c>
      <c r="E265" s="1846">
        <v>0.15</v>
      </c>
      <c r="F265" s="1847">
        <v>7.3999999999999996E-2</v>
      </c>
    </row>
    <row r="266" spans="1:6" ht="14.25" thickBot="1">
      <c r="A266" s="1841" t="s">
        <v>1414</v>
      </c>
      <c r="B266" s="1845" t="s">
        <v>1289</v>
      </c>
      <c r="C266" s="1846">
        <v>0.14699999999999999</v>
      </c>
      <c r="D266" s="1846">
        <v>0.14699999999999999</v>
      </c>
      <c r="E266" s="1846">
        <v>0.15</v>
      </c>
      <c r="F266" s="1847">
        <v>0.14299999999999999</v>
      </c>
    </row>
    <row r="267" spans="1:6" ht="14.25" thickBot="1">
      <c r="A267" s="1841" t="s">
        <v>1414</v>
      </c>
      <c r="B267" s="1845" t="s">
        <v>1296</v>
      </c>
      <c r="C267" s="1846">
        <v>0.14199999999999999</v>
      </c>
      <c r="D267" s="1846">
        <v>0.14299999999999999</v>
      </c>
      <c r="E267" s="1846">
        <v>0.15</v>
      </c>
      <c r="F267" s="1854"/>
    </row>
    <row r="268" spans="1:6" ht="14.25" thickBot="1">
      <c r="A268" s="1841" t="s">
        <v>1414</v>
      </c>
      <c r="B268" s="1845" t="s">
        <v>2180</v>
      </c>
      <c r="C268" s="1846">
        <v>0.15</v>
      </c>
      <c r="D268" s="1846">
        <v>0.15</v>
      </c>
      <c r="E268" s="1846">
        <v>0.15</v>
      </c>
      <c r="F268" s="1847">
        <v>0.13</v>
      </c>
    </row>
    <row r="269" spans="1:6" ht="14.25" thickBot="1">
      <c r="A269" s="1841" t="s">
        <v>1414</v>
      </c>
      <c r="B269" s="1845" t="s">
        <v>1310</v>
      </c>
      <c r="C269" s="1846">
        <v>0.15</v>
      </c>
      <c r="D269" s="1846">
        <v>0.15</v>
      </c>
      <c r="E269" s="1846">
        <v>0.15</v>
      </c>
      <c r="F269" s="1847">
        <v>0.14299999999999999</v>
      </c>
    </row>
    <row r="270" spans="1:6" ht="14.25" thickBot="1">
      <c r="A270" s="1841" t="s">
        <v>1414</v>
      </c>
      <c r="B270" s="1845" t="s">
        <v>1317</v>
      </c>
      <c r="C270" s="1846">
        <v>0.14499999999999999</v>
      </c>
      <c r="D270" s="1846">
        <v>0.14499999999999999</v>
      </c>
      <c r="E270" s="1846">
        <v>0.15</v>
      </c>
      <c r="F270" s="1847">
        <v>0.14699999999999999</v>
      </c>
    </row>
    <row r="271" spans="1:6" ht="14.25" thickBot="1">
      <c r="A271" s="1841" t="s">
        <v>1414</v>
      </c>
      <c r="B271" s="1845" t="s">
        <v>1324</v>
      </c>
      <c r="C271" s="1846">
        <v>0.15</v>
      </c>
      <c r="D271" s="1846">
        <v>0.15</v>
      </c>
      <c r="E271" s="1846">
        <v>0.15</v>
      </c>
      <c r="F271" s="1847">
        <v>0.13800000000000001</v>
      </c>
    </row>
    <row r="272" spans="1:6" ht="14.25" thickBot="1">
      <c r="A272" s="1841" t="s">
        <v>1414</v>
      </c>
      <c r="B272" s="1845" t="s">
        <v>1331</v>
      </c>
      <c r="C272" s="1855"/>
      <c r="D272" s="1855"/>
      <c r="E272" s="1855"/>
      <c r="F272" s="1847">
        <v>0.14000000000000001</v>
      </c>
    </row>
    <row r="273" spans="1:6" ht="14.25" thickBot="1">
      <c r="A273" s="1841" t="s">
        <v>1414</v>
      </c>
      <c r="B273" s="1845" t="s">
        <v>2181</v>
      </c>
      <c r="C273" s="1846">
        <v>0.14199999999999999</v>
      </c>
      <c r="D273" s="1846">
        <v>0.14299999999999999</v>
      </c>
      <c r="E273" s="1846">
        <v>0.15</v>
      </c>
      <c r="F273" s="1847">
        <v>0.1</v>
      </c>
    </row>
    <row r="274" spans="1:6" ht="14.25" thickBot="1">
      <c r="A274" s="1841" t="s">
        <v>1414</v>
      </c>
      <c r="B274" s="1845" t="s">
        <v>2182</v>
      </c>
      <c r="C274" s="1846">
        <v>0.14799999999999999</v>
      </c>
      <c r="D274" s="1846">
        <v>0.14799999999999999</v>
      </c>
      <c r="E274" s="1846">
        <v>0.15</v>
      </c>
      <c r="F274" s="1847">
        <v>6.7000000000000004E-2</v>
      </c>
    </row>
    <row r="275" spans="1:6" ht="14.25" thickBot="1">
      <c r="A275" s="1841" t="s">
        <v>1414</v>
      </c>
      <c r="B275" s="1845" t="s">
        <v>2183</v>
      </c>
      <c r="C275" s="1846">
        <v>0.15</v>
      </c>
      <c r="D275" s="1846">
        <v>0.15</v>
      </c>
      <c r="E275" s="1846">
        <v>0.15</v>
      </c>
      <c r="F275" s="1847">
        <v>0.15</v>
      </c>
    </row>
    <row r="276" spans="1:6" ht="14.25" thickBot="1">
      <c r="A276" s="1841" t="s">
        <v>1414</v>
      </c>
      <c r="B276" s="1845" t="s">
        <v>2184</v>
      </c>
      <c r="C276" s="1846">
        <v>0.14499999999999999</v>
      </c>
      <c r="D276" s="1846">
        <v>0.14299999999999999</v>
      </c>
      <c r="E276" s="1846">
        <v>0.15</v>
      </c>
      <c r="F276" s="1847">
        <v>5.8999999999999997E-2</v>
      </c>
    </row>
    <row r="277" spans="1:6" ht="14.25" thickBot="1">
      <c r="A277" s="1841" t="s">
        <v>1414</v>
      </c>
      <c r="B277" s="1845" t="s">
        <v>2185</v>
      </c>
      <c r="C277" s="1846">
        <v>0.15</v>
      </c>
      <c r="D277" s="1846">
        <v>0.15</v>
      </c>
      <c r="E277" s="1846">
        <v>0.15</v>
      </c>
      <c r="F277" s="1847">
        <v>0.121</v>
      </c>
    </row>
    <row r="278" spans="1:6" ht="14.25" thickBot="1">
      <c r="A278" s="1841" t="s">
        <v>1414</v>
      </c>
      <c r="B278" s="1845" t="s">
        <v>2186</v>
      </c>
      <c r="C278" s="1846">
        <v>0.15</v>
      </c>
      <c r="D278" s="1846">
        <v>0.15</v>
      </c>
      <c r="E278" s="1846">
        <v>0.15</v>
      </c>
      <c r="F278" s="1847">
        <v>0.13800000000000001</v>
      </c>
    </row>
    <row r="279" spans="1:6" ht="24.75" thickBot="1">
      <c r="A279" s="1841" t="s">
        <v>1414</v>
      </c>
      <c r="B279" s="1845" t="s">
        <v>2187</v>
      </c>
      <c r="C279" s="1855"/>
      <c r="D279" s="1855"/>
      <c r="E279" s="1855"/>
      <c r="F279" s="1847">
        <v>0.05</v>
      </c>
    </row>
    <row r="280" spans="1:6" ht="24.75" thickBot="1">
      <c r="A280" s="1841" t="s">
        <v>1414</v>
      </c>
      <c r="B280" s="1845" t="s">
        <v>2188</v>
      </c>
      <c r="C280" s="1855"/>
      <c r="D280" s="1855"/>
      <c r="E280" s="1855"/>
      <c r="F280" s="1847">
        <v>0.05</v>
      </c>
    </row>
    <row r="281" spans="1:6" ht="24.75" thickBot="1">
      <c r="A281" s="1841" t="s">
        <v>1414</v>
      </c>
      <c r="B281" s="1845" t="s">
        <v>2189</v>
      </c>
      <c r="C281" s="1855"/>
      <c r="D281" s="1855"/>
      <c r="E281" s="1855"/>
      <c r="F281" s="1847">
        <v>0.05</v>
      </c>
    </row>
    <row r="282" spans="1:6" ht="24.75" thickBot="1">
      <c r="A282" s="1841" t="s">
        <v>1414</v>
      </c>
      <c r="B282" s="1845" t="s">
        <v>2190</v>
      </c>
      <c r="C282" s="1855"/>
      <c r="D282" s="1855"/>
      <c r="E282" s="1855"/>
      <c r="F282" s="1847">
        <v>0.05</v>
      </c>
    </row>
    <row r="283" spans="1:6" ht="24.75" thickBot="1">
      <c r="A283" s="1841" t="s">
        <v>1414</v>
      </c>
      <c r="B283" s="1845" t="s">
        <v>2191</v>
      </c>
      <c r="C283" s="1855"/>
      <c r="D283" s="1855"/>
      <c r="E283" s="1855"/>
      <c r="F283" s="1847">
        <v>0.05</v>
      </c>
    </row>
    <row r="284" spans="1:6" ht="24.75" thickBot="1">
      <c r="A284" s="1841" t="s">
        <v>1414</v>
      </c>
      <c r="B284" s="1845" t="s">
        <v>2192</v>
      </c>
      <c r="C284" s="1855"/>
      <c r="D284" s="1855"/>
      <c r="E284" s="1855"/>
      <c r="F284" s="1847">
        <v>0.05</v>
      </c>
    </row>
    <row r="285" spans="1:6" ht="24.75" thickBot="1">
      <c r="A285" s="1841" t="s">
        <v>1414</v>
      </c>
      <c r="B285" s="1845" t="s">
        <v>2193</v>
      </c>
      <c r="C285" s="1855"/>
      <c r="D285" s="1855"/>
      <c r="E285" s="1855"/>
      <c r="F285" s="1847">
        <v>0.05</v>
      </c>
    </row>
    <row r="286" spans="1:6" ht="24.75" thickBot="1">
      <c r="A286" s="1841" t="s">
        <v>1414</v>
      </c>
      <c r="B286" s="1845" t="s">
        <v>2194</v>
      </c>
      <c r="C286" s="1855"/>
      <c r="D286" s="1855"/>
      <c r="E286" s="1855"/>
      <c r="F286" s="1847">
        <v>0.05</v>
      </c>
    </row>
    <row r="287" spans="1:6" ht="24.75" thickBot="1">
      <c r="A287" s="1841" t="s">
        <v>1414</v>
      </c>
      <c r="B287" s="1845" t="s">
        <v>2195</v>
      </c>
      <c r="C287" s="1855"/>
      <c r="D287" s="1855"/>
      <c r="E287" s="1855"/>
      <c r="F287" s="1847">
        <v>0.05</v>
      </c>
    </row>
    <row r="288" spans="1:6" ht="24.75" thickBot="1">
      <c r="A288" s="1841" t="s">
        <v>1414</v>
      </c>
      <c r="B288" s="1845" t="s">
        <v>2196</v>
      </c>
      <c r="C288" s="1855"/>
      <c r="D288" s="1855"/>
      <c r="E288" s="1855"/>
      <c r="F288" s="1847">
        <v>0.05</v>
      </c>
    </row>
    <row r="289" spans="1:6" ht="24.75" thickBot="1">
      <c r="A289" s="1849" t="s">
        <v>1414</v>
      </c>
      <c r="B289" s="1856" t="s">
        <v>2197</v>
      </c>
      <c r="C289" s="1852"/>
      <c r="D289" s="1852"/>
      <c r="E289" s="1852"/>
      <c r="F289" s="1857">
        <v>0.05</v>
      </c>
    </row>
    <row r="290" spans="1:6" ht="14.25" thickBot="1">
      <c r="A290" s="1841" t="s">
        <v>1418</v>
      </c>
      <c r="B290" s="1842" t="s">
        <v>2198</v>
      </c>
      <c r="C290" s="1843">
        <v>0.15</v>
      </c>
      <c r="D290" s="1843">
        <v>0.15</v>
      </c>
      <c r="E290" s="1843">
        <v>0.15</v>
      </c>
      <c r="F290" s="1865"/>
    </row>
    <row r="291" spans="1:6" ht="14.25" thickBot="1">
      <c r="A291" s="1841" t="s">
        <v>1418</v>
      </c>
      <c r="B291" s="1845" t="s">
        <v>1078</v>
      </c>
      <c r="C291" s="1846">
        <v>0.15</v>
      </c>
      <c r="D291" s="1846">
        <v>0.15</v>
      </c>
      <c r="E291" s="1846">
        <v>0.15</v>
      </c>
      <c r="F291" s="1854"/>
    </row>
    <row r="292" spans="1:6" ht="14.25" thickBot="1">
      <c r="A292" s="1841" t="s">
        <v>1418</v>
      </c>
      <c r="B292" s="1845" t="s">
        <v>2199</v>
      </c>
      <c r="C292" s="1846">
        <v>0.15</v>
      </c>
      <c r="D292" s="1846">
        <v>0.15</v>
      </c>
      <c r="E292" s="1846">
        <v>0.15</v>
      </c>
      <c r="F292" s="1847">
        <v>0.14699999999999999</v>
      </c>
    </row>
    <row r="293" spans="1:6" ht="14.25" thickBot="1">
      <c r="A293" s="1841" t="s">
        <v>1418</v>
      </c>
      <c r="B293" s="1845" t="s">
        <v>2200</v>
      </c>
      <c r="C293" s="1855"/>
      <c r="D293" s="1855"/>
      <c r="E293" s="1855"/>
      <c r="F293" s="1847">
        <v>0.1</v>
      </c>
    </row>
    <row r="294" spans="1:6" ht="14.25" thickBot="1">
      <c r="A294" s="1841" t="s">
        <v>1418</v>
      </c>
      <c r="B294" s="1845" t="s">
        <v>2201</v>
      </c>
      <c r="C294" s="1846">
        <v>0.15</v>
      </c>
      <c r="D294" s="1846">
        <v>0.15</v>
      </c>
      <c r="E294" s="1846">
        <v>0.15</v>
      </c>
      <c r="F294" s="1847">
        <v>0.15</v>
      </c>
    </row>
    <row r="295" spans="1:6" ht="14.25" thickBot="1">
      <c r="A295" s="1841" t="s">
        <v>1418</v>
      </c>
      <c r="B295" s="1845" t="s">
        <v>1119</v>
      </c>
      <c r="C295" s="1846">
        <v>0.15</v>
      </c>
      <c r="D295" s="1846">
        <v>0.15</v>
      </c>
      <c r="E295" s="1846">
        <v>0.15</v>
      </c>
      <c r="F295" s="1847">
        <v>0.15</v>
      </c>
    </row>
    <row r="296" spans="1:6" ht="14.25" thickBot="1">
      <c r="A296" s="1841" t="s">
        <v>1418</v>
      </c>
      <c r="B296" s="1845" t="s">
        <v>2202</v>
      </c>
      <c r="C296" s="1846">
        <v>0.15</v>
      </c>
      <c r="D296" s="1846">
        <v>0.15</v>
      </c>
      <c r="E296" s="1846">
        <v>0.15</v>
      </c>
      <c r="F296" s="1847">
        <v>0.15</v>
      </c>
    </row>
    <row r="297" spans="1:6" ht="14.25" thickBot="1">
      <c r="A297" s="1841" t="s">
        <v>1418</v>
      </c>
      <c r="B297" s="1845" t="s">
        <v>2203</v>
      </c>
      <c r="C297" s="1846">
        <v>0.14799999999999999</v>
      </c>
      <c r="D297" s="1846">
        <v>0.14899999999999999</v>
      </c>
      <c r="E297" s="1846">
        <v>0.15</v>
      </c>
      <c r="F297" s="1847">
        <v>0.13700000000000001</v>
      </c>
    </row>
    <row r="298" spans="1:6" ht="14.25" thickBot="1">
      <c r="A298" s="1841" t="s">
        <v>1418</v>
      </c>
      <c r="B298" s="1845" t="s">
        <v>1152</v>
      </c>
      <c r="C298" s="1846">
        <v>0.13400000000000001</v>
      </c>
      <c r="D298" s="1846">
        <v>0.13400000000000001</v>
      </c>
      <c r="E298" s="1846">
        <v>0.14499999999999999</v>
      </c>
      <c r="F298" s="1847">
        <v>0.14799999999999999</v>
      </c>
    </row>
    <row r="299" spans="1:6" ht="14.25" thickBot="1">
      <c r="A299" s="1841" t="s">
        <v>1418</v>
      </c>
      <c r="B299" s="1845" t="s">
        <v>1164</v>
      </c>
      <c r="C299" s="1846">
        <v>0.15</v>
      </c>
      <c r="D299" s="1846">
        <v>0.15</v>
      </c>
      <c r="E299" s="1846">
        <v>0.15</v>
      </c>
      <c r="F299" s="1854"/>
    </row>
    <row r="300" spans="1:6" ht="14.25" thickBot="1">
      <c r="A300" s="1841" t="s">
        <v>1418</v>
      </c>
      <c r="B300" s="1845" t="s">
        <v>2204</v>
      </c>
      <c r="C300" s="1846">
        <v>0.15</v>
      </c>
      <c r="D300" s="1846">
        <v>0.15</v>
      </c>
      <c r="E300" s="1846">
        <v>0.15</v>
      </c>
      <c r="F300" s="1847">
        <v>0.15</v>
      </c>
    </row>
    <row r="301" spans="1:6" ht="14.25" thickBot="1">
      <c r="A301" s="1841" t="s">
        <v>1418</v>
      </c>
      <c r="B301" s="1845" t="s">
        <v>1184</v>
      </c>
      <c r="C301" s="1846">
        <v>0.15</v>
      </c>
      <c r="D301" s="1846">
        <v>0.15</v>
      </c>
      <c r="E301" s="1846">
        <v>0.15</v>
      </c>
      <c r="F301" s="1854"/>
    </row>
    <row r="302" spans="1:6" ht="14.25" thickBot="1">
      <c r="A302" s="1841" t="s">
        <v>1418</v>
      </c>
      <c r="B302" s="1845" t="s">
        <v>2205</v>
      </c>
      <c r="C302" s="1846">
        <v>0.15</v>
      </c>
      <c r="D302" s="1846">
        <v>0.15</v>
      </c>
      <c r="E302" s="1846">
        <v>0.15</v>
      </c>
      <c r="F302" s="1847">
        <v>0.15</v>
      </c>
    </row>
    <row r="303" spans="1:6" ht="14.25" thickBot="1">
      <c r="A303" s="1841" t="s">
        <v>1418</v>
      </c>
      <c r="B303" s="1845" t="s">
        <v>1204</v>
      </c>
      <c r="C303" s="1846">
        <v>0.15</v>
      </c>
      <c r="D303" s="1846">
        <v>0.15</v>
      </c>
      <c r="E303" s="1846">
        <v>0.15</v>
      </c>
      <c r="F303" s="1847">
        <v>0.15</v>
      </c>
    </row>
    <row r="304" spans="1:6" ht="14.25" thickBot="1">
      <c r="A304" s="1841" t="s">
        <v>1418</v>
      </c>
      <c r="B304" s="1845" t="s">
        <v>1214</v>
      </c>
      <c r="C304" s="1846">
        <v>0.15</v>
      </c>
      <c r="D304" s="1846">
        <v>0.15</v>
      </c>
      <c r="E304" s="1846">
        <v>0.15</v>
      </c>
      <c r="F304" s="1854"/>
    </row>
    <row r="305" spans="1:6" ht="14.25" thickBot="1">
      <c r="A305" s="1841" t="s">
        <v>1418</v>
      </c>
      <c r="B305" s="1845" t="s">
        <v>2206</v>
      </c>
      <c r="C305" s="1846">
        <v>0.15</v>
      </c>
      <c r="D305" s="1846">
        <v>0.15</v>
      </c>
      <c r="E305" s="1846">
        <v>0.15</v>
      </c>
      <c r="F305" s="1847">
        <v>0.14000000000000001</v>
      </c>
    </row>
    <row r="306" spans="1:6" ht="14.25" thickBot="1">
      <c r="A306" s="1841" t="s">
        <v>1418</v>
      </c>
      <c r="B306" s="1845" t="s">
        <v>1234</v>
      </c>
      <c r="C306" s="1846">
        <v>0.15</v>
      </c>
      <c r="D306" s="1846">
        <v>0.15</v>
      </c>
      <c r="E306" s="1846">
        <v>0.15</v>
      </c>
      <c r="F306" s="1854"/>
    </row>
    <row r="307" spans="1:6" ht="14.25" thickBot="1">
      <c r="A307" s="1841" t="s">
        <v>1418</v>
      </c>
      <c r="B307" s="1845" t="s">
        <v>2207</v>
      </c>
      <c r="C307" s="1846">
        <v>0.15</v>
      </c>
      <c r="D307" s="1846">
        <v>0.15</v>
      </c>
      <c r="E307" s="1846">
        <v>0.15</v>
      </c>
      <c r="F307" s="1847">
        <v>0.14299999999999999</v>
      </c>
    </row>
    <row r="308" spans="1:6" ht="14.25" thickBot="1">
      <c r="A308" s="1841" t="s">
        <v>1418</v>
      </c>
      <c r="B308" s="1845" t="s">
        <v>1254</v>
      </c>
      <c r="C308" s="1846">
        <v>0.15</v>
      </c>
      <c r="D308" s="1846">
        <v>0.15</v>
      </c>
      <c r="E308" s="1846">
        <v>0.15</v>
      </c>
      <c r="F308" s="1847">
        <v>0.15</v>
      </c>
    </row>
    <row r="309" spans="1:6" ht="14.25" thickBot="1">
      <c r="A309" s="1841" t="s">
        <v>1418</v>
      </c>
      <c r="B309" s="1845" t="s">
        <v>1264</v>
      </c>
      <c r="C309" s="1846">
        <v>0.15</v>
      </c>
      <c r="D309" s="1846">
        <v>0.15</v>
      </c>
      <c r="E309" s="1846">
        <v>0.15</v>
      </c>
      <c r="F309" s="1854"/>
    </row>
    <row r="310" spans="1:6" ht="14.25" thickBot="1">
      <c r="A310" s="1841" t="s">
        <v>1418</v>
      </c>
      <c r="B310" s="1845" t="s">
        <v>2208</v>
      </c>
      <c r="C310" s="1846">
        <v>0.15</v>
      </c>
      <c r="D310" s="1846">
        <v>0.15</v>
      </c>
      <c r="E310" s="1846">
        <v>0.15</v>
      </c>
      <c r="F310" s="1847">
        <v>0.13700000000000001</v>
      </c>
    </row>
    <row r="311" spans="1:6" ht="14.25" thickBot="1">
      <c r="A311" s="1841" t="s">
        <v>1418</v>
      </c>
      <c r="B311" s="1845" t="s">
        <v>2209</v>
      </c>
      <c r="C311" s="1846">
        <v>0.15</v>
      </c>
      <c r="D311" s="1846">
        <v>0.15</v>
      </c>
      <c r="E311" s="1846">
        <v>0.15</v>
      </c>
      <c r="F311" s="1847">
        <v>0.15</v>
      </c>
    </row>
    <row r="312" spans="1:6" ht="14.25" thickBot="1">
      <c r="A312" s="1841" t="s">
        <v>1418</v>
      </c>
      <c r="B312" s="1845" t="s">
        <v>1290</v>
      </c>
      <c r="C312" s="1846">
        <v>0.15</v>
      </c>
      <c r="D312" s="1846">
        <v>0.15</v>
      </c>
      <c r="E312" s="1846">
        <v>0.15</v>
      </c>
      <c r="F312" s="1847">
        <v>0.1</v>
      </c>
    </row>
    <row r="313" spans="1:6" ht="14.25" thickBot="1">
      <c r="A313" s="1841" t="s">
        <v>1418</v>
      </c>
      <c r="B313" s="1845" t="s">
        <v>2210</v>
      </c>
      <c r="C313" s="1846">
        <v>0.15</v>
      </c>
      <c r="D313" s="1846">
        <v>0.15</v>
      </c>
      <c r="E313" s="1846">
        <v>0.15</v>
      </c>
      <c r="F313" s="1847">
        <v>0.15</v>
      </c>
    </row>
    <row r="314" spans="1:6" ht="24.75" thickBot="1">
      <c r="A314" s="1841" t="s">
        <v>1418</v>
      </c>
      <c r="B314" s="1845" t="s">
        <v>2211</v>
      </c>
      <c r="C314" s="1855"/>
      <c r="D314" s="1855"/>
      <c r="E314" s="1855"/>
      <c r="F314" s="1847">
        <v>0.05</v>
      </c>
    </row>
    <row r="315" spans="1:6" ht="24.75" thickBot="1">
      <c r="A315" s="1841" t="s">
        <v>1418</v>
      </c>
      <c r="B315" s="1845" t="s">
        <v>2212</v>
      </c>
      <c r="C315" s="1855"/>
      <c r="D315" s="1855"/>
      <c r="E315" s="1855"/>
      <c r="F315" s="1847">
        <v>0.05</v>
      </c>
    </row>
    <row r="316" spans="1:6" ht="24.75" thickBot="1">
      <c r="A316" s="1849" t="s">
        <v>1418</v>
      </c>
      <c r="B316" s="1856" t="s">
        <v>2213</v>
      </c>
      <c r="C316" s="1852"/>
      <c r="D316" s="1852"/>
      <c r="E316" s="1852"/>
      <c r="F316" s="1857">
        <v>0.05</v>
      </c>
    </row>
    <row r="317" spans="1:6" ht="14.25" thickBot="1">
      <c r="A317" s="1841" t="s">
        <v>2214</v>
      </c>
      <c r="B317" s="1842" t="s">
        <v>2215</v>
      </c>
      <c r="C317" s="1843">
        <v>0.15</v>
      </c>
      <c r="D317" s="1843">
        <v>0.15</v>
      </c>
      <c r="E317" s="1843">
        <v>0.15</v>
      </c>
      <c r="F317" s="1844">
        <v>0.15</v>
      </c>
    </row>
    <row r="318" spans="1:6" ht="14.25" thickBot="1">
      <c r="A318" s="1841" t="s">
        <v>2214</v>
      </c>
      <c r="B318" s="1845" t="s">
        <v>2216</v>
      </c>
      <c r="C318" s="1846">
        <v>0.107</v>
      </c>
      <c r="D318" s="1846">
        <v>0.11</v>
      </c>
      <c r="E318" s="1846">
        <v>0.112</v>
      </c>
      <c r="F318" s="1854"/>
    </row>
    <row r="319" spans="1:6" ht="14.25" thickBot="1">
      <c r="A319" s="1841" t="s">
        <v>2214</v>
      </c>
      <c r="B319" s="1845" t="s">
        <v>2217</v>
      </c>
      <c r="C319" s="1846">
        <v>0.15</v>
      </c>
      <c r="D319" s="1846">
        <v>0.15</v>
      </c>
      <c r="E319" s="1846">
        <v>0.15</v>
      </c>
      <c r="F319" s="1847">
        <v>0.15</v>
      </c>
    </row>
    <row r="320" spans="1:6" ht="14.25" thickBot="1">
      <c r="A320" s="1841" t="s">
        <v>2214</v>
      </c>
      <c r="B320" s="1845" t="s">
        <v>1106</v>
      </c>
      <c r="C320" s="1846">
        <v>0.15</v>
      </c>
      <c r="D320" s="1846">
        <v>0.15</v>
      </c>
      <c r="E320" s="1846">
        <v>0.15</v>
      </c>
      <c r="F320" s="1854"/>
    </row>
    <row r="321" spans="1:6" ht="14.25" thickBot="1">
      <c r="A321" s="1841" t="s">
        <v>2214</v>
      </c>
      <c r="B321" s="1845" t="s">
        <v>2218</v>
      </c>
      <c r="C321" s="1846">
        <v>0.15</v>
      </c>
      <c r="D321" s="1846">
        <v>0.15</v>
      </c>
      <c r="E321" s="1846">
        <v>0.15</v>
      </c>
      <c r="F321" s="1854"/>
    </row>
    <row r="322" spans="1:6" ht="14.25" thickBot="1">
      <c r="A322" s="1841" t="s">
        <v>2214</v>
      </c>
      <c r="B322" s="1845" t="s">
        <v>2219</v>
      </c>
      <c r="C322" s="1846">
        <v>0.15</v>
      </c>
      <c r="D322" s="1846">
        <v>0.15</v>
      </c>
      <c r="E322" s="1846">
        <v>0.15</v>
      </c>
      <c r="F322" s="1847">
        <v>0.15</v>
      </c>
    </row>
    <row r="323" spans="1:6" ht="14.25" thickBot="1">
      <c r="A323" s="1841" t="s">
        <v>2214</v>
      </c>
      <c r="B323" s="1845" t="s">
        <v>2220</v>
      </c>
      <c r="C323" s="1846">
        <v>0.15</v>
      </c>
      <c r="D323" s="1846">
        <v>0.15</v>
      </c>
      <c r="E323" s="1846">
        <v>0.15</v>
      </c>
      <c r="F323" s="1854"/>
    </row>
    <row r="324" spans="1:6" ht="14.25" thickBot="1">
      <c r="A324" s="1841" t="s">
        <v>2214</v>
      </c>
      <c r="B324" s="1845" t="s">
        <v>2221</v>
      </c>
      <c r="C324" s="1846">
        <v>0.15</v>
      </c>
      <c r="D324" s="1846">
        <v>0.15</v>
      </c>
      <c r="E324" s="1846">
        <v>0.15</v>
      </c>
      <c r="F324" s="1854"/>
    </row>
    <row r="325" spans="1:6" ht="14.25" thickBot="1">
      <c r="A325" s="1841" t="s">
        <v>2214</v>
      </c>
      <c r="B325" s="1845" t="s">
        <v>2222</v>
      </c>
      <c r="C325" s="1846">
        <v>0.15</v>
      </c>
      <c r="D325" s="1846">
        <v>0.15</v>
      </c>
      <c r="E325" s="1846">
        <v>0.15</v>
      </c>
      <c r="F325" s="1847">
        <v>0.14699999999999999</v>
      </c>
    </row>
    <row r="326" spans="1:6" ht="14.25" thickBot="1">
      <c r="A326" s="1841" t="s">
        <v>2214</v>
      </c>
      <c r="B326" s="1845" t="s">
        <v>1175</v>
      </c>
      <c r="C326" s="1846">
        <v>0.15</v>
      </c>
      <c r="D326" s="1846">
        <v>0.15</v>
      </c>
      <c r="E326" s="1846">
        <v>0.15</v>
      </c>
      <c r="F326" s="1854"/>
    </row>
    <row r="327" spans="1:6" ht="14.25" thickBot="1">
      <c r="A327" s="1841" t="s">
        <v>2214</v>
      </c>
      <c r="B327" s="1845" t="s">
        <v>2223</v>
      </c>
      <c r="C327" s="1846">
        <v>0.15</v>
      </c>
      <c r="D327" s="1846">
        <v>0.15</v>
      </c>
      <c r="E327" s="1846">
        <v>0.15</v>
      </c>
      <c r="F327" s="1847">
        <v>0.15</v>
      </c>
    </row>
    <row r="328" spans="1:6" ht="14.25" thickBot="1">
      <c r="A328" s="1841" t="s">
        <v>2214</v>
      </c>
      <c r="B328" s="1845" t="s">
        <v>1195</v>
      </c>
      <c r="C328" s="1846">
        <v>0.15</v>
      </c>
      <c r="D328" s="1846">
        <v>0.15</v>
      </c>
      <c r="E328" s="1846">
        <v>0.15</v>
      </c>
      <c r="F328" s="1847">
        <v>0.14099999999999999</v>
      </c>
    </row>
    <row r="329" spans="1:6" ht="14.25" thickBot="1">
      <c r="A329" s="1841" t="s">
        <v>2214</v>
      </c>
      <c r="B329" s="1845" t="s">
        <v>1205</v>
      </c>
      <c r="C329" s="1846">
        <v>0.15</v>
      </c>
      <c r="D329" s="1846">
        <v>0.15</v>
      </c>
      <c r="E329" s="1846">
        <v>0.15</v>
      </c>
      <c r="F329" s="1847">
        <v>0.15</v>
      </c>
    </row>
    <row r="330" spans="1:6" ht="14.25" thickBot="1">
      <c r="A330" s="1841" t="s">
        <v>2214</v>
      </c>
      <c r="B330" s="1845" t="s">
        <v>1215</v>
      </c>
      <c r="C330" s="1846">
        <v>0.15</v>
      </c>
      <c r="D330" s="1846">
        <v>0.15</v>
      </c>
      <c r="E330" s="1846">
        <v>0.15</v>
      </c>
      <c r="F330" s="1854"/>
    </row>
    <row r="331" spans="1:6" ht="14.25" thickBot="1">
      <c r="A331" s="1841" t="s">
        <v>2214</v>
      </c>
      <c r="B331" s="1845" t="s">
        <v>2224</v>
      </c>
      <c r="C331" s="1846">
        <v>0.15</v>
      </c>
      <c r="D331" s="1846">
        <v>0.15</v>
      </c>
      <c r="E331" s="1846">
        <v>0.15</v>
      </c>
      <c r="F331" s="1847">
        <v>0.15</v>
      </c>
    </row>
    <row r="332" spans="1:6" ht="14.25" thickBot="1">
      <c r="A332" s="1841" t="s">
        <v>2214</v>
      </c>
      <c r="B332" s="1845" t="s">
        <v>1235</v>
      </c>
      <c r="C332" s="1846">
        <v>0.15</v>
      </c>
      <c r="D332" s="1846">
        <v>0.15</v>
      </c>
      <c r="E332" s="1846">
        <v>0.15</v>
      </c>
      <c r="F332" s="1847">
        <v>0.15</v>
      </c>
    </row>
    <row r="333" spans="1:6" ht="14.25" thickBot="1">
      <c r="A333" s="1841" t="s">
        <v>2214</v>
      </c>
      <c r="B333" s="1845" t="s">
        <v>2225</v>
      </c>
      <c r="C333" s="1846">
        <v>0.15</v>
      </c>
      <c r="D333" s="1846">
        <v>0.15</v>
      </c>
      <c r="E333" s="1846">
        <v>0.15</v>
      </c>
      <c r="F333" s="1847">
        <v>0.14099999999999999</v>
      </c>
    </row>
    <row r="334" spans="1:6" ht="14.25" thickBot="1">
      <c r="A334" s="1841" t="s">
        <v>2214</v>
      </c>
      <c r="B334" s="1845" t="s">
        <v>1255</v>
      </c>
      <c r="C334" s="1846">
        <v>0.15</v>
      </c>
      <c r="D334" s="1846">
        <v>0.15</v>
      </c>
      <c r="E334" s="1846">
        <v>0.15</v>
      </c>
      <c r="F334" s="1847">
        <v>0.15</v>
      </c>
    </row>
    <row r="335" spans="1:6" ht="14.25" thickBot="1">
      <c r="A335" s="1841" t="s">
        <v>2214</v>
      </c>
      <c r="B335" s="1845" t="s">
        <v>1265</v>
      </c>
      <c r="C335" s="1846">
        <v>0.15</v>
      </c>
      <c r="D335" s="1846">
        <v>0.15</v>
      </c>
      <c r="E335" s="1846">
        <v>0.15</v>
      </c>
      <c r="F335" s="1854"/>
    </row>
    <row r="336" spans="1:6" ht="14.25" thickBot="1">
      <c r="A336" s="1841" t="s">
        <v>2214</v>
      </c>
      <c r="B336" s="1845" t="s">
        <v>2226</v>
      </c>
      <c r="C336" s="1846">
        <v>0.15</v>
      </c>
      <c r="D336" s="1846">
        <v>0.15</v>
      </c>
      <c r="E336" s="1846">
        <v>0.15</v>
      </c>
      <c r="F336" s="1847">
        <v>0.11799999999999999</v>
      </c>
    </row>
    <row r="337" spans="1:6" ht="14.25" thickBot="1">
      <c r="A337" s="1849" t="s">
        <v>2214</v>
      </c>
      <c r="B337" s="1856" t="s">
        <v>1283</v>
      </c>
      <c r="C337" s="1852"/>
      <c r="D337" s="1852"/>
      <c r="E337" s="1852"/>
      <c r="F337" s="1857">
        <v>0.14299999999999999</v>
      </c>
    </row>
    <row r="338" spans="1:6" ht="14.25" thickBot="1">
      <c r="A338" s="1841" t="s">
        <v>2227</v>
      </c>
      <c r="B338" s="1842" t="s">
        <v>2228</v>
      </c>
      <c r="C338" s="1843">
        <v>0.15</v>
      </c>
      <c r="D338" s="1843">
        <v>0.15</v>
      </c>
      <c r="E338" s="1843">
        <v>0.15</v>
      </c>
      <c r="F338" s="1865"/>
    </row>
    <row r="339" spans="1:6" ht="14.25" thickBot="1">
      <c r="A339" s="1841" t="s">
        <v>2227</v>
      </c>
      <c r="B339" s="1845" t="s">
        <v>2229</v>
      </c>
      <c r="C339" s="1846">
        <v>0.15</v>
      </c>
      <c r="D339" s="1846">
        <v>0.15</v>
      </c>
      <c r="E339" s="1846">
        <v>0.15</v>
      </c>
      <c r="F339" s="1854"/>
    </row>
    <row r="340" spans="1:6" ht="14.25" thickBot="1">
      <c r="A340" s="1841" t="s">
        <v>2227</v>
      </c>
      <c r="B340" s="1845" t="s">
        <v>2230</v>
      </c>
      <c r="C340" s="1846">
        <v>0.15</v>
      </c>
      <c r="D340" s="1846">
        <v>0.15</v>
      </c>
      <c r="E340" s="1846">
        <v>0.15</v>
      </c>
      <c r="F340" s="1854"/>
    </row>
    <row r="341" spans="1:6" ht="14.25" thickBot="1">
      <c r="A341" s="1841" t="s">
        <v>2231</v>
      </c>
      <c r="B341" s="1845" t="s">
        <v>2232</v>
      </c>
      <c r="C341" s="1846">
        <v>0.15</v>
      </c>
      <c r="D341" s="1846">
        <v>0.15</v>
      </c>
      <c r="E341" s="1846">
        <v>0.15</v>
      </c>
      <c r="F341" s="1847">
        <v>0.15</v>
      </c>
    </row>
    <row r="342" spans="1:6" ht="14.25" thickBot="1">
      <c r="A342" s="1841" t="s">
        <v>2227</v>
      </c>
      <c r="B342" s="1845" t="s">
        <v>2233</v>
      </c>
      <c r="C342" s="1846">
        <v>0.15</v>
      </c>
      <c r="D342" s="1846">
        <v>0.15</v>
      </c>
      <c r="E342" s="1846">
        <v>0.15</v>
      </c>
      <c r="F342" s="1847">
        <v>0.15</v>
      </c>
    </row>
    <row r="343" spans="1:6" ht="14.25" thickBot="1">
      <c r="A343" s="1841" t="s">
        <v>2227</v>
      </c>
      <c r="B343" s="1845" t="s">
        <v>2234</v>
      </c>
      <c r="C343" s="1846">
        <v>0.15</v>
      </c>
      <c r="D343" s="1846">
        <v>0.15</v>
      </c>
      <c r="E343" s="1846">
        <v>0.15</v>
      </c>
      <c r="F343" s="1847">
        <v>0.15</v>
      </c>
    </row>
    <row r="344" spans="1:6" ht="14.25" thickBot="1">
      <c r="A344" s="1849" t="s">
        <v>2227</v>
      </c>
      <c r="B344" s="1856" t="s">
        <v>2235</v>
      </c>
      <c r="C344" s="1851">
        <v>0.15</v>
      </c>
      <c r="D344" s="1851">
        <v>0.15</v>
      </c>
      <c r="E344" s="1851">
        <v>0.15</v>
      </c>
      <c r="F344" s="1857">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71" t="s">
        <v>2572</v>
      </c>
      <c r="C1" s="3471"/>
      <c r="D1" s="3471"/>
      <c r="E1" s="3471"/>
      <c r="F1" s="3471"/>
      <c r="G1" s="3470" t="s">
        <v>2573</v>
      </c>
      <c r="H1" s="3470"/>
      <c r="I1" s="3470"/>
      <c r="J1" s="3470"/>
      <c r="K1" s="3470"/>
      <c r="L1" s="3470"/>
      <c r="N1" s="3470" t="s">
        <v>2574</v>
      </c>
      <c r="O1" s="3470"/>
      <c r="P1" s="3470"/>
      <c r="Q1" s="3470"/>
      <c r="R1" s="2619"/>
      <c r="S1" s="3470" t="s">
        <v>2575</v>
      </c>
      <c r="T1" s="3470"/>
      <c r="U1" s="3470"/>
      <c r="V1" s="3470"/>
      <c r="X1" s="3469" t="s">
        <v>2635</v>
      </c>
      <c r="Y1" s="3470"/>
      <c r="Z1" s="3470"/>
      <c r="AA1" s="3470"/>
      <c r="AB1" s="3470"/>
      <c r="AD1" s="3469" t="s">
        <v>2639</v>
      </c>
      <c r="AE1" s="3470"/>
      <c r="AF1" s="3470"/>
      <c r="AG1" s="3470"/>
      <c r="AH1" s="3470"/>
    </row>
    <row r="2" spans="1:34" s="2720" customFormat="1" ht="14.25" thickBot="1">
      <c r="B2" s="2728" t="s">
        <v>2576</v>
      </c>
      <c r="C2" s="2728" t="s">
        <v>2637</v>
      </c>
      <c r="D2" s="2721" t="s">
        <v>1643</v>
      </c>
      <c r="E2" s="2721" t="s">
        <v>1948</v>
      </c>
      <c r="F2" s="2728" t="s">
        <v>2638</v>
      </c>
      <c r="G2" s="2724"/>
      <c r="H2" s="2723"/>
      <c r="I2" s="2728" t="s">
        <v>2952</v>
      </c>
      <c r="J2" s="2721" t="s">
        <v>2954</v>
      </c>
      <c r="K2" s="2721" t="s">
        <v>2955</v>
      </c>
      <c r="L2" s="2728" t="s">
        <v>2956</v>
      </c>
      <c r="N2" s="2728" t="s">
        <v>2576</v>
      </c>
      <c r="O2" s="2721" t="s">
        <v>2953</v>
      </c>
      <c r="P2" s="2721" t="s">
        <v>1948</v>
      </c>
      <c r="Q2" s="2728" t="s">
        <v>2638</v>
      </c>
      <c r="R2" s="2722"/>
      <c r="S2" s="2728" t="s">
        <v>2576</v>
      </c>
      <c r="T2" s="2721" t="s">
        <v>2953</v>
      </c>
      <c r="U2" s="2721" t="s">
        <v>1948</v>
      </c>
      <c r="V2" s="2728" t="s">
        <v>2638</v>
      </c>
      <c r="X2" s="2728" t="s">
        <v>2576</v>
      </c>
      <c r="Y2" s="2728" t="s">
        <v>2637</v>
      </c>
      <c r="Z2" s="2721" t="s">
        <v>1643</v>
      </c>
      <c r="AA2" s="2721" t="s">
        <v>1948</v>
      </c>
      <c r="AB2" s="2728" t="s">
        <v>2638</v>
      </c>
      <c r="AD2" s="2728" t="s">
        <v>2576</v>
      </c>
      <c r="AE2" s="2728" t="s">
        <v>2637</v>
      </c>
      <c r="AF2" s="2721" t="s">
        <v>1643</v>
      </c>
      <c r="AG2" s="2721" t="s">
        <v>1948</v>
      </c>
      <c r="AH2" s="2728" t="s">
        <v>2638</v>
      </c>
    </row>
    <row r="3" spans="1:34" s="3084" customFormat="1" ht="14.25">
      <c r="A3" s="3096" t="s">
        <v>2965</v>
      </c>
      <c r="B3" s="3085"/>
      <c r="C3" s="3085"/>
      <c r="D3" s="3086"/>
      <c r="E3" s="3086"/>
      <c r="F3" s="3085"/>
      <c r="G3" s="3087"/>
      <c r="H3" s="3088"/>
      <c r="I3" s="3095">
        <f>ROUND(AVERAGE($I4:$I26),2)</f>
        <v>2.06</v>
      </c>
      <c r="J3" s="3095">
        <f>ROUND(AVERAGE($J4:$J26),2)</f>
        <v>1.46</v>
      </c>
      <c r="K3" s="3095">
        <f>ROUND(AVERAGE($K4:$K26),2)</f>
        <v>2.2599999999999998</v>
      </c>
      <c r="L3" s="3095">
        <f>ROUND(AVERAGE($L4:$L26),2)</f>
        <v>1.4</v>
      </c>
      <c r="N3" s="3087"/>
      <c r="O3" s="3089"/>
      <c r="P3" s="3089"/>
      <c r="Q3" s="3089"/>
      <c r="R3" s="3089"/>
      <c r="S3" s="3087"/>
      <c r="T3" s="3089"/>
      <c r="U3" s="3089"/>
      <c r="V3" s="3089"/>
      <c r="W3" s="3092"/>
      <c r="X3" s="3090">
        <f>ROUND(SUMPRODUCT(PRODUCT(1+N3:N$25)),4)</f>
        <v>1.5189999999999999</v>
      </c>
      <c r="Y3" s="3090">
        <f>ROUND(SUMPRODUCT(PRODUCT(1+O3:O$25)),4)</f>
        <v>1.3423</v>
      </c>
      <c r="Z3" s="3090">
        <f t="shared" ref="Z3:Z23" si="0">Y3</f>
        <v>1.3423</v>
      </c>
      <c r="AA3" s="3090">
        <f>ROUND(SUMPRODUCT(PRODUCT(1+P3:P$25)),4)</f>
        <v>1.5782</v>
      </c>
      <c r="AB3" s="3090">
        <f>ROUND(SUMPRODUCT(PRODUCT(1+Q3:Q$25)),4)</f>
        <v>1.3405</v>
      </c>
      <c r="AD3" s="3091">
        <f>ROUND(AVERAGE(I3:I$26)/100,4)</f>
        <v>2.06E-2</v>
      </c>
      <c r="AE3" s="3091">
        <f>ROUND(AVERAGE(J3:J$26)/100,4)</f>
        <v>1.46E-2</v>
      </c>
      <c r="AF3" s="3091">
        <f t="shared" ref="AF3:AF24" si="1">AE3</f>
        <v>1.46E-2</v>
      </c>
      <c r="AG3" s="3091">
        <f>ROUND(AVERAGE(K3:K$26)/100,4)</f>
        <v>2.2599999999999999E-2</v>
      </c>
      <c r="AH3" s="3091">
        <f>ROUND(AVERAGE(L3:L$26)/100,4)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2988</v>
      </c>
      <c r="B5" s="2752">
        <f t="shared" ref="B5:B10" si="2">B6*(1+N5)</f>
        <v>467.15916775261894</v>
      </c>
      <c r="C5" s="2752">
        <f t="shared" ref="C5" si="3">C6*(1+O5)</f>
        <v>346.01232557169084</v>
      </c>
      <c r="D5" s="2752">
        <f t="shared" ref="D5" si="4">C5</f>
        <v>346.01232557169084</v>
      </c>
      <c r="E5" s="2752">
        <f t="shared" ref="E5" si="5">E6*(1+P5)</f>
        <v>667.41617752122568</v>
      </c>
      <c r="F5" s="2752">
        <f t="shared" ref="F5" si="6">F6*(1+Q5)</f>
        <v>308.20314391798104</v>
      </c>
      <c r="G5" s="2719">
        <v>2019</v>
      </c>
      <c r="H5" s="3067">
        <v>2</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2966</v>
      </c>
      <c r="X5" s="3071">
        <f>ROUND(IF(项目基本情况!B7="出让",SUMPRODUCT(PRODUCT(1+N5:N$26)),SUMPRODUCT(PRODUCT(1+N5:N$25))),4)</f>
        <v>1.5189999999999999</v>
      </c>
      <c r="Y5" s="3071">
        <f>ROUND(IF(项目基本情况!B7="出让",SUMPRODUCT(PRODUCT(1+O5:O$26)),SUMPRODUCT(PRODUCT(1+O5:O$25))),4)</f>
        <v>1.3423</v>
      </c>
      <c r="Z5" s="3071">
        <f t="shared" ref="Z5" si="11">Y5</f>
        <v>1.3423</v>
      </c>
      <c r="AA5" s="3071">
        <f>ROUND(IF(项目基本情况!B7="出让",SUMPRODUCT(PRODUCT(1+P5:P$26)),SUMPRODUCT(PRODUCT(1+P5:P$25))),4)</f>
        <v>1.5782</v>
      </c>
      <c r="AB5" s="3071">
        <f>ROUND(IF(项目基本情况!B7="出让",SUMPRODUCT(PRODUCT(1+Q5:Q$26)),SUMPRODUCT(PRODUCT(1+Q5:Q$25))),4)</f>
        <v>1.3405</v>
      </c>
      <c r="AD5" s="3072">
        <f>ROUND(AVERAGE(I5:I$26)/100,4)</f>
        <v>2.06E-2</v>
      </c>
      <c r="AE5" s="3072">
        <f>ROUND(AVERAGE(J5:J$26)/100,4)</f>
        <v>1.46E-2</v>
      </c>
      <c r="AF5" s="3072">
        <f t="shared" ref="AF5" si="12">AE5</f>
        <v>1.46E-2</v>
      </c>
      <c r="AG5" s="3072">
        <f>ROUND(AVERAGE(K5:K$26)/100,4)</f>
        <v>2.2599999999999999E-2</v>
      </c>
      <c r="AH5" s="3072">
        <f>ROUND(AVERAGE(L5:L$26)/100,4)</f>
        <v>1.4E-2</v>
      </c>
    </row>
    <row r="6" spans="1:34" s="2725" customFormat="1" ht="13.5" thickBot="1">
      <c r="A6" s="2620" t="s">
        <v>2989</v>
      </c>
      <c r="B6" s="2633">
        <f t="shared" si="2"/>
        <v>467.15916775261894</v>
      </c>
      <c r="C6" s="2633">
        <f t="shared" ref="C6" si="13">C7*(1+O6)</f>
        <v>346.01232557169084</v>
      </c>
      <c r="D6" s="2633">
        <f t="shared" ref="D6" si="14">C6</f>
        <v>346.01232557169084</v>
      </c>
      <c r="E6" s="2633">
        <f t="shared" ref="E6" si="15">E7*(1+P6)</f>
        <v>667.41617752122568</v>
      </c>
      <c r="F6" s="2633">
        <f t="shared" ref="F6" si="16">F7*(1+Q6)</f>
        <v>308.20314391798104</v>
      </c>
      <c r="G6" s="2719">
        <v>2019</v>
      </c>
      <c r="H6" s="2623">
        <v>1</v>
      </c>
      <c r="I6" s="3152">
        <v>0.6</v>
      </c>
      <c r="J6" s="3152">
        <v>0.37</v>
      </c>
      <c r="K6" s="3152">
        <v>0.63</v>
      </c>
      <c r="L6" s="3153">
        <v>1.1299999999999999</v>
      </c>
      <c r="M6" s="2627"/>
      <c r="N6" s="2628">
        <f t="shared" ref="N6" si="17">I6/100</f>
        <v>6.0000000000000001E-3</v>
      </c>
      <c r="O6" s="2629">
        <f t="shared" ref="O6" si="18">J6/100</f>
        <v>3.7000000000000002E-3</v>
      </c>
      <c r="P6" s="2629">
        <f t="shared" ref="P6" si="19">K6/100</f>
        <v>6.3E-3</v>
      </c>
      <c r="Q6" s="2629">
        <f t="shared" ref="Q6" si="20">L6/100</f>
        <v>1.1299999999999999E-2</v>
      </c>
      <c r="R6" s="2630"/>
      <c r="S6" s="2636">
        <f>B6/B7-1</f>
        <v>6.0000000000000053E-3</v>
      </c>
      <c r="T6" s="2637">
        <f>C6/C7-1</f>
        <v>3.7000000000000366E-3</v>
      </c>
      <c r="U6" s="2637">
        <f>E6/E7-1</f>
        <v>6.2999999999999723E-3</v>
      </c>
      <c r="V6" s="2637">
        <f>F6/F7-1</f>
        <v>1.1300000000000088E-2</v>
      </c>
      <c r="W6" s="2627"/>
      <c r="X6" s="2718">
        <f>ROUND(IF(项目基本情况!B8="出让",SUMPRODUCT(PRODUCT(1+N6:N$26)),SUMPRODUCT(PRODUCT(1+N6:N$25))),4)</f>
        <v>1.5189999999999999</v>
      </c>
      <c r="Y6" s="2718">
        <f>ROUND(IF(项目基本情况!B8="出让",SUMPRODUCT(PRODUCT(1+O6:O$26)),SUMPRODUCT(PRODUCT(1+O6:O$25))),4)</f>
        <v>1.3423</v>
      </c>
      <c r="Z6" s="2718">
        <f t="shared" ref="Z6" si="21">Y6</f>
        <v>1.3423</v>
      </c>
      <c r="AA6" s="2718">
        <f>ROUND(IF(项目基本情况!B8="出让",SUMPRODUCT(PRODUCT(1+P6:P$26)),SUMPRODUCT(PRODUCT(1+P6:P$25))),4)</f>
        <v>1.5782</v>
      </c>
      <c r="AB6" s="2718">
        <f>ROUND(IF(项目基本情况!B8="出让",SUMPRODUCT(PRODUCT(1+Q6:Q$26)),SUMPRODUCT(PRODUCT(1+Q6:Q$25))),4)</f>
        <v>1.3405</v>
      </c>
      <c r="AC6" s="2627"/>
      <c r="AD6" s="2638">
        <f>ROUND(AVERAGE(I6:I$26)/100,4)</f>
        <v>2.1600000000000001E-2</v>
      </c>
      <c r="AE6" s="2638">
        <f>ROUND(AVERAGE(J6:J$26)/100,4)</f>
        <v>1.5299999999999999E-2</v>
      </c>
      <c r="AF6" s="2638">
        <f t="shared" ref="AF6" si="22">AE6</f>
        <v>1.5299999999999999E-2</v>
      </c>
      <c r="AG6" s="2638">
        <f>ROUND(AVERAGE(K6:K$26)/100,4)</f>
        <v>2.3699999999999999E-2</v>
      </c>
      <c r="AH6" s="2638">
        <f>ROUND(AVERAGE(L6:L$26)/100,4)</f>
        <v>1.47E-2</v>
      </c>
    </row>
    <row r="7" spans="1:34" s="2725" customFormat="1">
      <c r="A7" s="2620" t="s">
        <v>2985</v>
      </c>
      <c r="B7" s="2633">
        <f t="shared" si="2"/>
        <v>464.37293017158942</v>
      </c>
      <c r="C7" s="2633">
        <f t="shared" ref="C7" si="23">C8*(1+O7)</f>
        <v>344.73679941385956</v>
      </c>
      <c r="D7" s="2633">
        <f t="shared" ref="D7" si="24">C7</f>
        <v>344.73679941385956</v>
      </c>
      <c r="E7" s="2633">
        <f t="shared" ref="E7" si="25">E8*(1+P7)</f>
        <v>663.2377795103107</v>
      </c>
      <c r="F7" s="2633">
        <f t="shared" ref="F7" si="26">F8*(1+Q7)</f>
        <v>304.75936311478398</v>
      </c>
      <c r="G7" s="3473">
        <v>2018</v>
      </c>
      <c r="H7" s="2623">
        <v>4</v>
      </c>
      <c r="I7" s="3152">
        <v>0.96</v>
      </c>
      <c r="J7" s="3152">
        <v>1.03</v>
      </c>
      <c r="K7" s="3152">
        <v>0.92</v>
      </c>
      <c r="L7" s="3153">
        <v>1.29</v>
      </c>
      <c r="M7" s="2627"/>
      <c r="N7" s="2628">
        <f t="shared" ref="N7" si="27">I7/100</f>
        <v>9.5999999999999992E-3</v>
      </c>
      <c r="O7" s="2629">
        <f t="shared" ref="O7" si="28">J7/100</f>
        <v>1.03E-2</v>
      </c>
      <c r="P7" s="2629">
        <f t="shared" ref="P7" si="29">K7/100</f>
        <v>9.1999999999999998E-3</v>
      </c>
      <c r="Q7" s="2629">
        <f t="shared" ref="Q7" si="30">L7/100</f>
        <v>1.29E-2</v>
      </c>
      <c r="R7" s="2630"/>
      <c r="S7" s="2631"/>
      <c r="T7" s="2632"/>
      <c r="U7" s="2632"/>
      <c r="V7" s="2632"/>
      <c r="W7" s="2627"/>
      <c r="X7" s="2718">
        <f>ROUND(SUMPRODUCT(PRODUCT(1+N7:N$25)),4)</f>
        <v>1.5099</v>
      </c>
      <c r="Y7" s="2718">
        <f>ROUND(SUMPRODUCT(PRODUCT(1+O7:O$25)),4)</f>
        <v>1.3372999999999999</v>
      </c>
      <c r="Z7" s="2718">
        <f t="shared" ref="Z7" si="31">Y7</f>
        <v>1.3372999999999999</v>
      </c>
      <c r="AA7" s="2718">
        <f>ROUND(SUMPRODUCT(PRODUCT(1+P7:P$25)),4)</f>
        <v>1.5683</v>
      </c>
      <c r="AB7" s="2718">
        <f>ROUND(SUMPRODUCT(PRODUCT(1+Q7:Q$25)),4)</f>
        <v>1.3255999999999999</v>
      </c>
      <c r="AC7" s="2627"/>
      <c r="AD7" s="2638">
        <f>ROUND(AVERAGE(I7:I$26)/100,4)</f>
        <v>2.24E-2</v>
      </c>
      <c r="AE7" s="2638">
        <f>ROUND(AVERAGE(J7:J$26)/100,4)</f>
        <v>1.5800000000000002E-2</v>
      </c>
      <c r="AF7" s="2638">
        <f t="shared" ref="AF7" si="32">AE7</f>
        <v>1.5800000000000002E-2</v>
      </c>
      <c r="AG7" s="2638">
        <f>ROUND(AVERAGE(K7:K$26)/100,4)</f>
        <v>2.4500000000000001E-2</v>
      </c>
      <c r="AH7" s="2638">
        <f>ROUND(AVERAGE(L7:L$26)/100,4)</f>
        <v>1.49E-2</v>
      </c>
    </row>
    <row r="8" spans="1:34" s="2725" customFormat="1" ht="14.45" customHeight="1">
      <c r="A8" s="2620" t="s">
        <v>2975</v>
      </c>
      <c r="B8" s="2633">
        <f t="shared" si="2"/>
        <v>459.95733971036987</v>
      </c>
      <c r="C8" s="2633">
        <f t="shared" ref="C8" si="33">C9*(1+O8)</f>
        <v>341.22221064422405</v>
      </c>
      <c r="D8" s="2633">
        <f t="shared" ref="D8" si="34">C8</f>
        <v>341.22221064422405</v>
      </c>
      <c r="E8" s="2633">
        <f t="shared" ref="E8" si="35">E9*(1+P8)</f>
        <v>657.19161663724799</v>
      </c>
      <c r="F8" s="2633">
        <f t="shared" ref="F8" si="36">F9*(1+Q8)</f>
        <v>300.87803644464805</v>
      </c>
      <c r="G8" s="3473"/>
      <c r="H8" s="2623">
        <v>3</v>
      </c>
      <c r="I8" s="2623">
        <v>1.51</v>
      </c>
      <c r="J8" s="2623">
        <v>1.41</v>
      </c>
      <c r="K8" s="2623">
        <v>1.52</v>
      </c>
      <c r="L8" s="2634">
        <v>1.74</v>
      </c>
      <c r="M8" s="2627"/>
      <c r="N8" s="2628">
        <f t="shared" ref="N8" si="37">I8/100</f>
        <v>1.5100000000000001E-2</v>
      </c>
      <c r="O8" s="2629">
        <f t="shared" ref="O8" si="38">J8/100</f>
        <v>1.41E-2</v>
      </c>
      <c r="P8" s="2629">
        <f t="shared" ref="P8" si="39">K8/100</f>
        <v>1.52E-2</v>
      </c>
      <c r="Q8" s="2629">
        <f t="shared" ref="Q8" si="40">L8/100</f>
        <v>1.7399999999999999E-2</v>
      </c>
      <c r="R8" s="2630"/>
      <c r="S8" s="2628"/>
      <c r="T8" s="2629"/>
      <c r="U8" s="2629"/>
      <c r="V8" s="2629"/>
      <c r="W8" s="2627"/>
      <c r="X8" s="2718">
        <f>ROUND(SUMPRODUCT(PRODUCT(1+N8:N$25)),4)</f>
        <v>1.4956</v>
      </c>
      <c r="Y8" s="2718">
        <f>ROUND(SUMPRODUCT(PRODUCT(1+O8:O$25)),4)</f>
        <v>1.3237000000000001</v>
      </c>
      <c r="Z8" s="2718">
        <f t="shared" ref="Z8" si="41">Y8</f>
        <v>1.3237000000000001</v>
      </c>
      <c r="AA8" s="2718">
        <f>ROUND(SUMPRODUCT(PRODUCT(1+P8:P$25)),4)</f>
        <v>1.554</v>
      </c>
      <c r="AB8" s="2718">
        <f>ROUND(SUMPRODUCT(PRODUCT(1+Q8:Q$25)),4)</f>
        <v>1.3087</v>
      </c>
      <c r="AC8" s="2627"/>
      <c r="AD8" s="2638">
        <f>ROUND(AVERAGE(I8:I$26)/100,4)</f>
        <v>2.3099999999999999E-2</v>
      </c>
      <c r="AE8" s="2638">
        <f>ROUND(AVERAGE(J8:J$26)/100,4)</f>
        <v>1.61E-2</v>
      </c>
      <c r="AF8" s="2638">
        <f t="shared" ref="AF8" si="42">AE8</f>
        <v>1.61E-2</v>
      </c>
      <c r="AG8" s="2638">
        <f>ROUND(AVERAGE(K8:K$26)/100,4)</f>
        <v>2.53E-2</v>
      </c>
      <c r="AH8" s="2638">
        <f>ROUND(AVERAGE(L8:L$26)/100,4)</f>
        <v>1.4999999999999999E-2</v>
      </c>
    </row>
    <row r="9" spans="1:34" s="2725" customFormat="1" ht="14.45" customHeight="1">
      <c r="A9" s="2620" t="s">
        <v>2976</v>
      </c>
      <c r="B9" s="2633">
        <f t="shared" si="2"/>
        <v>453.11529869999993</v>
      </c>
      <c r="C9" s="2633">
        <f t="shared" ref="C9" si="43">C10*(1+O9)</f>
        <v>336.47787264000004</v>
      </c>
      <c r="D9" s="2633">
        <f t="shared" ref="D9" si="44">C9</f>
        <v>336.47787264000004</v>
      </c>
      <c r="E9" s="2633">
        <f t="shared" ref="E9" si="45">E10*(1+P9)</f>
        <v>647.35186823999993</v>
      </c>
      <c r="F9" s="2633">
        <f t="shared" ref="F9" si="46">F10*(1+Q9)</f>
        <v>295.73229452000004</v>
      </c>
      <c r="G9" s="3473"/>
      <c r="H9" s="2623">
        <v>2</v>
      </c>
      <c r="I9" s="2623">
        <v>1.49</v>
      </c>
      <c r="J9" s="2623">
        <v>0.96</v>
      </c>
      <c r="K9" s="2623">
        <v>1.58</v>
      </c>
      <c r="L9" s="2634">
        <v>2.44</v>
      </c>
      <c r="M9" s="2627"/>
      <c r="N9" s="2628">
        <f t="shared" ref="N9" si="47">I9/100</f>
        <v>1.49E-2</v>
      </c>
      <c r="O9" s="2629">
        <f t="shared" ref="O9" si="48">J9/100</f>
        <v>9.5999999999999992E-3</v>
      </c>
      <c r="P9" s="2629">
        <f t="shared" ref="P9" si="49">K9/100</f>
        <v>1.5800000000000002E-2</v>
      </c>
      <c r="Q9" s="2629">
        <f t="shared" ref="Q9" si="50">L9/100</f>
        <v>2.4399999999999998E-2</v>
      </c>
      <c r="R9" s="2630"/>
      <c r="S9" s="2628"/>
      <c r="T9" s="2629"/>
      <c r="U9" s="2629"/>
      <c r="V9" s="2629"/>
      <c r="W9" s="2627"/>
      <c r="X9" s="2718">
        <f>ROUND(SUMPRODUCT(PRODUCT(1+N9:N$25)),4)</f>
        <v>1.4733000000000001</v>
      </c>
      <c r="Y9" s="2718">
        <f>ROUND(SUMPRODUCT(PRODUCT(1+O9:O$25)),4)</f>
        <v>1.3052999999999999</v>
      </c>
      <c r="Z9" s="2718">
        <f t="shared" ref="Z9" si="51">Y9</f>
        <v>1.3052999999999999</v>
      </c>
      <c r="AA9" s="2718">
        <f>ROUND(SUMPRODUCT(PRODUCT(1+P9:P$25)),4)</f>
        <v>1.5306999999999999</v>
      </c>
      <c r="AB9" s="2718">
        <f>ROUND(SUMPRODUCT(PRODUCT(1+Q9:Q$25)),4)</f>
        <v>1.2863</v>
      </c>
      <c r="AC9" s="2627"/>
      <c r="AD9" s="2638">
        <f>ROUND(AVERAGE(I9:I$26)/100,4)</f>
        <v>2.35E-2</v>
      </c>
      <c r="AE9" s="2638">
        <f>ROUND(AVERAGE(J9:J$26)/100,4)</f>
        <v>1.6199999999999999E-2</v>
      </c>
      <c r="AF9" s="2638">
        <f t="shared" ref="AF9" si="52">AE9</f>
        <v>1.6199999999999999E-2</v>
      </c>
      <c r="AG9" s="2638">
        <f>ROUND(AVERAGE(K9:K$26)/100,4)</f>
        <v>2.5899999999999999E-2</v>
      </c>
      <c r="AH9" s="2638">
        <f>ROUND(AVERAGE(L9:L$26)/100,4)</f>
        <v>1.49E-2</v>
      </c>
    </row>
    <row r="10" spans="1:34" s="2725" customFormat="1" ht="15" customHeight="1" thickBot="1">
      <c r="A10" s="2620" t="s">
        <v>2972</v>
      </c>
      <c r="B10" s="2633">
        <f t="shared" si="2"/>
        <v>446.46299999999997</v>
      </c>
      <c r="C10" s="2633">
        <f t="shared" ref="C10" si="53">C11*(1+O10)</f>
        <v>333.27840000000003</v>
      </c>
      <c r="D10" s="2633">
        <f t="shared" ref="D10:D15" si="54">C10</f>
        <v>333.27840000000003</v>
      </c>
      <c r="E10" s="2633">
        <f t="shared" ref="E10" si="55">E11*(1+P10)</f>
        <v>637.28279999999995</v>
      </c>
      <c r="F10" s="2633">
        <f t="shared" ref="F10" si="56">F11*(1+Q10)</f>
        <v>288.68830000000003</v>
      </c>
      <c r="G10" s="3479"/>
      <c r="H10" s="2623">
        <v>1</v>
      </c>
      <c r="I10" s="2623">
        <v>1.7</v>
      </c>
      <c r="J10" s="2623">
        <v>1.92</v>
      </c>
      <c r="K10" s="2623">
        <v>1.64</v>
      </c>
      <c r="L10" s="2634">
        <v>2.0099999999999998</v>
      </c>
      <c r="M10" s="2627"/>
      <c r="N10" s="2628">
        <f t="shared" ref="N10:N15" si="57">I10/100</f>
        <v>1.7000000000000001E-2</v>
      </c>
      <c r="O10" s="2629">
        <f t="shared" ref="O10" si="58">J10/100</f>
        <v>1.9199999999999998E-2</v>
      </c>
      <c r="P10" s="2629">
        <f t="shared" ref="P10" si="59">K10/100</f>
        <v>1.6399999999999998E-2</v>
      </c>
      <c r="Q10" s="2629">
        <f t="shared" ref="Q10" si="60">L10/100</f>
        <v>2.0099999999999996E-2</v>
      </c>
      <c r="R10" s="2630"/>
      <c r="S10" s="2636">
        <f>B10/B11-1</f>
        <v>1.6999999999999904E-2</v>
      </c>
      <c r="T10" s="2637">
        <f>C10/C11-1</f>
        <v>1.9200000000000106E-2</v>
      </c>
      <c r="U10" s="2637">
        <f>E10/E11-1</f>
        <v>1.639999999999997E-2</v>
      </c>
      <c r="V10" s="2637">
        <f>F10/F11-1</f>
        <v>2.0100000000000007E-2</v>
      </c>
      <c r="W10" s="2627"/>
      <c r="X10" s="2718">
        <f>ROUND(SUMPRODUCT(PRODUCT(1+N10:N$25)),4)</f>
        <v>1.4517</v>
      </c>
      <c r="Y10" s="2718">
        <f>ROUND(SUMPRODUCT(PRODUCT(1+O10:O$25)),4)</f>
        <v>1.2928999999999999</v>
      </c>
      <c r="Z10" s="2718">
        <f t="shared" ref="Z10" si="61">Y10</f>
        <v>1.2928999999999999</v>
      </c>
      <c r="AA10" s="2718">
        <f>ROUND(SUMPRODUCT(PRODUCT(1+P10:P$25)),4)</f>
        <v>1.5068999999999999</v>
      </c>
      <c r="AB10" s="2718">
        <f>ROUND(SUMPRODUCT(PRODUCT(1+Q10:Q$25)),4)</f>
        <v>1.2557</v>
      </c>
      <c r="AC10" s="2627"/>
      <c r="AD10" s="2638">
        <f>ROUND(AVERAGE(I10:I$26)/100,4)</f>
        <v>2.4E-2</v>
      </c>
      <c r="AE10" s="2638">
        <f>ROUND(AVERAGE(J10:J$26)/100,4)</f>
        <v>1.66E-2</v>
      </c>
      <c r="AF10" s="2638">
        <f t="shared" ref="AF10" si="62">AE10</f>
        <v>1.66E-2</v>
      </c>
      <c r="AG10" s="2638">
        <f>ROUND(AVERAGE(K10:K$26)/100,4)</f>
        <v>2.6499999999999999E-2</v>
      </c>
      <c r="AH10" s="2638">
        <f>ROUND(AVERAGE(L10:L$26)/100,4)</f>
        <v>1.43E-2</v>
      </c>
    </row>
    <row r="11" spans="1:34">
      <c r="A11" s="2620" t="s">
        <v>2963</v>
      </c>
      <c r="B11" s="3098">
        <v>439</v>
      </c>
      <c r="C11" s="3098">
        <v>327</v>
      </c>
      <c r="D11" s="3098">
        <f t="shared" si="54"/>
        <v>327</v>
      </c>
      <c r="E11" s="3098">
        <v>627</v>
      </c>
      <c r="F11" s="3099">
        <v>283</v>
      </c>
      <c r="G11" s="3478">
        <v>2017</v>
      </c>
      <c r="H11" s="2621">
        <v>4</v>
      </c>
      <c r="I11" s="2621">
        <v>1.71</v>
      </c>
      <c r="J11" s="2621">
        <v>1.78</v>
      </c>
      <c r="K11" s="2621">
        <v>1.71</v>
      </c>
      <c r="L11" s="2622">
        <v>1.43</v>
      </c>
      <c r="N11" s="2641">
        <f t="shared" si="57"/>
        <v>1.7100000000000001E-2</v>
      </c>
      <c r="O11" s="2642">
        <f t="shared" ref="O11" si="63">J11/100</f>
        <v>1.78E-2</v>
      </c>
      <c r="P11" s="2642">
        <f t="shared" ref="P11" si="64">K11/100</f>
        <v>1.7100000000000001E-2</v>
      </c>
      <c r="Q11" s="2642">
        <f t="shared" ref="Q11" si="65">L11/100</f>
        <v>1.43E-2</v>
      </c>
      <c r="R11" s="2630"/>
      <c r="S11" s="2631"/>
      <c r="T11" s="2632"/>
      <c r="U11" s="2632"/>
      <c r="V11" s="2632"/>
      <c r="X11" s="2718">
        <f>ROUND(SUMPRODUCT(PRODUCT(1+N11:N$25)),4)</f>
        <v>1.4274</v>
      </c>
      <c r="Y11" s="2718">
        <f>ROUND(SUMPRODUCT(PRODUCT(1+O11:O$25)),4)</f>
        <v>1.2685</v>
      </c>
      <c r="Z11" s="2718">
        <f t="shared" si="0"/>
        <v>1.2685</v>
      </c>
      <c r="AA11" s="2718">
        <f>ROUND(SUMPRODUCT(PRODUCT(1+P11:P$25)),4)</f>
        <v>1.4825999999999999</v>
      </c>
      <c r="AB11" s="2718">
        <f>ROUND(SUMPRODUCT(PRODUCT(1+Q11:Q$25)),4)</f>
        <v>1.2309000000000001</v>
      </c>
      <c r="AD11" s="2638">
        <f>ROUND(AVERAGE(I11:I$26)/100,4)</f>
        <v>2.4500000000000001E-2</v>
      </c>
      <c r="AE11" s="2638">
        <f>ROUND(AVERAGE(J11:J$26)/100,4)</f>
        <v>1.6500000000000001E-2</v>
      </c>
      <c r="AF11" s="2638">
        <f t="shared" si="1"/>
        <v>1.6500000000000001E-2</v>
      </c>
      <c r="AG11" s="2638">
        <f>ROUND(AVERAGE(K11:K$26)/100,4)</f>
        <v>2.7099999999999999E-2</v>
      </c>
      <c r="AH11" s="2638">
        <f>ROUND(AVERAGE(L11:L$26)/100,4)</f>
        <v>1.3899999999999999E-2</v>
      </c>
    </row>
    <row r="12" spans="1:34" s="2725" customFormat="1" ht="14.45" customHeight="1">
      <c r="A12" s="2620" t="s">
        <v>2967</v>
      </c>
      <c r="B12" s="2633">
        <f t="shared" ref="B12:C14" si="66">B13*(1+N12)</f>
        <v>431.80730811680002</v>
      </c>
      <c r="C12" s="2633">
        <f t="shared" si="66"/>
        <v>320.57880516480003</v>
      </c>
      <c r="D12" s="2633">
        <f t="shared" si="54"/>
        <v>320.57880516480003</v>
      </c>
      <c r="E12" s="2633">
        <f t="shared" ref="E12:F14" si="67">E13*(1+P12)</f>
        <v>615.96110553196797</v>
      </c>
      <c r="F12" s="2633">
        <f t="shared" si="67"/>
        <v>279.46777300108801</v>
      </c>
      <c r="G12" s="3473"/>
      <c r="H12" s="2623">
        <v>3</v>
      </c>
      <c r="I12" s="2623">
        <v>2.98</v>
      </c>
      <c r="J12" s="2623">
        <v>2.11</v>
      </c>
      <c r="K12" s="2623">
        <v>3.24</v>
      </c>
      <c r="L12" s="2634">
        <v>1.72</v>
      </c>
      <c r="M12" s="2627"/>
      <c r="N12" s="2628">
        <f t="shared" si="57"/>
        <v>2.98E-2</v>
      </c>
      <c r="O12" s="2646">
        <f t="shared" ref="O12:O13" si="68">J12/100</f>
        <v>2.1099999999999997E-2</v>
      </c>
      <c r="P12" s="2646">
        <f t="shared" ref="P12:P13" si="69">K12/100</f>
        <v>3.2400000000000005E-2</v>
      </c>
      <c r="Q12" s="2646">
        <f t="shared" ref="Q12:Q13" si="70">L12/100</f>
        <v>1.72E-2</v>
      </c>
      <c r="R12" s="2630"/>
      <c r="S12" s="2628"/>
      <c r="T12" s="2629"/>
      <c r="U12" s="2629"/>
      <c r="V12" s="2629"/>
      <c r="W12" s="2627"/>
      <c r="X12" s="2718">
        <f>ROUND(SUMPRODUCT(PRODUCT(1+N12:N$25)),4)</f>
        <v>1.4034</v>
      </c>
      <c r="Y12" s="2718">
        <f>ROUND(SUMPRODUCT(PRODUCT(1+O12:O$25)),4)</f>
        <v>1.2463</v>
      </c>
      <c r="Z12" s="2718">
        <f t="shared" si="0"/>
        <v>1.2463</v>
      </c>
      <c r="AA12" s="2718">
        <f>ROUND(SUMPRODUCT(PRODUCT(1+P12:P$25)),4)</f>
        <v>1.4577</v>
      </c>
      <c r="AB12" s="2718">
        <f>ROUND(SUMPRODUCT(PRODUCT(1+Q12:Q$25)),4)</f>
        <v>1.2136</v>
      </c>
      <c r="AC12" s="2627"/>
      <c r="AD12" s="2638">
        <f>ROUND(AVERAGE(I12:I$26)/100,4)</f>
        <v>2.4899999999999999E-2</v>
      </c>
      <c r="AE12" s="2638">
        <f>ROUND(AVERAGE(J12:J$26)/100,4)</f>
        <v>1.6400000000000001E-2</v>
      </c>
      <c r="AF12" s="2638">
        <f t="shared" si="1"/>
        <v>1.6400000000000001E-2</v>
      </c>
      <c r="AG12" s="2638">
        <f>ROUND(AVERAGE(K12:K$26)/100,4)</f>
        <v>2.7799999999999998E-2</v>
      </c>
      <c r="AH12" s="2638">
        <f>ROUND(AVERAGE(L12:L$26)/100,4)</f>
        <v>1.3899999999999999E-2</v>
      </c>
    </row>
    <row r="13" spans="1:34" s="2618" customFormat="1" ht="14.45" customHeight="1">
      <c r="A13" s="2620" t="s">
        <v>2577</v>
      </c>
      <c r="B13" s="2633">
        <f t="shared" si="66"/>
        <v>419.31181600000002</v>
      </c>
      <c r="C13" s="2633">
        <f t="shared" si="66"/>
        <v>313.95436800000004</v>
      </c>
      <c r="D13" s="2633">
        <f t="shared" si="54"/>
        <v>313.95436800000004</v>
      </c>
      <c r="E13" s="2633">
        <f t="shared" si="67"/>
        <v>596.63028431999999</v>
      </c>
      <c r="F13" s="2633">
        <f t="shared" si="67"/>
        <v>274.74220703999998</v>
      </c>
      <c r="G13" s="3473"/>
      <c r="H13" s="2624">
        <v>2</v>
      </c>
      <c r="I13" s="2624">
        <v>3.4</v>
      </c>
      <c r="J13" s="2624">
        <v>2</v>
      </c>
      <c r="K13" s="2624">
        <v>3.82</v>
      </c>
      <c r="L13" s="2635">
        <v>1.68</v>
      </c>
      <c r="N13" s="2628">
        <f t="shared" si="57"/>
        <v>3.4000000000000002E-2</v>
      </c>
      <c r="O13" s="2646">
        <f t="shared" si="68"/>
        <v>0.02</v>
      </c>
      <c r="P13" s="2646">
        <f t="shared" si="69"/>
        <v>3.8199999999999998E-2</v>
      </c>
      <c r="Q13" s="2646">
        <f t="shared" si="70"/>
        <v>1.6799999999999999E-2</v>
      </c>
      <c r="R13" s="2619"/>
      <c r="S13" s="2628"/>
      <c r="T13" s="2629"/>
      <c r="U13" s="2629"/>
      <c r="V13" s="2629"/>
      <c r="X13" s="2718">
        <f>ROUND(SUMPRODUCT(PRODUCT(1+N13:N$25)),4)</f>
        <v>1.3628</v>
      </c>
      <c r="Y13" s="2718">
        <f>ROUND(SUMPRODUCT(PRODUCT(1+O13:O$25)),4)</f>
        <v>1.2205999999999999</v>
      </c>
      <c r="Z13" s="2718">
        <f t="shared" si="0"/>
        <v>1.2205999999999999</v>
      </c>
      <c r="AA13" s="2718">
        <f>ROUND(SUMPRODUCT(PRODUCT(1+P13:P$25)),4)</f>
        <v>1.4118999999999999</v>
      </c>
      <c r="AB13" s="2718">
        <f>ROUND(SUMPRODUCT(PRODUCT(1+Q13:Q$25)),4)</f>
        <v>1.1930000000000001</v>
      </c>
      <c r="AD13" s="2638">
        <f>ROUND(AVERAGE(I13:I$26)/100,4)</f>
        <v>2.46E-2</v>
      </c>
      <c r="AE13" s="2638">
        <f>ROUND(AVERAGE(J13:J$26)/100,4)</f>
        <v>1.6E-2</v>
      </c>
      <c r="AF13" s="2638">
        <f t="shared" si="1"/>
        <v>1.6E-2</v>
      </c>
      <c r="AG13" s="2638">
        <f>ROUND(AVERAGE(K13:K$26)/100,4)</f>
        <v>2.75E-2</v>
      </c>
      <c r="AH13" s="2638">
        <f>ROUND(AVERAGE(L13:L$26)/100,4)</f>
        <v>1.37E-2</v>
      </c>
    </row>
    <row r="14" spans="1:34" s="2725" customFormat="1" ht="15" customHeight="1" thickBot="1">
      <c r="A14" s="2620" t="s">
        <v>2578</v>
      </c>
      <c r="B14" s="2633">
        <f t="shared" si="66"/>
        <v>405.524</v>
      </c>
      <c r="C14" s="2633">
        <f t="shared" si="66"/>
        <v>307.79840000000002</v>
      </c>
      <c r="D14" s="2633">
        <f t="shared" si="54"/>
        <v>307.79840000000002</v>
      </c>
      <c r="E14" s="2633">
        <f t="shared" si="67"/>
        <v>574.67759999999998</v>
      </c>
      <c r="F14" s="2633">
        <f t="shared" si="67"/>
        <v>270.20280000000002</v>
      </c>
      <c r="G14" s="3479"/>
      <c r="H14" s="2623">
        <v>1</v>
      </c>
      <c r="I14" s="2623">
        <v>3.45</v>
      </c>
      <c r="J14" s="2623">
        <v>1.92</v>
      </c>
      <c r="K14" s="2623">
        <v>3.92</v>
      </c>
      <c r="L14" s="2634">
        <v>1.58</v>
      </c>
      <c r="M14" s="2627"/>
      <c r="N14" s="2636">
        <f t="shared" si="57"/>
        <v>3.4500000000000003E-2</v>
      </c>
      <c r="O14" s="2637">
        <f t="shared" ref="O14" si="71">J14/100</f>
        <v>1.9199999999999998E-2</v>
      </c>
      <c r="P14" s="2637">
        <f t="shared" ref="P14" si="72">K14/100</f>
        <v>3.9199999999999999E-2</v>
      </c>
      <c r="Q14" s="2637">
        <f t="shared" ref="Q14" si="73">L14/100</f>
        <v>1.5800000000000002E-2</v>
      </c>
      <c r="R14" s="2630"/>
      <c r="S14" s="2636">
        <f>B14/B15-1</f>
        <v>3.4499999999999975E-2</v>
      </c>
      <c r="T14" s="2637">
        <f>C14/C15-1</f>
        <v>1.9200000000000106E-2</v>
      </c>
      <c r="U14" s="2637">
        <f>E14/E15-1</f>
        <v>3.9199999999999902E-2</v>
      </c>
      <c r="V14" s="2637">
        <f>F14/F15-1</f>
        <v>1.5800000000000036E-2</v>
      </c>
      <c r="W14" s="2627"/>
      <c r="X14" s="2718">
        <f>ROUND(SUMPRODUCT(PRODUCT(1+N14:N$25)),4)</f>
        <v>1.3180000000000001</v>
      </c>
      <c r="Y14" s="2718">
        <f>ROUND(SUMPRODUCT(PRODUCT(1+O14:O$25)),4)</f>
        <v>1.1966000000000001</v>
      </c>
      <c r="Z14" s="2718">
        <f t="shared" si="0"/>
        <v>1.1966000000000001</v>
      </c>
      <c r="AA14" s="2718">
        <f>ROUND(SUMPRODUCT(PRODUCT(1+P14:P$25)),4)</f>
        <v>1.36</v>
      </c>
      <c r="AB14" s="2718">
        <f>ROUND(SUMPRODUCT(PRODUCT(1+Q14:Q$25)),4)</f>
        <v>1.1733</v>
      </c>
      <c r="AC14" s="2627"/>
      <c r="AD14" s="2638">
        <f>ROUND(AVERAGE(I14:I$26)/100,4)</f>
        <v>2.3900000000000001E-2</v>
      </c>
      <c r="AE14" s="2638">
        <f>ROUND(AVERAGE(J14:J$26)/100,4)</f>
        <v>1.5699999999999999E-2</v>
      </c>
      <c r="AF14" s="2638">
        <f t="shared" si="1"/>
        <v>1.5699999999999999E-2</v>
      </c>
      <c r="AG14" s="2638">
        <f>ROUND(AVERAGE(K14:K$26)/100,4)</f>
        <v>2.6599999999999999E-2</v>
      </c>
      <c r="AH14" s="2638">
        <f>ROUND(AVERAGE(L14:L$26)/100,4)</f>
        <v>1.34E-2</v>
      </c>
    </row>
    <row r="15" spans="1:34">
      <c r="A15" s="2620" t="s">
        <v>969</v>
      </c>
      <c r="B15" s="2625">
        <v>392</v>
      </c>
      <c r="C15" s="2625">
        <v>302</v>
      </c>
      <c r="D15" s="2625">
        <f t="shared" si="54"/>
        <v>302</v>
      </c>
      <c r="E15" s="2625">
        <v>553</v>
      </c>
      <c r="F15" s="2626">
        <v>266</v>
      </c>
      <c r="G15" s="3478">
        <v>2016</v>
      </c>
      <c r="H15" s="2621">
        <v>4</v>
      </c>
      <c r="I15" s="2621">
        <v>4.5599999999999996</v>
      </c>
      <c r="J15" s="2621">
        <v>2.15</v>
      </c>
      <c r="K15" s="2621">
        <v>5.32</v>
      </c>
      <c r="L15" s="2622">
        <v>1.57</v>
      </c>
      <c r="N15" s="2628">
        <f t="shared" si="57"/>
        <v>4.5599999999999995E-2</v>
      </c>
      <c r="O15" s="2629">
        <f t="shared" ref="O15:Q30" si="74">J15/100</f>
        <v>2.1499999999999998E-2</v>
      </c>
      <c r="P15" s="2629">
        <f t="shared" si="74"/>
        <v>5.3200000000000004E-2</v>
      </c>
      <c r="Q15" s="2629">
        <f t="shared" si="74"/>
        <v>1.5700000000000002E-2</v>
      </c>
      <c r="R15" s="2630"/>
      <c r="S15" s="2631"/>
      <c r="T15" s="2632"/>
      <c r="U15" s="2632"/>
      <c r="V15" s="2632"/>
      <c r="X15" s="2718">
        <f>ROUND(SUMPRODUCT(PRODUCT(1+N15:N$25)),4)</f>
        <v>1.274</v>
      </c>
      <c r="Y15" s="2718">
        <f>ROUND(SUMPRODUCT(PRODUCT(1+O15:O$25)),4)</f>
        <v>1.1740999999999999</v>
      </c>
      <c r="Z15" s="2718">
        <f t="shared" si="0"/>
        <v>1.1740999999999999</v>
      </c>
      <c r="AA15" s="2718">
        <f>ROUND(SUMPRODUCT(PRODUCT(1+P15:P$25)),4)</f>
        <v>1.3087</v>
      </c>
      <c r="AB15" s="2718">
        <f>ROUND(SUMPRODUCT(PRODUCT(1+Q15:Q$25)),4)</f>
        <v>1.1551</v>
      </c>
      <c r="AD15" s="2638">
        <f>ROUND(AVERAGE(I15:I$26)/100,4)</f>
        <v>2.3E-2</v>
      </c>
      <c r="AE15" s="2638">
        <f>ROUND(AVERAGE(J15:J$26)/100,4)</f>
        <v>1.55E-2</v>
      </c>
      <c r="AF15" s="2638">
        <f t="shared" si="1"/>
        <v>1.55E-2</v>
      </c>
      <c r="AG15" s="2638">
        <f>ROUND(AVERAGE(K15:K$26)/100,4)</f>
        <v>2.5600000000000001E-2</v>
      </c>
      <c r="AH15" s="2638">
        <f>ROUND(AVERAGE(L15:L$26)/100,4)</f>
        <v>1.32E-2</v>
      </c>
    </row>
    <row r="16" spans="1:34">
      <c r="A16" s="2620" t="s">
        <v>968</v>
      </c>
      <c r="B16" s="2633">
        <f t="shared" ref="B16:C18" si="75">B15/(1+N15)</f>
        <v>374.90436113236416</v>
      </c>
      <c r="C16" s="2633">
        <f t="shared" si="75"/>
        <v>295.64366128242779</v>
      </c>
      <c r="D16" s="2633">
        <f t="shared" ref="D16:D75" si="76">C16</f>
        <v>295.64366128242779</v>
      </c>
      <c r="E16" s="2633">
        <f t="shared" ref="E16:F18" si="77">E15/(1+P15)</f>
        <v>525.06646410938095</v>
      </c>
      <c r="F16" s="2633">
        <f t="shared" si="77"/>
        <v>261.88835286009646</v>
      </c>
      <c r="G16" s="3473"/>
      <c r="H16" s="2623">
        <v>3</v>
      </c>
      <c r="I16" s="2623">
        <v>4.12</v>
      </c>
      <c r="J16" s="2623">
        <v>2</v>
      </c>
      <c r="K16" s="2623">
        <v>4.79</v>
      </c>
      <c r="L16" s="2634">
        <v>1.97</v>
      </c>
      <c r="N16" s="2628">
        <f t="shared" ref="N16:Q50" si="78">I16/100</f>
        <v>4.1200000000000001E-2</v>
      </c>
      <c r="O16" s="2629">
        <f t="shared" si="74"/>
        <v>0.02</v>
      </c>
      <c r="P16" s="2629">
        <f t="shared" si="74"/>
        <v>4.7899999999999998E-2</v>
      </c>
      <c r="Q16" s="2629">
        <f t="shared" si="74"/>
        <v>1.9699999999999999E-2</v>
      </c>
      <c r="R16" s="2630"/>
      <c r="S16" s="2628"/>
      <c r="T16" s="2629"/>
      <c r="U16" s="2629"/>
      <c r="V16" s="2629"/>
      <c r="X16" s="2718">
        <f>ROUND(SUMPRODUCT(PRODUCT(1+N16:N$25)),4)</f>
        <v>1.2184999999999999</v>
      </c>
      <c r="Y16" s="2718">
        <f>ROUND(SUMPRODUCT(PRODUCT(1+O16:O$25)),4)</f>
        <v>1.1494</v>
      </c>
      <c r="Z16" s="2718">
        <f t="shared" si="0"/>
        <v>1.1494</v>
      </c>
      <c r="AA16" s="2718">
        <f>ROUND(SUMPRODUCT(PRODUCT(1+P16:P$25)),4)</f>
        <v>1.2425999999999999</v>
      </c>
      <c r="AB16" s="2718">
        <f>ROUND(SUMPRODUCT(PRODUCT(1+Q16:Q$25)),4)</f>
        <v>1.1372</v>
      </c>
      <c r="AD16" s="2638">
        <f>ROUND(AVERAGE(I16:I$26)/100,4)</f>
        <v>2.0899999999999998E-2</v>
      </c>
      <c r="AE16" s="2638">
        <f>ROUND(AVERAGE(J16:J$26)/100,4)</f>
        <v>1.49E-2</v>
      </c>
      <c r="AF16" s="2638">
        <f t="shared" si="1"/>
        <v>1.49E-2</v>
      </c>
      <c r="AG16" s="2638">
        <f>ROUND(AVERAGE(K16:K$26)/100,4)</f>
        <v>2.3099999999999999E-2</v>
      </c>
      <c r="AH16" s="2638">
        <f>ROUND(AVERAGE(L16:L$26)/100,4)</f>
        <v>1.2999999999999999E-2</v>
      </c>
    </row>
    <row r="17" spans="1:34">
      <c r="A17" s="2620" t="s">
        <v>958</v>
      </c>
      <c r="B17" s="2633">
        <f t="shared" si="75"/>
        <v>360.06949782209392</v>
      </c>
      <c r="C17" s="2633">
        <f t="shared" si="75"/>
        <v>289.84672674747821</v>
      </c>
      <c r="D17" s="2633">
        <f t="shared" si="76"/>
        <v>289.84672674747821</v>
      </c>
      <c r="E17" s="2633">
        <f t="shared" si="77"/>
        <v>501.06543001181495</v>
      </c>
      <c r="F17" s="2633">
        <f t="shared" si="77"/>
        <v>256.82882500744967</v>
      </c>
      <c r="G17" s="3473"/>
      <c r="H17" s="2624">
        <v>2</v>
      </c>
      <c r="I17" s="2624">
        <v>3.85</v>
      </c>
      <c r="J17" s="2624">
        <v>1.95</v>
      </c>
      <c r="K17" s="2624">
        <v>4.4800000000000004</v>
      </c>
      <c r="L17" s="2635">
        <v>1.41</v>
      </c>
      <c r="N17" s="2628">
        <f t="shared" si="78"/>
        <v>3.85E-2</v>
      </c>
      <c r="O17" s="2629">
        <f t="shared" si="74"/>
        <v>1.95E-2</v>
      </c>
      <c r="P17" s="2629">
        <f t="shared" si="74"/>
        <v>4.4800000000000006E-2</v>
      </c>
      <c r="Q17" s="2629">
        <f t="shared" si="74"/>
        <v>1.41E-2</v>
      </c>
      <c r="R17" s="2630"/>
      <c r="S17" s="2628"/>
      <c r="T17" s="2629"/>
      <c r="U17" s="2629"/>
      <c r="V17" s="2629"/>
      <c r="X17" s="2718">
        <f>ROUND(SUMPRODUCT(PRODUCT(1+N17:N$25)),4)</f>
        <v>1.1702999999999999</v>
      </c>
      <c r="Y17" s="2718">
        <f>ROUND(SUMPRODUCT(PRODUCT(1+O17:O$25)),4)</f>
        <v>1.1269</v>
      </c>
      <c r="Z17" s="2718">
        <f t="shared" si="0"/>
        <v>1.1269</v>
      </c>
      <c r="AA17" s="2718">
        <f>ROUND(SUMPRODUCT(PRODUCT(1+P17:P$25)),4)</f>
        <v>1.1858</v>
      </c>
      <c r="AB17" s="2718">
        <f>ROUND(SUMPRODUCT(PRODUCT(1+Q17:Q$25)),4)</f>
        <v>1.1152</v>
      </c>
      <c r="AD17" s="2638">
        <f>ROUND(AVERAGE(I17:I$26)/100,4)</f>
        <v>1.89E-2</v>
      </c>
      <c r="AE17" s="2638">
        <f>ROUND(AVERAGE(J17:J$26)/100,4)</f>
        <v>1.44E-2</v>
      </c>
      <c r="AF17" s="2638">
        <f t="shared" si="1"/>
        <v>1.44E-2</v>
      </c>
      <c r="AG17" s="2638">
        <f>ROUND(AVERAGE(K17:K$26)/100,4)</f>
        <v>2.06E-2</v>
      </c>
      <c r="AH17" s="2638">
        <f>ROUND(AVERAGE(L17:L$26)/100,4)</f>
        <v>1.23E-2</v>
      </c>
    </row>
    <row r="18" spans="1:34" ht="13.5" thickBot="1">
      <c r="A18" s="2620" t="s">
        <v>967</v>
      </c>
      <c r="B18" s="2633">
        <f t="shared" si="75"/>
        <v>346.720748986128</v>
      </c>
      <c r="C18" s="2633">
        <f t="shared" si="75"/>
        <v>284.30282172386285</v>
      </c>
      <c r="D18" s="2633">
        <f t="shared" si="76"/>
        <v>284.30282172386285</v>
      </c>
      <c r="E18" s="2633">
        <f t="shared" si="77"/>
        <v>479.58023546306947</v>
      </c>
      <c r="F18" s="2633">
        <f t="shared" si="77"/>
        <v>253.25788877571213</v>
      </c>
      <c r="G18" s="3474"/>
      <c r="H18" s="2623">
        <v>1</v>
      </c>
      <c r="I18" s="2623">
        <v>4.09</v>
      </c>
      <c r="J18" s="2623">
        <v>2.93</v>
      </c>
      <c r="K18" s="2623">
        <v>4.54</v>
      </c>
      <c r="L18" s="2634">
        <v>1.48</v>
      </c>
      <c r="N18" s="2628">
        <f t="shared" si="78"/>
        <v>4.0899999999999999E-2</v>
      </c>
      <c r="O18" s="2629">
        <f t="shared" si="74"/>
        <v>2.9300000000000003E-2</v>
      </c>
      <c r="P18" s="2629">
        <f t="shared" si="74"/>
        <v>4.5400000000000003E-2</v>
      </c>
      <c r="Q18" s="2629">
        <f t="shared" si="74"/>
        <v>1.4800000000000001E-2</v>
      </c>
      <c r="R18" s="2630"/>
      <c r="S18" s="2636">
        <f>B18/B19-1</f>
        <v>4.1203450408792808E-2</v>
      </c>
      <c r="T18" s="2637">
        <f>C18/C19-1</f>
        <v>2.6363977342465095E-2</v>
      </c>
      <c r="U18" s="2637">
        <f>E18/E19-1</f>
        <v>4.4837114298626357E-2</v>
      </c>
      <c r="V18" s="2637">
        <f>F18/F19-1</f>
        <v>1.7099954922538574E-2</v>
      </c>
      <c r="X18" s="2718">
        <f>ROUND(SUMPRODUCT(PRODUCT(1+N18:N$25)),4)</f>
        <v>1.1269</v>
      </c>
      <c r="Y18" s="2718">
        <f>ROUND(SUMPRODUCT(PRODUCT(1+O18:O$25)),4)</f>
        <v>1.1052999999999999</v>
      </c>
      <c r="Z18" s="2718">
        <f t="shared" si="0"/>
        <v>1.1052999999999999</v>
      </c>
      <c r="AA18" s="2718">
        <f>ROUND(SUMPRODUCT(PRODUCT(1+P18:P$25)),4)</f>
        <v>1.1349</v>
      </c>
      <c r="AB18" s="2718">
        <f>ROUND(SUMPRODUCT(PRODUCT(1+Q18:Q$25)),4)</f>
        <v>1.0996999999999999</v>
      </c>
      <c r="AD18" s="2638">
        <f>ROUND(AVERAGE(I18:I$26)/100,4)</f>
        <v>1.67E-2</v>
      </c>
      <c r="AE18" s="2638">
        <f>ROUND(AVERAGE(J18:J$26)/100,4)</f>
        <v>1.38E-2</v>
      </c>
      <c r="AF18" s="2638">
        <f t="shared" si="1"/>
        <v>1.38E-2</v>
      </c>
      <c r="AG18" s="2638">
        <f>ROUND(AVERAGE(K18:K$26)/100,4)</f>
        <v>1.7899999999999999E-2</v>
      </c>
      <c r="AH18" s="2638">
        <f>ROUND(AVERAGE(L18:L$26)/100,4)</f>
        <v>1.21E-2</v>
      </c>
    </row>
    <row r="19" spans="1:34" ht="13.5" thickBot="1">
      <c r="A19" s="2620" t="s">
        <v>966</v>
      </c>
      <c r="B19" s="2625">
        <v>333</v>
      </c>
      <c r="C19" s="2625">
        <v>277</v>
      </c>
      <c r="D19" s="2625">
        <f t="shared" si="76"/>
        <v>277</v>
      </c>
      <c r="E19" s="2625">
        <v>459</v>
      </c>
      <c r="F19" s="2626">
        <v>249</v>
      </c>
      <c r="G19" s="3472">
        <v>2015</v>
      </c>
      <c r="H19" s="2639">
        <v>4</v>
      </c>
      <c r="I19" s="2639">
        <v>1.63</v>
      </c>
      <c r="J19" s="2639">
        <v>1.1100000000000001</v>
      </c>
      <c r="K19" s="2639">
        <v>1.77</v>
      </c>
      <c r="L19" s="2640">
        <v>1.89</v>
      </c>
      <c r="N19" s="2641">
        <f t="shared" si="78"/>
        <v>1.6299999999999999E-2</v>
      </c>
      <c r="O19" s="2642">
        <f t="shared" si="74"/>
        <v>1.11E-2</v>
      </c>
      <c r="P19" s="2642">
        <f t="shared" si="74"/>
        <v>1.77E-2</v>
      </c>
      <c r="Q19" s="2642">
        <f t="shared" si="74"/>
        <v>1.89E-2</v>
      </c>
      <c r="R19" s="2630"/>
      <c r="X19" s="2718">
        <f>ROUND(SUMPRODUCT(PRODUCT(1+N19:N$25)),4)</f>
        <v>1.0826</v>
      </c>
      <c r="Y19" s="2718">
        <f>ROUND(SUMPRODUCT(PRODUCT(1+O19:O$25)),4)</f>
        <v>1.0738000000000001</v>
      </c>
      <c r="Z19" s="2718">
        <f t="shared" si="0"/>
        <v>1.0738000000000001</v>
      </c>
      <c r="AA19" s="2718">
        <f>ROUND(SUMPRODUCT(PRODUCT(1+P19:P$25)),4)</f>
        <v>1.0855999999999999</v>
      </c>
      <c r="AB19" s="2718">
        <f>ROUND(SUMPRODUCT(PRODUCT(1+Q19:Q$25)),4)</f>
        <v>1.0837000000000001</v>
      </c>
      <c r="AD19" s="2638">
        <f>ROUND(AVERAGE(I19:I$26)/100,4)</f>
        <v>1.37E-2</v>
      </c>
      <c r="AE19" s="2638">
        <f>ROUND(AVERAGE(J19:J$26)/100,4)</f>
        <v>1.1900000000000001E-2</v>
      </c>
      <c r="AF19" s="2638">
        <f t="shared" si="1"/>
        <v>1.1900000000000001E-2</v>
      </c>
      <c r="AG19" s="2638">
        <f>ROUND(AVERAGE(K19:K$26)/100,4)</f>
        <v>1.4500000000000001E-2</v>
      </c>
      <c r="AH19" s="2638">
        <f>ROUND(AVERAGE(L19:L$26)/100,4)</f>
        <v>1.18E-2</v>
      </c>
    </row>
    <row r="20" spans="1:34">
      <c r="A20" s="2620" t="s">
        <v>965</v>
      </c>
      <c r="B20" s="2633">
        <f t="shared" ref="B20:C22" si="79">B19/(1+N19)</f>
        <v>327.65915576109415</v>
      </c>
      <c r="C20" s="2633">
        <f t="shared" si="79"/>
        <v>273.95905449510434</v>
      </c>
      <c r="D20" s="2633">
        <f t="shared" si="76"/>
        <v>273.95905449510434</v>
      </c>
      <c r="E20" s="2633">
        <f t="shared" ref="E20:F22" si="80">E19/(1+P19)</f>
        <v>451.01699911565294</v>
      </c>
      <c r="F20" s="2633">
        <f t="shared" si="80"/>
        <v>244.38119540681129</v>
      </c>
      <c r="G20" s="3473"/>
      <c r="H20" s="2644">
        <v>3</v>
      </c>
      <c r="I20" s="2644">
        <v>1.65</v>
      </c>
      <c r="J20" s="2644">
        <v>0.92</v>
      </c>
      <c r="K20" s="2644">
        <v>1.88</v>
      </c>
      <c r="L20" s="2645">
        <v>1.26</v>
      </c>
      <c r="N20" s="2628">
        <f t="shared" si="78"/>
        <v>1.6500000000000001E-2</v>
      </c>
      <c r="O20" s="2646">
        <f t="shared" si="74"/>
        <v>9.1999999999999998E-3</v>
      </c>
      <c r="P20" s="2646">
        <f t="shared" si="74"/>
        <v>1.8799999999999997E-2</v>
      </c>
      <c r="Q20" s="2646">
        <f t="shared" si="74"/>
        <v>1.26E-2</v>
      </c>
      <c r="R20" s="2630"/>
      <c r="S20" s="2628"/>
      <c r="T20" s="2629"/>
      <c r="U20" s="2629"/>
      <c r="V20" s="2629"/>
      <c r="X20" s="2718">
        <f>ROUND(SUMPRODUCT(PRODUCT(1+N20:N$25)),4)</f>
        <v>1.0651999999999999</v>
      </c>
      <c r="Y20" s="2718">
        <f>ROUND(SUMPRODUCT(PRODUCT(1+O20:O$25)),4)</f>
        <v>1.0621</v>
      </c>
      <c r="Z20" s="2718">
        <f t="shared" si="0"/>
        <v>1.0621</v>
      </c>
      <c r="AA20" s="2718">
        <f>ROUND(SUMPRODUCT(PRODUCT(1+P20:P$25)),4)</f>
        <v>1.0668</v>
      </c>
      <c r="AB20" s="2718">
        <f>ROUND(SUMPRODUCT(PRODUCT(1+Q20:Q$25)),4)</f>
        <v>1.0636000000000001</v>
      </c>
      <c r="AD20" s="2638">
        <f>ROUND(AVERAGE(I20:I$26)/100,4)</f>
        <v>1.3299999999999999E-2</v>
      </c>
      <c r="AE20" s="2638">
        <f>ROUND(AVERAGE(J20:J$26)/100,4)</f>
        <v>1.2E-2</v>
      </c>
      <c r="AF20" s="2638">
        <f t="shared" si="1"/>
        <v>1.2E-2</v>
      </c>
      <c r="AG20" s="2638">
        <f>ROUND(AVERAGE(K20:K$26)/100,4)</f>
        <v>1.4E-2</v>
      </c>
      <c r="AH20" s="2638">
        <f>ROUND(AVERAGE(L20:L$26)/100,4)</f>
        <v>1.0800000000000001E-2</v>
      </c>
    </row>
    <row r="21" spans="1:34">
      <c r="A21" s="2620" t="s">
        <v>964</v>
      </c>
      <c r="B21" s="2633">
        <f t="shared" si="79"/>
        <v>322.34053690220776</v>
      </c>
      <c r="C21" s="2633">
        <f t="shared" si="79"/>
        <v>271.46160770422546</v>
      </c>
      <c r="D21" s="2633">
        <f t="shared" si="76"/>
        <v>271.46160770422546</v>
      </c>
      <c r="E21" s="2633">
        <f t="shared" si="80"/>
        <v>442.69434542172456</v>
      </c>
      <c r="F21" s="2633">
        <f t="shared" si="80"/>
        <v>241.34030753190925</v>
      </c>
      <c r="G21" s="3473"/>
      <c r="H21" s="2624">
        <v>2</v>
      </c>
      <c r="I21" s="2624">
        <v>0.77</v>
      </c>
      <c r="J21" s="2624">
        <v>0.69</v>
      </c>
      <c r="K21" s="2624">
        <v>0.8</v>
      </c>
      <c r="L21" s="2635">
        <v>0.88</v>
      </c>
      <c r="N21" s="2628">
        <f t="shared" si="78"/>
        <v>7.7000000000000002E-3</v>
      </c>
      <c r="O21" s="2646">
        <f t="shared" si="74"/>
        <v>6.8999999999999999E-3</v>
      </c>
      <c r="P21" s="2646">
        <f t="shared" si="74"/>
        <v>8.0000000000000002E-3</v>
      </c>
      <c r="Q21" s="2646">
        <f t="shared" si="74"/>
        <v>8.8000000000000005E-3</v>
      </c>
      <c r="R21" s="2630"/>
      <c r="S21" s="2628"/>
      <c r="T21" s="2629"/>
      <c r="U21" s="2629"/>
      <c r="V21" s="2629"/>
      <c r="X21" s="2718">
        <f>ROUND(SUMPRODUCT(PRODUCT(1+N21:N$25)),4)</f>
        <v>1.048</v>
      </c>
      <c r="Y21" s="2718">
        <f>ROUND(SUMPRODUCT(PRODUCT(1+O21:O$25)),4)</f>
        <v>1.0524</v>
      </c>
      <c r="Z21" s="2718">
        <f t="shared" si="0"/>
        <v>1.0524</v>
      </c>
      <c r="AA21" s="2718">
        <f>ROUND(SUMPRODUCT(PRODUCT(1+P21:P$25)),4)</f>
        <v>1.0470999999999999</v>
      </c>
      <c r="AB21" s="2718">
        <f>ROUND(SUMPRODUCT(PRODUCT(1+Q21:Q$25)),4)</f>
        <v>1.0504</v>
      </c>
      <c r="AD21" s="2638">
        <f>ROUND(AVERAGE(I21:I$26)/100,4)</f>
        <v>1.2800000000000001E-2</v>
      </c>
      <c r="AE21" s="2638">
        <f>ROUND(AVERAGE(J21:J$26)/100,4)</f>
        <v>1.2500000000000001E-2</v>
      </c>
      <c r="AF21" s="2638">
        <f t="shared" si="1"/>
        <v>1.2500000000000001E-2</v>
      </c>
      <c r="AG21" s="2638">
        <f>ROUND(AVERAGE(K21:K$26)/100,4)</f>
        <v>1.32E-2</v>
      </c>
      <c r="AH21" s="2638">
        <f>ROUND(AVERAGE(L21:L$26)/100,4)</f>
        <v>1.0500000000000001E-2</v>
      </c>
    </row>
    <row r="22" spans="1:34">
      <c r="A22" s="2620" t="s">
        <v>963</v>
      </c>
      <c r="B22" s="2633">
        <f t="shared" si="79"/>
        <v>319.87748030386797</v>
      </c>
      <c r="C22" s="2633">
        <f t="shared" si="79"/>
        <v>269.60135833173649</v>
      </c>
      <c r="D22" s="2633">
        <f t="shared" si="76"/>
        <v>269.60135833173649</v>
      </c>
      <c r="E22" s="2633">
        <f t="shared" si="80"/>
        <v>439.18089823583784</v>
      </c>
      <c r="F22" s="2633">
        <f t="shared" si="80"/>
        <v>239.23503918706311</v>
      </c>
      <c r="G22" s="3474"/>
      <c r="H22" s="2623">
        <v>1</v>
      </c>
      <c r="I22" s="2623">
        <v>0.51</v>
      </c>
      <c r="J22" s="2623">
        <v>0.54</v>
      </c>
      <c r="K22" s="2623">
        <v>0.48</v>
      </c>
      <c r="L22" s="2634">
        <v>0.93</v>
      </c>
      <c r="N22" s="2636">
        <f t="shared" si="78"/>
        <v>5.1000000000000004E-3</v>
      </c>
      <c r="O22" s="2637">
        <f t="shared" si="74"/>
        <v>5.4000000000000003E-3</v>
      </c>
      <c r="P22" s="2637">
        <f t="shared" si="74"/>
        <v>4.7999999999999996E-3</v>
      </c>
      <c r="Q22" s="2637">
        <f t="shared" si="74"/>
        <v>9.300000000000001E-3</v>
      </c>
      <c r="R22" s="2630"/>
      <c r="S22" s="2636">
        <f>B22/B23-1</f>
        <v>5.9040261127922822E-3</v>
      </c>
      <c r="T22" s="2637">
        <f>C22/C23-1</f>
        <v>5.9752176557332781E-3</v>
      </c>
      <c r="U22" s="2637">
        <f>E22/E23-1</f>
        <v>4.9906138119859556E-3</v>
      </c>
      <c r="V22" s="2637">
        <f>F22/F23-1</f>
        <v>9.4305450930933787E-3</v>
      </c>
      <c r="X22" s="2718">
        <f>ROUND(SUMPRODUCT(PRODUCT(1+N22:N$25)),4)</f>
        <v>1.0399</v>
      </c>
      <c r="Y22" s="2718">
        <f>ROUND(SUMPRODUCT(PRODUCT(1+O22:O$25)),4)</f>
        <v>1.0451999999999999</v>
      </c>
      <c r="Z22" s="2718">
        <f t="shared" si="0"/>
        <v>1.0451999999999999</v>
      </c>
      <c r="AA22" s="2718">
        <f>ROUND(SUMPRODUCT(PRODUCT(1+P22:P$25)),4)</f>
        <v>1.0387999999999999</v>
      </c>
      <c r="AB22" s="2718">
        <f>ROUND(SUMPRODUCT(PRODUCT(1+Q22:Q$25)),4)</f>
        <v>1.0411999999999999</v>
      </c>
      <c r="AD22" s="2638">
        <f>ROUND(AVERAGE(I22:I$26)/100,4)</f>
        <v>1.38E-2</v>
      </c>
      <c r="AE22" s="2638">
        <f>ROUND(AVERAGE(J22:J$26)/100,4)</f>
        <v>1.3599999999999999E-2</v>
      </c>
      <c r="AF22" s="2638">
        <f t="shared" si="1"/>
        <v>1.3599999999999999E-2</v>
      </c>
      <c r="AG22" s="2638">
        <f>ROUND(AVERAGE(K22:K$26)/100,4)</f>
        <v>1.4200000000000001E-2</v>
      </c>
      <c r="AH22" s="2638">
        <f>ROUND(AVERAGE(L22:L$26)/100,4)</f>
        <v>1.0800000000000001E-2</v>
      </c>
    </row>
    <row r="23" spans="1:34" ht="13.5" thickBot="1">
      <c r="A23" s="2620" t="s">
        <v>962</v>
      </c>
      <c r="B23" s="2647">
        <v>318</v>
      </c>
      <c r="C23" s="2647">
        <v>268</v>
      </c>
      <c r="D23" s="2647">
        <f t="shared" si="76"/>
        <v>268</v>
      </c>
      <c r="E23" s="2647">
        <v>437</v>
      </c>
      <c r="F23" s="2648">
        <v>237</v>
      </c>
      <c r="G23" s="3472">
        <v>2014</v>
      </c>
      <c r="H23" s="2639">
        <v>4</v>
      </c>
      <c r="I23" s="2639">
        <v>0.21</v>
      </c>
      <c r="J23" s="2639">
        <v>0.41</v>
      </c>
      <c r="K23" s="2639">
        <v>0.12</v>
      </c>
      <c r="L23" s="2640">
        <v>0.89</v>
      </c>
      <c r="N23" s="2628">
        <f t="shared" si="78"/>
        <v>2.0999999999999999E-3</v>
      </c>
      <c r="O23" s="2629">
        <f t="shared" si="74"/>
        <v>4.0999999999999995E-3</v>
      </c>
      <c r="P23" s="2629">
        <f t="shared" si="74"/>
        <v>1.1999999999999999E-3</v>
      </c>
      <c r="Q23" s="2629">
        <f t="shared" si="74"/>
        <v>8.8999999999999999E-3</v>
      </c>
      <c r="R23" s="2630"/>
      <c r="S23" s="2631"/>
      <c r="T23" s="2632"/>
      <c r="U23" s="2632"/>
      <c r="V23" s="2632"/>
      <c r="X23" s="2718">
        <f>ROUND(SUMPRODUCT(PRODUCT(1+N23:N$25)),4)</f>
        <v>1.0347</v>
      </c>
      <c r="Y23" s="2718">
        <f>ROUND(SUMPRODUCT(PRODUCT(1+O23:O$25)),4)</f>
        <v>1.0395000000000001</v>
      </c>
      <c r="Z23" s="2718">
        <f t="shared" si="0"/>
        <v>1.0395000000000001</v>
      </c>
      <c r="AA23" s="2718">
        <f>ROUND(SUMPRODUCT(PRODUCT(1+P23:P$25)),4)</f>
        <v>1.0338000000000001</v>
      </c>
      <c r="AB23" s="2718">
        <f>ROUND(SUMPRODUCT(PRODUCT(1+Q23:Q$25)),4)</f>
        <v>1.0316000000000001</v>
      </c>
      <c r="AD23" s="2638">
        <f>ROUND(AVERAGE(I23:I$26)/100,4)</f>
        <v>1.6E-2</v>
      </c>
      <c r="AE23" s="2638">
        <f>ROUND(AVERAGE(J23:J$26)/100,4)</f>
        <v>1.5599999999999999E-2</v>
      </c>
      <c r="AF23" s="2638">
        <f t="shared" si="1"/>
        <v>1.5599999999999999E-2</v>
      </c>
      <c r="AG23" s="2638">
        <f>ROUND(AVERAGE(K23:K$26)/100,4)</f>
        <v>1.66E-2</v>
      </c>
      <c r="AH23" s="2638">
        <f>ROUND(AVERAGE(L23:L$26)/100,4)</f>
        <v>1.12E-2</v>
      </c>
    </row>
    <row r="24" spans="1:34">
      <c r="A24" s="2620" t="s">
        <v>961</v>
      </c>
      <c r="B24" s="2633">
        <f t="shared" ref="B24:C26" si="81">B23/(1+N23)</f>
        <v>317.33359944117353</v>
      </c>
      <c r="C24" s="2633">
        <f t="shared" si="81"/>
        <v>266.90568668459315</v>
      </c>
      <c r="D24" s="2633">
        <f t="shared" si="76"/>
        <v>266.90568668459315</v>
      </c>
      <c r="E24" s="2633">
        <f t="shared" ref="E24:F26" si="82">E23/(1+P23)</f>
        <v>436.47622852576905</v>
      </c>
      <c r="F24" s="2633">
        <f t="shared" si="82"/>
        <v>234.90930716622066</v>
      </c>
      <c r="G24" s="3473"/>
      <c r="H24" s="2649">
        <v>3</v>
      </c>
      <c r="I24" s="2649">
        <v>0.83</v>
      </c>
      <c r="J24" s="2649">
        <v>1.47</v>
      </c>
      <c r="K24" s="2649">
        <v>0.65</v>
      </c>
      <c r="L24" s="2650">
        <v>0.72</v>
      </c>
      <c r="N24" s="2628">
        <f t="shared" si="78"/>
        <v>8.3000000000000001E-3</v>
      </c>
      <c r="O24" s="2629">
        <f t="shared" si="74"/>
        <v>1.47E-2</v>
      </c>
      <c r="P24" s="2629">
        <f t="shared" si="74"/>
        <v>6.5000000000000006E-3</v>
      </c>
      <c r="Q24" s="2629">
        <f t="shared" si="74"/>
        <v>7.1999999999999998E-3</v>
      </c>
      <c r="R24" s="2630"/>
      <c r="S24" s="2628"/>
      <c r="T24" s="2629"/>
      <c r="U24" s="2629"/>
      <c r="V24" s="2629"/>
      <c r="X24" s="2718">
        <f>ROUND(SUMPRODUCT(PRODUCT(1+N24:N$25)),4)</f>
        <v>1.0325</v>
      </c>
      <c r="Y24" s="2718">
        <f>ROUND(SUMPRODUCT(PRODUCT(1+O24:O$25)),4)</f>
        <v>1.0353000000000001</v>
      </c>
      <c r="Z24" s="2718">
        <f t="shared" ref="Z24:Z25" si="83">Y24</f>
        <v>1.0353000000000001</v>
      </c>
      <c r="AA24" s="2718">
        <f>ROUND(SUMPRODUCT(PRODUCT(1+P24:P$25)),4)</f>
        <v>1.0326</v>
      </c>
      <c r="AB24" s="2718">
        <f>ROUND(SUMPRODUCT(PRODUCT(1+Q24:Q$25)),4)</f>
        <v>1.0225</v>
      </c>
      <c r="AD24" s="2638">
        <f>ROUND(AVERAGE(I24:I$26)/100,4)</f>
        <v>2.07E-2</v>
      </c>
      <c r="AE24" s="2638">
        <f>ROUND(AVERAGE(J24:J$26)/100,4)</f>
        <v>1.95E-2</v>
      </c>
      <c r="AF24" s="2638">
        <f t="shared" si="1"/>
        <v>1.95E-2</v>
      </c>
      <c r="AG24" s="2638">
        <f>ROUND(AVERAGE(K24:K$26)/100,4)</f>
        <v>2.1700000000000001E-2</v>
      </c>
      <c r="AH24" s="2638">
        <f>ROUND(AVERAGE(L24:L$26)/100,4)</f>
        <v>1.2E-2</v>
      </c>
    </row>
    <row r="25" spans="1:34" ht="13.5" thickBot="1">
      <c r="A25" s="2620" t="s">
        <v>960</v>
      </c>
      <c r="B25" s="2633">
        <f t="shared" si="81"/>
        <v>314.72141172386546</v>
      </c>
      <c r="C25" s="2633">
        <f t="shared" si="81"/>
        <v>263.03901319069001</v>
      </c>
      <c r="D25" s="2633">
        <f t="shared" si="76"/>
        <v>263.03901319069001</v>
      </c>
      <c r="E25" s="2633">
        <f t="shared" si="82"/>
        <v>433.65745506782821</v>
      </c>
      <c r="F25" s="2633">
        <f t="shared" si="82"/>
        <v>233.23005080045735</v>
      </c>
      <c r="G25" s="3473"/>
      <c r="H25" s="2639">
        <v>2</v>
      </c>
      <c r="I25" s="2639">
        <v>2.4</v>
      </c>
      <c r="J25" s="2639">
        <v>2.0299999999999998</v>
      </c>
      <c r="K25" s="2639">
        <v>2.59</v>
      </c>
      <c r="L25" s="2640">
        <v>1.52</v>
      </c>
      <c r="N25" s="2628">
        <f t="shared" si="78"/>
        <v>2.4E-2</v>
      </c>
      <c r="O25" s="2629">
        <f t="shared" si="74"/>
        <v>2.0299999999999999E-2</v>
      </c>
      <c r="P25" s="2629">
        <f t="shared" si="74"/>
        <v>2.5899999999999999E-2</v>
      </c>
      <c r="Q25" s="2629">
        <f t="shared" si="74"/>
        <v>1.52E-2</v>
      </c>
      <c r="R25" s="2630"/>
      <c r="S25" s="2628"/>
      <c r="T25" s="2629"/>
      <c r="U25" s="2629"/>
      <c r="V25" s="2629"/>
      <c r="X25" s="2718">
        <f>1+N25</f>
        <v>1.024</v>
      </c>
      <c r="Y25" s="2718">
        <f>1+O25</f>
        <v>1.0203</v>
      </c>
      <c r="Z25" s="2718">
        <f t="shared" si="83"/>
        <v>1.0203</v>
      </c>
      <c r="AA25" s="2718">
        <f>1+P25</f>
        <v>1.0259</v>
      </c>
      <c r="AB25" s="2718">
        <f>1+Q25</f>
        <v>1.0152000000000001</v>
      </c>
      <c r="AD25" s="2638">
        <f>ROUND(AVERAGE(I25:I$26)/100,4)</f>
        <v>2.69E-2</v>
      </c>
      <c r="AE25" s="2638">
        <f>ROUND(AVERAGE(J25:J$26)/100,4)</f>
        <v>2.1899999999999999E-2</v>
      </c>
      <c r="AF25" s="2638">
        <f t="shared" ref="AF25" si="84">AE25</f>
        <v>2.1899999999999999E-2</v>
      </c>
      <c r="AG25" s="2638">
        <f>ROUND(AVERAGE(K25:K$26)/100,4)</f>
        <v>2.9399999999999999E-2</v>
      </c>
      <c r="AH25" s="2638">
        <f>ROUND(AVERAGE(L25:L$26)/100,4)</f>
        <v>1.44E-2</v>
      </c>
    </row>
    <row r="26" spans="1:34" s="2655" customFormat="1" ht="13.5" thickBot="1">
      <c r="A26" s="2651" t="s">
        <v>959</v>
      </c>
      <c r="B26" s="2652">
        <f t="shared" si="81"/>
        <v>307.34512863658733</v>
      </c>
      <c r="C26" s="2652">
        <f t="shared" si="81"/>
        <v>257.80556031626975</v>
      </c>
      <c r="D26" s="2652">
        <f t="shared" si="76"/>
        <v>257.80556031626975</v>
      </c>
      <c r="E26" s="2652">
        <f t="shared" si="82"/>
        <v>422.70928459677179</v>
      </c>
      <c r="F26" s="2652">
        <f t="shared" si="82"/>
        <v>229.73803270336617</v>
      </c>
      <c r="G26" s="3474"/>
      <c r="H26" s="2653">
        <v>1</v>
      </c>
      <c r="I26" s="2653">
        <v>2.97</v>
      </c>
      <c r="J26" s="2653">
        <v>2.34</v>
      </c>
      <c r="K26" s="2653">
        <v>3.28</v>
      </c>
      <c r="L26" s="2654">
        <v>1.36</v>
      </c>
      <c r="N26" s="2656">
        <f t="shared" si="78"/>
        <v>2.9700000000000001E-2</v>
      </c>
      <c r="O26" s="2657">
        <f t="shared" si="74"/>
        <v>2.3399999999999997E-2</v>
      </c>
      <c r="P26" s="2657">
        <f t="shared" si="74"/>
        <v>3.2799999999999996E-2</v>
      </c>
      <c r="Q26" s="2657">
        <f t="shared" si="74"/>
        <v>1.3600000000000001E-2</v>
      </c>
      <c r="R26" s="2658"/>
      <c r="S26" s="2659">
        <f>B26/B27-1</f>
        <v>2.7910129219355539E-2</v>
      </c>
      <c r="T26" s="2660">
        <f>C26/C27-1</f>
        <v>2.3037937762975247E-2</v>
      </c>
      <c r="U26" s="2660">
        <f>E26/E27-1</f>
        <v>3.3519033243940788E-2</v>
      </c>
      <c r="V26" s="2660">
        <f>F26/F27-1</f>
        <v>1.2061818076502862E-2</v>
      </c>
      <c r="W26" s="2727" t="s">
        <v>2636</v>
      </c>
      <c r="X26" s="2729">
        <v>1</v>
      </c>
      <c r="Y26" s="2729">
        <v>1</v>
      </c>
      <c r="Z26" s="2729">
        <v>1</v>
      </c>
      <c r="AA26" s="2729">
        <v>1</v>
      </c>
      <c r="AB26" s="2729">
        <v>1</v>
      </c>
      <c r="AD26" s="2962">
        <f>I26/100</f>
        <v>2.9700000000000001E-2</v>
      </c>
      <c r="AE26" s="2962">
        <f>J26/100</f>
        <v>2.3399999999999997E-2</v>
      </c>
      <c r="AF26" s="2962">
        <f>AE26</f>
        <v>2.3399999999999997E-2</v>
      </c>
      <c r="AG26" s="2962">
        <f>K26/100</f>
        <v>3.2799999999999996E-2</v>
      </c>
      <c r="AH26" s="2962">
        <f>L26/100</f>
        <v>1.3600000000000001E-2</v>
      </c>
    </row>
    <row r="27" spans="1:34" ht="13.5" thickBot="1">
      <c r="A27" s="2620" t="s">
        <v>2579</v>
      </c>
      <c r="B27" s="2625">
        <v>299</v>
      </c>
      <c r="C27" s="2625">
        <v>252</v>
      </c>
      <c r="D27" s="2625">
        <f t="shared" si="76"/>
        <v>252</v>
      </c>
      <c r="E27" s="2625">
        <v>409</v>
      </c>
      <c r="F27" s="2626">
        <v>227</v>
      </c>
      <c r="G27" s="3475">
        <v>2013</v>
      </c>
      <c r="H27" s="2661">
        <v>4</v>
      </c>
      <c r="I27" s="2661">
        <v>1.83</v>
      </c>
      <c r="J27" s="2661">
        <v>1.68</v>
      </c>
      <c r="K27" s="2661">
        <v>1.97</v>
      </c>
      <c r="L27" s="2662">
        <v>0.87</v>
      </c>
      <c r="N27" s="2641">
        <f t="shared" si="78"/>
        <v>1.83E-2</v>
      </c>
      <c r="O27" s="2642">
        <f t="shared" si="74"/>
        <v>1.6799999999999999E-2</v>
      </c>
      <c r="P27" s="2642">
        <f t="shared" si="74"/>
        <v>1.9699999999999999E-2</v>
      </c>
      <c r="Q27" s="2642">
        <f t="shared" si="74"/>
        <v>8.6999999999999994E-3</v>
      </c>
      <c r="R27" s="2630"/>
      <c r="S27" s="2631"/>
      <c r="T27" s="2632"/>
      <c r="U27" s="2632"/>
      <c r="V27" s="2632"/>
      <c r="X27" s="2632"/>
      <c r="Y27" s="2632"/>
      <c r="Z27" s="2632"/>
    </row>
    <row r="28" spans="1:34">
      <c r="A28" s="2620" t="s">
        <v>2580</v>
      </c>
      <c r="B28" s="2633">
        <f t="shared" ref="B28:C30" si="85">B27/(1+N27)</f>
        <v>293.62663262299913</v>
      </c>
      <c r="C28" s="2633">
        <f t="shared" si="85"/>
        <v>247.83634933123525</v>
      </c>
      <c r="D28" s="2633">
        <f t="shared" si="76"/>
        <v>247.83634933123525</v>
      </c>
      <c r="E28" s="2633">
        <f t="shared" ref="E28:F30" si="86">E27/(1+P27)</f>
        <v>401.09836226341076</v>
      </c>
      <c r="F28" s="2633">
        <f t="shared" si="86"/>
        <v>225.04213343908003</v>
      </c>
      <c r="G28" s="3476"/>
      <c r="H28" s="2644">
        <v>3</v>
      </c>
      <c r="I28" s="2644">
        <v>1.86</v>
      </c>
      <c r="J28" s="2644">
        <v>1.72</v>
      </c>
      <c r="K28" s="2644">
        <v>1.98</v>
      </c>
      <c r="L28" s="2645">
        <v>0.88</v>
      </c>
      <c r="N28" s="2628">
        <f t="shared" si="78"/>
        <v>1.8600000000000002E-2</v>
      </c>
      <c r="O28" s="2646">
        <f t="shared" si="74"/>
        <v>1.72E-2</v>
      </c>
      <c r="P28" s="2646">
        <f t="shared" si="74"/>
        <v>1.9799999999999998E-2</v>
      </c>
      <c r="Q28" s="2646">
        <f t="shared" si="74"/>
        <v>8.8000000000000005E-3</v>
      </c>
      <c r="R28" s="2630"/>
      <c r="S28" s="2628"/>
      <c r="T28" s="2629"/>
      <c r="U28" s="2629"/>
      <c r="V28" s="2629"/>
    </row>
    <row r="29" spans="1:34">
      <c r="A29" s="2620" t="s">
        <v>2581</v>
      </c>
      <c r="B29" s="2633">
        <f t="shared" si="85"/>
        <v>288.2649053828776</v>
      </c>
      <c r="C29" s="2633">
        <f t="shared" si="85"/>
        <v>243.64564425013293</v>
      </c>
      <c r="D29" s="2633">
        <f t="shared" si="76"/>
        <v>243.64564425013293</v>
      </c>
      <c r="E29" s="2633">
        <f t="shared" si="86"/>
        <v>393.31080825986544</v>
      </c>
      <c r="F29" s="2633">
        <f t="shared" si="86"/>
        <v>223.07903790551154</v>
      </c>
      <c r="G29" s="3476"/>
      <c r="H29" s="2624">
        <v>2</v>
      </c>
      <c r="I29" s="2624">
        <v>2.04</v>
      </c>
      <c r="J29" s="2624">
        <v>2.33</v>
      </c>
      <c r="K29" s="2624">
        <v>2.0699999999999998</v>
      </c>
      <c r="L29" s="2635">
        <v>0.69</v>
      </c>
      <c r="N29" s="2628">
        <f t="shared" si="78"/>
        <v>2.0400000000000001E-2</v>
      </c>
      <c r="O29" s="2646">
        <f t="shared" si="74"/>
        <v>2.3300000000000001E-2</v>
      </c>
      <c r="P29" s="2646">
        <f t="shared" si="74"/>
        <v>2.07E-2</v>
      </c>
      <c r="Q29" s="2646">
        <f t="shared" si="74"/>
        <v>6.8999999999999999E-3</v>
      </c>
      <c r="R29" s="2630"/>
      <c r="S29" s="2628"/>
      <c r="T29" s="2629"/>
      <c r="U29" s="2629"/>
      <c r="V29" s="2629"/>
      <c r="X29" s="2730"/>
      <c r="Y29" s="2732"/>
    </row>
    <row r="30" spans="1:34">
      <c r="A30" s="2620" t="s">
        <v>2582</v>
      </c>
      <c r="B30" s="2633">
        <f t="shared" si="85"/>
        <v>282.50186729015837</v>
      </c>
      <c r="C30" s="2633">
        <f t="shared" si="85"/>
        <v>238.09796174155468</v>
      </c>
      <c r="D30" s="2633">
        <f t="shared" si="76"/>
        <v>238.09796174155468</v>
      </c>
      <c r="E30" s="2633">
        <f t="shared" si="86"/>
        <v>385.33438646014054</v>
      </c>
      <c r="F30" s="2633">
        <f t="shared" si="86"/>
        <v>221.55034055567739</v>
      </c>
      <c r="G30" s="3477"/>
      <c r="H30" s="2623">
        <v>1</v>
      </c>
      <c r="I30" s="2623">
        <v>1.67</v>
      </c>
      <c r="J30" s="2623">
        <v>1.31</v>
      </c>
      <c r="K30" s="2623">
        <v>1.85</v>
      </c>
      <c r="L30" s="2634">
        <v>0.96</v>
      </c>
      <c r="N30" s="2636">
        <f t="shared" si="78"/>
        <v>1.67E-2</v>
      </c>
      <c r="O30" s="2637">
        <f t="shared" si="74"/>
        <v>1.3100000000000001E-2</v>
      </c>
      <c r="P30" s="2637">
        <f t="shared" si="74"/>
        <v>1.8500000000000003E-2</v>
      </c>
      <c r="Q30" s="2637">
        <f t="shared" si="74"/>
        <v>9.5999999999999992E-3</v>
      </c>
      <c r="R30" s="2630"/>
      <c r="S30" s="2636">
        <f>B30/B31-1</f>
        <v>1.6193767230785472E-2</v>
      </c>
      <c r="T30" s="2637">
        <f>C30/C31-1</f>
        <v>1.7512657015190891E-2</v>
      </c>
      <c r="U30" s="2637">
        <f>E30/E31-1</f>
        <v>1.6713420739157048E-2</v>
      </c>
      <c r="V30" s="2637">
        <f>F30/F31-1</f>
        <v>7.0470025258062563E-3</v>
      </c>
      <c r="X30" s="2731"/>
      <c r="Y30" s="2638"/>
      <c r="Z30" s="2638"/>
    </row>
    <row r="31" spans="1:34" ht="13.5" thickBot="1">
      <c r="A31" s="2620" t="s">
        <v>2583</v>
      </c>
      <c r="B31" s="2663">
        <v>278</v>
      </c>
      <c r="C31" s="2663">
        <v>234</v>
      </c>
      <c r="D31" s="2663">
        <f t="shared" si="76"/>
        <v>234</v>
      </c>
      <c r="E31" s="2663">
        <v>379</v>
      </c>
      <c r="F31" s="2664">
        <v>220</v>
      </c>
      <c r="G31" s="3472">
        <v>2012</v>
      </c>
      <c r="H31" s="2639">
        <v>4</v>
      </c>
      <c r="I31" s="2639">
        <v>0.91</v>
      </c>
      <c r="J31" s="2639">
        <v>0.68</v>
      </c>
      <c r="K31" s="2639">
        <v>0.98</v>
      </c>
      <c r="L31" s="2640">
        <v>0.9</v>
      </c>
      <c r="N31" s="2628">
        <f t="shared" si="78"/>
        <v>9.1000000000000004E-3</v>
      </c>
      <c r="O31" s="2629">
        <f t="shared" si="78"/>
        <v>6.8000000000000005E-3</v>
      </c>
      <c r="P31" s="2629">
        <f t="shared" si="78"/>
        <v>9.7999999999999997E-3</v>
      </c>
      <c r="Q31" s="2629">
        <f t="shared" si="78"/>
        <v>9.0000000000000011E-3</v>
      </c>
      <c r="R31" s="2630"/>
      <c r="S31" s="2631"/>
      <c r="T31" s="2632"/>
      <c r="U31" s="2632"/>
      <c r="V31" s="2632"/>
      <c r="X31" s="2632"/>
      <c r="Y31" s="2632"/>
      <c r="Z31" s="2632"/>
    </row>
    <row r="32" spans="1:34">
      <c r="A32" s="2620" t="s">
        <v>2584</v>
      </c>
      <c r="B32" s="2633">
        <f>B31/(1+N31)</f>
        <v>275.49301357645425</v>
      </c>
      <c r="C32" s="2633">
        <f>C31/(1+O31)</f>
        <v>232.41954707985698</v>
      </c>
      <c r="D32" s="2633">
        <f t="shared" si="76"/>
        <v>232.41954707985698</v>
      </c>
      <c r="E32" s="2633">
        <f t="shared" ref="E32:F34" si="87">E31/(1+P31)</f>
        <v>375.32184591008121</v>
      </c>
      <c r="F32" s="2633">
        <f t="shared" si="87"/>
        <v>218.03766105054513</v>
      </c>
      <c r="G32" s="3473"/>
      <c r="H32" s="2644">
        <v>3</v>
      </c>
      <c r="I32" s="2644">
        <v>0.09</v>
      </c>
      <c r="J32" s="2644">
        <v>0.28999999999999998</v>
      </c>
      <c r="K32" s="2644">
        <v>-0.01</v>
      </c>
      <c r="L32" s="2645">
        <v>0.57999999999999996</v>
      </c>
      <c r="N32" s="2628">
        <f t="shared" si="78"/>
        <v>8.9999999999999998E-4</v>
      </c>
      <c r="O32" s="2629">
        <f t="shared" si="78"/>
        <v>2.8999999999999998E-3</v>
      </c>
      <c r="P32" s="2629">
        <f t="shared" si="78"/>
        <v>-1E-4</v>
      </c>
      <c r="Q32" s="2629">
        <f t="shared" si="78"/>
        <v>5.7999999999999996E-3</v>
      </c>
      <c r="R32" s="2630"/>
      <c r="S32" s="2628"/>
      <c r="T32" s="2629"/>
      <c r="U32" s="2629"/>
      <c r="V32" s="2629"/>
    </row>
    <row r="33" spans="1:26">
      <c r="A33" s="2620" t="s">
        <v>2585</v>
      </c>
      <c r="B33" s="2633">
        <f>B32/(1+N32)</f>
        <v>275.24529281292263</v>
      </c>
      <c r="C33" s="2633">
        <f>C32/(1+O32)</f>
        <v>231.74747938962707</v>
      </c>
      <c r="D33" s="2633">
        <f t="shared" si="76"/>
        <v>231.74747938962707</v>
      </c>
      <c r="E33" s="2633">
        <f t="shared" si="87"/>
        <v>375.35938184826603</v>
      </c>
      <c r="F33" s="2633">
        <f t="shared" si="87"/>
        <v>216.78033510692495</v>
      </c>
      <c r="G33" s="3473"/>
      <c r="H33" s="2624">
        <v>2</v>
      </c>
      <c r="I33" s="2624">
        <v>0.02</v>
      </c>
      <c r="J33" s="2624">
        <v>0.12</v>
      </c>
      <c r="K33" s="2624">
        <v>-0.08</v>
      </c>
      <c r="L33" s="2635">
        <v>1.24</v>
      </c>
      <c r="N33" s="2628">
        <f t="shared" si="78"/>
        <v>2.0000000000000001E-4</v>
      </c>
      <c r="O33" s="2629">
        <f t="shared" si="78"/>
        <v>1.1999999999999999E-3</v>
      </c>
      <c r="P33" s="2629">
        <f t="shared" si="78"/>
        <v>-8.0000000000000004E-4</v>
      </c>
      <c r="Q33" s="2629">
        <f t="shared" si="78"/>
        <v>1.24E-2</v>
      </c>
      <c r="R33" s="2630"/>
      <c r="S33" s="2628"/>
      <c r="T33" s="2629"/>
      <c r="U33" s="2629"/>
      <c r="V33" s="2629"/>
    </row>
    <row r="34" spans="1:26" ht="13.5" thickBot="1">
      <c r="A34" s="2620" t="s">
        <v>2586</v>
      </c>
      <c r="B34" s="2633">
        <f>B33/(1+N33)</f>
        <v>275.19025476197027</v>
      </c>
      <c r="C34" s="2665">
        <v>232</v>
      </c>
      <c r="D34" s="2665">
        <f t="shared" si="76"/>
        <v>232</v>
      </c>
      <c r="E34" s="2633">
        <f t="shared" si="87"/>
        <v>375.65990977608692</v>
      </c>
      <c r="F34" s="2633">
        <f t="shared" si="87"/>
        <v>214.12518283971252</v>
      </c>
      <c r="G34" s="3474"/>
      <c r="H34" s="2623">
        <v>1</v>
      </c>
      <c r="I34" s="2623">
        <v>0.02</v>
      </c>
      <c r="J34" s="2623">
        <v>0.13</v>
      </c>
      <c r="K34" s="2623">
        <v>-0.04</v>
      </c>
      <c r="L34" s="2634">
        <v>0.46</v>
      </c>
      <c r="N34" s="2628">
        <f t="shared" si="78"/>
        <v>2.0000000000000001E-4</v>
      </c>
      <c r="O34" s="2629">
        <f t="shared" si="78"/>
        <v>1.2999999999999999E-3</v>
      </c>
      <c r="P34" s="2629">
        <f t="shared" si="78"/>
        <v>-4.0000000000000002E-4</v>
      </c>
      <c r="Q34" s="2629">
        <f t="shared" si="78"/>
        <v>4.5999999999999999E-3</v>
      </c>
      <c r="R34" s="2630"/>
      <c r="S34" s="2636">
        <f>B34/B35-1</f>
        <v>6.9183549807361189E-4</v>
      </c>
      <c r="T34" s="2637">
        <f>C34/C35-1</f>
        <v>0</v>
      </c>
      <c r="U34" s="2637">
        <f>E34/E35-1</f>
        <v>-9.0449527636460303E-4</v>
      </c>
      <c r="V34" s="2637">
        <f>F34/F35-1</f>
        <v>5.2825485432512753E-3</v>
      </c>
      <c r="X34" s="2638"/>
      <c r="Y34" s="2638"/>
      <c r="Z34" s="2638"/>
    </row>
    <row r="35" spans="1:26" ht="13.5" thickBot="1">
      <c r="A35" s="2620" t="s">
        <v>2587</v>
      </c>
      <c r="B35" s="2625">
        <v>275</v>
      </c>
      <c r="C35" s="2625">
        <v>232</v>
      </c>
      <c r="D35" s="2625">
        <f t="shared" si="76"/>
        <v>232</v>
      </c>
      <c r="E35" s="2625">
        <v>376</v>
      </c>
      <c r="F35" s="2626">
        <v>213</v>
      </c>
      <c r="G35" s="3472">
        <v>2011</v>
      </c>
      <c r="H35" s="2639">
        <v>4</v>
      </c>
      <c r="I35" s="2639">
        <v>-0.2</v>
      </c>
      <c r="J35" s="2639">
        <v>0.04</v>
      </c>
      <c r="K35" s="2639">
        <v>-0.34</v>
      </c>
      <c r="L35" s="2640">
        <v>0.46</v>
      </c>
      <c r="N35" s="2641">
        <f t="shared" si="78"/>
        <v>-2E-3</v>
      </c>
      <c r="O35" s="2642">
        <f t="shared" si="78"/>
        <v>4.0000000000000002E-4</v>
      </c>
      <c r="P35" s="2642">
        <f t="shared" si="78"/>
        <v>-3.4000000000000002E-3</v>
      </c>
      <c r="Q35" s="2642">
        <f t="shared" si="78"/>
        <v>4.5999999999999999E-3</v>
      </c>
      <c r="R35" s="2630"/>
      <c r="S35" s="2631"/>
      <c r="T35" s="2632"/>
      <c r="U35" s="2632"/>
      <c r="V35" s="2632"/>
      <c r="X35" s="2632"/>
      <c r="Y35" s="2632"/>
      <c r="Z35" s="2632"/>
    </row>
    <row r="36" spans="1:26">
      <c r="A36" s="2620" t="s">
        <v>2588</v>
      </c>
      <c r="B36" s="2633">
        <f t="shared" ref="B36:C38" si="88">B35/(1+N35)</f>
        <v>275.55110220440883</v>
      </c>
      <c r="C36" s="2633">
        <f t="shared" si="88"/>
        <v>231.90723710515795</v>
      </c>
      <c r="D36" s="2633">
        <f t="shared" si="76"/>
        <v>231.90723710515795</v>
      </c>
      <c r="E36" s="2633">
        <f t="shared" ref="E36:F38" si="89">E35/(1+P35)</f>
        <v>377.28276138872161</v>
      </c>
      <c r="F36" s="2633">
        <f t="shared" si="89"/>
        <v>212.02468644236512</v>
      </c>
      <c r="G36" s="3473">
        <v>2011</v>
      </c>
      <c r="H36" s="2644">
        <v>3</v>
      </c>
      <c r="I36" s="2644">
        <v>0.13</v>
      </c>
      <c r="J36" s="2644">
        <v>0.75</v>
      </c>
      <c r="K36" s="2644">
        <v>-0.08</v>
      </c>
      <c r="L36" s="2645">
        <v>0.53</v>
      </c>
      <c r="N36" s="2628">
        <f t="shared" si="78"/>
        <v>1.2999999999999999E-3</v>
      </c>
      <c r="O36" s="2646">
        <f t="shared" si="78"/>
        <v>7.4999999999999997E-3</v>
      </c>
      <c r="P36" s="2646">
        <f t="shared" si="78"/>
        <v>-8.0000000000000004E-4</v>
      </c>
      <c r="Q36" s="2646">
        <f t="shared" si="78"/>
        <v>5.3E-3</v>
      </c>
      <c r="R36" s="2630"/>
      <c r="S36" s="2628"/>
      <c r="T36" s="2629"/>
      <c r="U36" s="2629"/>
      <c r="V36" s="2629"/>
    </row>
    <row r="37" spans="1:26">
      <c r="A37" s="2620" t="s">
        <v>2589</v>
      </c>
      <c r="B37" s="2633">
        <f t="shared" si="88"/>
        <v>275.19335084830601</v>
      </c>
      <c r="C37" s="2633">
        <f t="shared" si="88"/>
        <v>230.18088050139744</v>
      </c>
      <c r="D37" s="2633">
        <f t="shared" si="76"/>
        <v>230.18088050139744</v>
      </c>
      <c r="E37" s="2633">
        <f t="shared" si="89"/>
        <v>377.58482925212331</v>
      </c>
      <c r="F37" s="2633">
        <f t="shared" si="89"/>
        <v>210.90687997847917</v>
      </c>
      <c r="G37" s="3473">
        <v>2011</v>
      </c>
      <c r="H37" s="2624">
        <v>2</v>
      </c>
      <c r="I37" s="2624">
        <v>-0.4</v>
      </c>
      <c r="J37" s="2624">
        <v>0.17</v>
      </c>
      <c r="K37" s="2624">
        <v>-0.57999999999999996</v>
      </c>
      <c r="L37" s="2635">
        <v>-0.2</v>
      </c>
      <c r="N37" s="2628">
        <f t="shared" si="78"/>
        <v>-4.0000000000000001E-3</v>
      </c>
      <c r="O37" s="2646">
        <f t="shared" si="78"/>
        <v>1.7000000000000001E-3</v>
      </c>
      <c r="P37" s="2646">
        <f t="shared" si="78"/>
        <v>-5.7999999999999996E-3</v>
      </c>
      <c r="Q37" s="2646">
        <f t="shared" si="78"/>
        <v>-2E-3</v>
      </c>
      <c r="R37" s="2630"/>
      <c r="S37" s="2628"/>
      <c r="T37" s="2629"/>
      <c r="U37" s="2629"/>
      <c r="V37" s="2629"/>
    </row>
    <row r="38" spans="1:26" ht="13.5" thickBot="1">
      <c r="A38" s="2620" t="s">
        <v>2590</v>
      </c>
      <c r="B38" s="2633">
        <f t="shared" si="88"/>
        <v>276.29854502841971</v>
      </c>
      <c r="C38" s="2633">
        <f t="shared" si="88"/>
        <v>229.79023709833027</v>
      </c>
      <c r="D38" s="2633">
        <f t="shared" si="76"/>
        <v>229.79023709833027</v>
      </c>
      <c r="E38" s="2633">
        <f t="shared" si="89"/>
        <v>379.78759731655936</v>
      </c>
      <c r="F38" s="2633">
        <f t="shared" si="89"/>
        <v>211.32953905659235</v>
      </c>
      <c r="G38" s="3474">
        <v>2011</v>
      </c>
      <c r="H38" s="2623">
        <v>1</v>
      </c>
      <c r="I38" s="2623">
        <v>2.65</v>
      </c>
      <c r="J38" s="2623">
        <v>3.76</v>
      </c>
      <c r="K38" s="2623">
        <v>1.89</v>
      </c>
      <c r="L38" s="2634">
        <v>7.95</v>
      </c>
      <c r="N38" s="2636">
        <f t="shared" si="78"/>
        <v>2.6499999999999999E-2</v>
      </c>
      <c r="O38" s="2637">
        <f t="shared" si="78"/>
        <v>3.7599999999999995E-2</v>
      </c>
      <c r="P38" s="2637">
        <f t="shared" si="78"/>
        <v>1.89E-2</v>
      </c>
      <c r="Q38" s="2637">
        <f t="shared" si="78"/>
        <v>7.9500000000000001E-2</v>
      </c>
      <c r="R38" s="2630"/>
      <c r="S38" s="2636">
        <f>B38/B39-1</f>
        <v>2.713213765211786E-2</v>
      </c>
      <c r="T38" s="2637">
        <f>C38/C39-1</f>
        <v>3.9774828499231862E-2</v>
      </c>
      <c r="U38" s="2637">
        <f>E38/E39-1</f>
        <v>1.8197311840641772E-2</v>
      </c>
      <c r="V38" s="2637">
        <f>F38/F39-1</f>
        <v>7.8211933962205826E-2</v>
      </c>
      <c r="X38" s="2638"/>
      <c r="Y38" s="2638"/>
      <c r="Z38" s="2638"/>
    </row>
    <row r="39" spans="1:26" ht="13.5" thickBot="1">
      <c r="A39" s="2620" t="s">
        <v>2591</v>
      </c>
      <c r="B39" s="2625">
        <v>269</v>
      </c>
      <c r="C39" s="2625">
        <v>221</v>
      </c>
      <c r="D39" s="2625">
        <f t="shared" si="76"/>
        <v>221</v>
      </c>
      <c r="E39" s="2625">
        <v>373</v>
      </c>
      <c r="F39" s="2626">
        <v>196</v>
      </c>
      <c r="G39" s="3472">
        <v>2010</v>
      </c>
      <c r="H39" s="2639">
        <v>4</v>
      </c>
      <c r="I39" s="2639">
        <v>5.72</v>
      </c>
      <c r="J39" s="2639">
        <v>6.57</v>
      </c>
      <c r="K39" s="2639">
        <v>5.72</v>
      </c>
      <c r="L39" s="2640">
        <v>2.72</v>
      </c>
      <c r="N39" s="2628">
        <f t="shared" si="78"/>
        <v>5.7200000000000001E-2</v>
      </c>
      <c r="O39" s="2629">
        <f t="shared" si="78"/>
        <v>6.5700000000000008E-2</v>
      </c>
      <c r="P39" s="2629">
        <f t="shared" si="78"/>
        <v>5.7200000000000001E-2</v>
      </c>
      <c r="Q39" s="2629">
        <f t="shared" si="78"/>
        <v>2.7200000000000002E-2</v>
      </c>
      <c r="R39" s="2630"/>
      <c r="S39" s="2631"/>
      <c r="T39" s="2632"/>
      <c r="U39" s="2632"/>
      <c r="V39" s="2632"/>
      <c r="X39" s="2632"/>
      <c r="Y39" s="2632"/>
      <c r="Z39" s="2632"/>
    </row>
    <row r="40" spans="1:26">
      <c r="A40" s="2620" t="s">
        <v>2592</v>
      </c>
      <c r="B40" s="2633">
        <f t="shared" ref="B40:C42" si="90">B39/(1+N39)</f>
        <v>254.44570563753314</v>
      </c>
      <c r="C40" s="2633">
        <f t="shared" si="90"/>
        <v>207.37543398705074</v>
      </c>
      <c r="D40" s="2633">
        <f t="shared" si="76"/>
        <v>207.37543398705074</v>
      </c>
      <c r="E40" s="2633">
        <f t="shared" ref="E40:F42" si="91">E39/(1+P39)</f>
        <v>352.81876655315932</v>
      </c>
      <c r="F40" s="2633">
        <f t="shared" si="91"/>
        <v>190.809968847352</v>
      </c>
      <c r="G40" s="3473">
        <v>2010</v>
      </c>
      <c r="H40" s="2644">
        <v>3</v>
      </c>
      <c r="I40" s="2644">
        <v>4.7300000000000004</v>
      </c>
      <c r="J40" s="2644">
        <v>3.9</v>
      </c>
      <c r="K40" s="2644">
        <v>5.03</v>
      </c>
      <c r="L40" s="2645">
        <v>4.21</v>
      </c>
      <c r="N40" s="2628">
        <f t="shared" si="78"/>
        <v>4.7300000000000002E-2</v>
      </c>
      <c r="O40" s="2629">
        <f t="shared" si="78"/>
        <v>3.9E-2</v>
      </c>
      <c r="P40" s="2629">
        <f t="shared" si="78"/>
        <v>5.0300000000000004E-2</v>
      </c>
      <c r="Q40" s="2629">
        <f t="shared" si="78"/>
        <v>4.2099999999999999E-2</v>
      </c>
      <c r="R40" s="2630"/>
      <c r="S40" s="2628"/>
      <c r="T40" s="2629"/>
      <c r="U40" s="2629"/>
      <c r="V40" s="2629"/>
    </row>
    <row r="41" spans="1:26">
      <c r="A41" s="2620" t="s">
        <v>2593</v>
      </c>
      <c r="B41" s="2633">
        <f t="shared" si="90"/>
        <v>242.95398227588385</v>
      </c>
      <c r="C41" s="2633">
        <f t="shared" si="90"/>
        <v>199.59137053614126</v>
      </c>
      <c r="D41" s="2633">
        <f t="shared" si="76"/>
        <v>199.59137053614126</v>
      </c>
      <c r="E41" s="2633">
        <f t="shared" si="91"/>
        <v>335.92189522342125</v>
      </c>
      <c r="F41" s="2633">
        <f t="shared" si="91"/>
        <v>183.10139991109489</v>
      </c>
      <c r="G41" s="3473">
        <v>2010</v>
      </c>
      <c r="H41" s="2624">
        <v>2</v>
      </c>
      <c r="I41" s="2624">
        <v>4.6900000000000004</v>
      </c>
      <c r="J41" s="2624">
        <v>3.55</v>
      </c>
      <c r="K41" s="2624">
        <v>5.07</v>
      </c>
      <c r="L41" s="2635">
        <v>4.2300000000000004</v>
      </c>
      <c r="N41" s="2628">
        <f t="shared" si="78"/>
        <v>4.6900000000000004E-2</v>
      </c>
      <c r="O41" s="2629">
        <f t="shared" si="78"/>
        <v>3.5499999999999997E-2</v>
      </c>
      <c r="P41" s="2629">
        <f t="shared" si="78"/>
        <v>5.0700000000000002E-2</v>
      </c>
      <c r="Q41" s="2629">
        <f t="shared" si="78"/>
        <v>4.2300000000000004E-2</v>
      </c>
      <c r="R41" s="2630"/>
      <c r="S41" s="2628"/>
      <c r="T41" s="2629"/>
      <c r="U41" s="2629"/>
      <c r="V41" s="2629"/>
    </row>
    <row r="42" spans="1:26" ht="13.5" thickBot="1">
      <c r="A42" s="2620" t="s">
        <v>2594</v>
      </c>
      <c r="B42" s="2633">
        <f t="shared" si="90"/>
        <v>232.06990378821649</v>
      </c>
      <c r="C42" s="2633">
        <f t="shared" si="90"/>
        <v>192.74878854286936</v>
      </c>
      <c r="D42" s="2633">
        <f t="shared" si="76"/>
        <v>192.74878854286936</v>
      </c>
      <c r="E42" s="2633">
        <f t="shared" si="91"/>
        <v>319.71247284992984</v>
      </c>
      <c r="F42" s="2633">
        <f t="shared" si="91"/>
        <v>175.67053622862409</v>
      </c>
      <c r="G42" s="3474">
        <v>2010</v>
      </c>
      <c r="H42" s="2623">
        <v>1</v>
      </c>
      <c r="I42" s="2623">
        <v>5.4</v>
      </c>
      <c r="J42" s="2623">
        <v>3.2</v>
      </c>
      <c r="K42" s="2623">
        <v>6.16</v>
      </c>
      <c r="L42" s="2634">
        <v>4.51</v>
      </c>
      <c r="N42" s="2628">
        <f t="shared" si="78"/>
        <v>5.4000000000000006E-2</v>
      </c>
      <c r="O42" s="2629">
        <f t="shared" si="78"/>
        <v>3.2000000000000001E-2</v>
      </c>
      <c r="P42" s="2629">
        <f t="shared" si="78"/>
        <v>6.1600000000000002E-2</v>
      </c>
      <c r="Q42" s="2629">
        <f t="shared" si="78"/>
        <v>4.5100000000000001E-2</v>
      </c>
      <c r="R42" s="2630"/>
      <c r="S42" s="2636">
        <f>B42/B43-1</f>
        <v>5.4863199037347599E-2</v>
      </c>
      <c r="T42" s="2637">
        <f>C42/C43-1</f>
        <v>3.0742184721226584E-2</v>
      </c>
      <c r="U42" s="2637">
        <f>E42/E43-1</f>
        <v>6.2167683886810154E-2</v>
      </c>
      <c r="V42" s="2637">
        <f>F42/F43-1</f>
        <v>4.5657953741810031E-2</v>
      </c>
      <c r="X42" s="2638"/>
      <c r="Y42" s="2638"/>
      <c r="Z42" s="2638"/>
    </row>
    <row r="43" spans="1:26" ht="13.5" thickBot="1">
      <c r="A43" s="2620" t="s">
        <v>2595</v>
      </c>
      <c r="B43" s="2625">
        <v>220</v>
      </c>
      <c r="C43" s="2625">
        <v>187</v>
      </c>
      <c r="D43" s="2625">
        <f t="shared" si="76"/>
        <v>187</v>
      </c>
      <c r="E43" s="2625">
        <v>301</v>
      </c>
      <c r="F43" s="2626">
        <v>168</v>
      </c>
      <c r="G43" s="3472">
        <v>2009</v>
      </c>
      <c r="H43" s="2639">
        <v>4</v>
      </c>
      <c r="I43" s="2639">
        <v>2.2999999999999998</v>
      </c>
      <c r="J43" s="2639">
        <v>1.04</v>
      </c>
      <c r="K43" s="2639">
        <v>2.84</v>
      </c>
      <c r="L43" s="2640">
        <v>0.67</v>
      </c>
      <c r="N43" s="2641">
        <f t="shared" si="78"/>
        <v>2.3E-2</v>
      </c>
      <c r="O43" s="2642">
        <f t="shared" si="78"/>
        <v>1.04E-2</v>
      </c>
      <c r="P43" s="2642">
        <f t="shared" si="78"/>
        <v>2.8399999999999998E-2</v>
      </c>
      <c r="Q43" s="2642">
        <f t="shared" si="78"/>
        <v>6.7000000000000002E-3</v>
      </c>
      <c r="R43" s="2630"/>
      <c r="S43" s="2631"/>
      <c r="T43" s="2632"/>
      <c r="U43" s="2632"/>
      <c r="V43" s="2632"/>
      <c r="X43" s="2632"/>
      <c r="Y43" s="2632"/>
      <c r="Z43" s="2632"/>
    </row>
    <row r="44" spans="1:26">
      <c r="A44" s="2620" t="s">
        <v>2596</v>
      </c>
      <c r="B44" s="2633">
        <f t="shared" ref="B44:C46" si="92">B43/(1+N43)</f>
        <v>215.05376344086022</v>
      </c>
      <c r="C44" s="2633">
        <f t="shared" si="92"/>
        <v>185.0752177355503</v>
      </c>
      <c r="D44" s="2633">
        <f t="shared" si="76"/>
        <v>185.0752177355503</v>
      </c>
      <c r="E44" s="2633">
        <f t="shared" ref="E44:F46" si="93">E43/(1+P43)</f>
        <v>292.68767016725008</v>
      </c>
      <c r="F44" s="2633">
        <f t="shared" si="93"/>
        <v>166.88189132810174</v>
      </c>
      <c r="G44" s="3473">
        <v>2009</v>
      </c>
      <c r="H44" s="2644">
        <v>3</v>
      </c>
      <c r="I44" s="2644">
        <v>2.1</v>
      </c>
      <c r="J44" s="2644">
        <v>1.86</v>
      </c>
      <c r="K44" s="2644">
        <v>2.29</v>
      </c>
      <c r="L44" s="2645">
        <v>0.85</v>
      </c>
      <c r="N44" s="2628">
        <f t="shared" si="78"/>
        <v>2.1000000000000001E-2</v>
      </c>
      <c r="O44" s="2646">
        <f t="shared" si="78"/>
        <v>1.8600000000000002E-2</v>
      </c>
      <c r="P44" s="2646">
        <f t="shared" si="78"/>
        <v>2.29E-2</v>
      </c>
      <c r="Q44" s="2646">
        <f t="shared" si="78"/>
        <v>8.5000000000000006E-3</v>
      </c>
      <c r="R44" s="2630"/>
      <c r="S44" s="2628"/>
      <c r="T44" s="2629"/>
      <c r="U44" s="2629"/>
      <c r="V44" s="2629"/>
    </row>
    <row r="45" spans="1:26">
      <c r="A45" s="2620" t="s">
        <v>2597</v>
      </c>
      <c r="B45" s="2633">
        <f t="shared" si="92"/>
        <v>210.630522469011</v>
      </c>
      <c r="C45" s="2633">
        <f t="shared" si="92"/>
        <v>181.69567812247232</v>
      </c>
      <c r="D45" s="2633">
        <f t="shared" si="76"/>
        <v>181.69567812247232</v>
      </c>
      <c r="E45" s="2633">
        <f t="shared" si="93"/>
        <v>286.13517466736738</v>
      </c>
      <c r="F45" s="2633">
        <f t="shared" si="93"/>
        <v>165.47535084591149</v>
      </c>
      <c r="G45" s="3473">
        <v>2009</v>
      </c>
      <c r="H45" s="2624">
        <v>2</v>
      </c>
      <c r="I45" s="2624">
        <v>0.86</v>
      </c>
      <c r="J45" s="2624">
        <v>-1.1299999999999999</v>
      </c>
      <c r="K45" s="2624">
        <v>1.79</v>
      </c>
      <c r="L45" s="2635">
        <v>-2.0699999999999998</v>
      </c>
      <c r="N45" s="2628">
        <f t="shared" si="78"/>
        <v>8.6E-3</v>
      </c>
      <c r="O45" s="2646">
        <f t="shared" si="78"/>
        <v>-1.1299999999999999E-2</v>
      </c>
      <c r="P45" s="2646">
        <f t="shared" si="78"/>
        <v>1.7899999999999999E-2</v>
      </c>
      <c r="Q45" s="2646">
        <f t="shared" si="78"/>
        <v>-2.07E-2</v>
      </c>
      <c r="R45" s="2630"/>
      <c r="S45" s="2628"/>
      <c r="T45" s="2629"/>
      <c r="U45" s="2629"/>
      <c r="V45" s="2629"/>
    </row>
    <row r="46" spans="1:26">
      <c r="A46" s="2620" t="s">
        <v>2598</v>
      </c>
      <c r="B46" s="2633">
        <f t="shared" si="92"/>
        <v>208.83454537875372</v>
      </c>
      <c r="C46" s="2633">
        <f t="shared" si="92"/>
        <v>183.77230517090351</v>
      </c>
      <c r="D46" s="2633">
        <f t="shared" si="76"/>
        <v>183.77230517090351</v>
      </c>
      <c r="E46" s="2633">
        <f t="shared" si="93"/>
        <v>281.10342338870947</v>
      </c>
      <c r="F46" s="2633">
        <f t="shared" si="93"/>
        <v>168.97309388942256</v>
      </c>
      <c r="G46" s="3474">
        <v>2009</v>
      </c>
      <c r="H46" s="2623">
        <v>1</v>
      </c>
      <c r="I46" s="2623">
        <v>-2.64</v>
      </c>
      <c r="J46" s="2623">
        <v>-2.5299999999999998</v>
      </c>
      <c r="K46" s="2623">
        <v>-3.02</v>
      </c>
      <c r="L46" s="2634">
        <v>1.52</v>
      </c>
      <c r="N46" s="2636">
        <f t="shared" si="78"/>
        <v>-2.64E-2</v>
      </c>
      <c r="O46" s="2637">
        <f t="shared" si="78"/>
        <v>-2.53E-2</v>
      </c>
      <c r="P46" s="2637">
        <f t="shared" si="78"/>
        <v>-3.0200000000000001E-2</v>
      </c>
      <c r="Q46" s="2637">
        <f t="shared" si="78"/>
        <v>1.52E-2</v>
      </c>
      <c r="R46" s="2630"/>
      <c r="S46" s="2636">
        <f>B46/B47-1</f>
        <v>-2.4137638417038754E-2</v>
      </c>
      <c r="T46" s="2637">
        <f>C46/C47-1</f>
        <v>-2.248773845264096E-2</v>
      </c>
      <c r="U46" s="2637">
        <f>E46/E47-1</f>
        <v>-2.7323794502735366E-2</v>
      </c>
      <c r="V46" s="2637">
        <f>F46/F47-1</f>
        <v>1.7910204153148035E-2</v>
      </c>
      <c r="X46" s="2638"/>
      <c r="Y46" s="2638"/>
      <c r="Z46" s="2638"/>
    </row>
    <row r="47" spans="1:26" ht="13.5" thickBot="1">
      <c r="A47" s="2620" t="s">
        <v>2599</v>
      </c>
      <c r="B47" s="2663">
        <v>214</v>
      </c>
      <c r="C47" s="2663">
        <v>188</v>
      </c>
      <c r="D47" s="2663">
        <f t="shared" si="76"/>
        <v>188</v>
      </c>
      <c r="E47" s="2663">
        <v>289</v>
      </c>
      <c r="F47" s="2664">
        <v>166</v>
      </c>
      <c r="G47" s="3472">
        <v>2008</v>
      </c>
      <c r="H47" s="2639">
        <v>4</v>
      </c>
      <c r="I47" s="2639">
        <v>1.73</v>
      </c>
      <c r="J47" s="2639">
        <v>0.03</v>
      </c>
      <c r="K47" s="2639">
        <v>2.59</v>
      </c>
      <c r="L47" s="2640">
        <v>-1.66</v>
      </c>
      <c r="N47" s="2628">
        <f t="shared" si="78"/>
        <v>1.7299999999999999E-2</v>
      </c>
      <c r="O47" s="2629">
        <f t="shared" si="78"/>
        <v>2.9999999999999997E-4</v>
      </c>
      <c r="P47" s="2629">
        <f t="shared" si="78"/>
        <v>2.5899999999999999E-2</v>
      </c>
      <c r="Q47" s="2629">
        <f t="shared" si="78"/>
        <v>-1.66E-2</v>
      </c>
      <c r="R47" s="2630"/>
      <c r="S47" s="2631"/>
      <c r="T47" s="2632"/>
      <c r="U47" s="2632"/>
      <c r="V47" s="2632"/>
      <c r="X47" s="2632"/>
      <c r="Y47" s="2632"/>
      <c r="Z47" s="2632"/>
    </row>
    <row r="48" spans="1:26">
      <c r="A48" s="2620" t="s">
        <v>2600</v>
      </c>
      <c r="B48" s="2633">
        <f t="shared" ref="B48:C50" si="94">B47/(1+N47)</f>
        <v>210.36075887152265</v>
      </c>
      <c r="C48" s="2633">
        <f t="shared" si="94"/>
        <v>187.94361691492554</v>
      </c>
      <c r="D48" s="2633">
        <f t="shared" si="76"/>
        <v>187.94361691492554</v>
      </c>
      <c r="E48" s="2633">
        <f t="shared" ref="E48:F50" si="95">E47/(1+P47)</f>
        <v>281.70386977288234</v>
      </c>
      <c r="F48" s="2633">
        <f t="shared" si="95"/>
        <v>168.80211511083994</v>
      </c>
      <c r="G48" s="3473">
        <v>2008</v>
      </c>
      <c r="H48" s="2644">
        <v>3</v>
      </c>
      <c r="I48" s="2644">
        <v>1.96</v>
      </c>
      <c r="J48" s="2644">
        <v>2.36</v>
      </c>
      <c r="K48" s="2644">
        <v>1.82</v>
      </c>
      <c r="L48" s="2645">
        <v>2.2200000000000002</v>
      </c>
      <c r="N48" s="2628">
        <f t="shared" si="78"/>
        <v>1.9599999999999999E-2</v>
      </c>
      <c r="O48" s="2629">
        <f t="shared" si="78"/>
        <v>2.3599999999999999E-2</v>
      </c>
      <c r="P48" s="2629">
        <f t="shared" si="78"/>
        <v>1.8200000000000001E-2</v>
      </c>
      <c r="Q48" s="2629">
        <f t="shared" si="78"/>
        <v>2.2200000000000001E-2</v>
      </c>
      <c r="R48" s="2630"/>
      <c r="S48" s="2628"/>
      <c r="T48" s="2629"/>
      <c r="U48" s="2629"/>
      <c r="V48" s="2629"/>
    </row>
    <row r="49" spans="1:26">
      <c r="A49" s="2620" t="s">
        <v>2601</v>
      </c>
      <c r="B49" s="2633">
        <f t="shared" si="94"/>
        <v>206.31694671589116</v>
      </c>
      <c r="C49" s="2633">
        <f t="shared" si="94"/>
        <v>183.61041121036101</v>
      </c>
      <c r="D49" s="2633">
        <f t="shared" si="76"/>
        <v>183.61041121036101</v>
      </c>
      <c r="E49" s="2633">
        <f t="shared" si="95"/>
        <v>276.66850301795557</v>
      </c>
      <c r="F49" s="2633">
        <f t="shared" si="95"/>
        <v>165.1360938278614</v>
      </c>
      <c r="G49" s="3473">
        <v>2008</v>
      </c>
      <c r="H49" s="2624">
        <v>2</v>
      </c>
      <c r="I49" s="2624">
        <v>4.93</v>
      </c>
      <c r="J49" s="2624">
        <v>7.38</v>
      </c>
      <c r="K49" s="2624">
        <v>3.98</v>
      </c>
      <c r="L49" s="2635">
        <v>6.86</v>
      </c>
      <c r="N49" s="2628">
        <f t="shared" si="78"/>
        <v>4.9299999999999997E-2</v>
      </c>
      <c r="O49" s="2629">
        <f t="shared" si="78"/>
        <v>7.3800000000000004E-2</v>
      </c>
      <c r="P49" s="2629">
        <f t="shared" si="78"/>
        <v>3.9800000000000002E-2</v>
      </c>
      <c r="Q49" s="2629">
        <f t="shared" si="78"/>
        <v>6.8600000000000008E-2</v>
      </c>
      <c r="R49" s="2630"/>
      <c r="S49" s="2628"/>
      <c r="T49" s="2629"/>
      <c r="U49" s="2629"/>
      <c r="V49" s="2629"/>
    </row>
    <row r="50" spans="1:26" s="2669" customFormat="1" ht="13.5" thickBot="1">
      <c r="A50" s="2620" t="s">
        <v>2602</v>
      </c>
      <c r="B50" s="2666">
        <f t="shared" si="94"/>
        <v>196.62341248059772</v>
      </c>
      <c r="C50" s="2666">
        <f t="shared" si="94"/>
        <v>170.99125648199012</v>
      </c>
      <c r="D50" s="2666">
        <f t="shared" si="76"/>
        <v>170.99125648199012</v>
      </c>
      <c r="E50" s="2666">
        <f t="shared" si="95"/>
        <v>266.07857570490052</v>
      </c>
      <c r="F50" s="2666">
        <f t="shared" si="95"/>
        <v>154.53499328828505</v>
      </c>
      <c r="G50" s="3474">
        <v>2008</v>
      </c>
      <c r="H50" s="2667">
        <v>1</v>
      </c>
      <c r="I50" s="2667">
        <v>4.1399999999999997</v>
      </c>
      <c r="J50" s="2667">
        <v>3.45</v>
      </c>
      <c r="K50" s="2667">
        <v>4.95</v>
      </c>
      <c r="L50" s="2668">
        <v>4.82</v>
      </c>
      <c r="N50" s="2670">
        <f t="shared" si="78"/>
        <v>4.1399999999999999E-2</v>
      </c>
      <c r="O50" s="2671">
        <f t="shared" si="78"/>
        <v>3.4500000000000003E-2</v>
      </c>
      <c r="P50" s="2671">
        <f t="shared" si="78"/>
        <v>4.9500000000000002E-2</v>
      </c>
      <c r="Q50" s="2671">
        <f t="shared" si="78"/>
        <v>4.82E-2</v>
      </c>
      <c r="R50" s="2672"/>
      <c r="S50" s="2670">
        <f>B50/B51-1</f>
        <v>4.5869215322328349E-2</v>
      </c>
      <c r="T50" s="2671">
        <f>C50/C51-1</f>
        <v>3.6310645345394743E-2</v>
      </c>
      <c r="U50" s="2671">
        <f>E50/E51-1</f>
        <v>4.7553447657088688E-2</v>
      </c>
      <c r="V50" s="2671">
        <f>F50/F51-1</f>
        <v>4.4155360055980086E-2</v>
      </c>
      <c r="X50" s="2673"/>
      <c r="Y50" s="2673"/>
      <c r="Z50" s="2673"/>
    </row>
    <row r="51" spans="1:26" ht="13.5" thickBot="1">
      <c r="A51" s="2620" t="s">
        <v>2603</v>
      </c>
      <c r="B51" s="2625">
        <v>188</v>
      </c>
      <c r="C51" s="2625">
        <v>165</v>
      </c>
      <c r="D51" s="2625">
        <f t="shared" si="76"/>
        <v>165</v>
      </c>
      <c r="E51" s="2625">
        <v>254</v>
      </c>
      <c r="F51" s="2626">
        <v>148</v>
      </c>
      <c r="G51" s="3472">
        <v>2007</v>
      </c>
      <c r="H51" s="2674">
        <v>4</v>
      </c>
      <c r="I51" s="2674">
        <v>5.51</v>
      </c>
      <c r="J51" s="2674">
        <v>4.8899999999999997</v>
      </c>
      <c r="K51" s="2674">
        <v>6.43</v>
      </c>
      <c r="L51" s="2675">
        <v>5.36</v>
      </c>
      <c r="N51" s="2676">
        <f t="shared" ref="N51:O54" si="96">B51/B52-1</f>
        <v>4.1339718365245526E-2</v>
      </c>
      <c r="O51" s="2677">
        <f t="shared" si="96"/>
        <v>4.0324492593776018E-2</v>
      </c>
      <c r="P51" s="2677">
        <f t="shared" ref="P51:Q54" si="97">E51/E52-1</f>
        <v>6.1625555347990968E-2</v>
      </c>
      <c r="Q51" s="2677">
        <f t="shared" si="97"/>
        <v>4.6757569250590603E-2</v>
      </c>
      <c r="R51" s="2630"/>
      <c r="S51" s="2631"/>
      <c r="T51" s="2632"/>
      <c r="U51" s="2632"/>
      <c r="V51" s="2632"/>
      <c r="X51" s="2632"/>
      <c r="Y51" s="2632"/>
      <c r="Z51" s="2632"/>
    </row>
    <row r="52" spans="1:26">
      <c r="A52" s="2620" t="s">
        <v>2604</v>
      </c>
      <c r="B52" s="2633">
        <f t="shared" ref="B52:C54" si="98">B53+(B$51-B$55)*I52/SUM(I$51:I$54)</f>
        <v>180.5366651097618</v>
      </c>
      <c r="C52" s="2633">
        <f t="shared" si="98"/>
        <v>158.60435967302453</v>
      </c>
      <c r="D52" s="2633">
        <f t="shared" si="76"/>
        <v>158.60435967302453</v>
      </c>
      <c r="E52" s="2633">
        <f t="shared" ref="E52:F54" si="99">E53+(E$51-E$55)*K52/SUM(K$51:K$54)</f>
        <v>239.25573260785075</v>
      </c>
      <c r="F52" s="2633">
        <f t="shared" si="99"/>
        <v>141.38899430740037</v>
      </c>
      <c r="G52" s="3473">
        <v>2007</v>
      </c>
      <c r="H52" s="2644">
        <v>3</v>
      </c>
      <c r="I52" s="2644">
        <v>8.65</v>
      </c>
      <c r="J52" s="2644">
        <v>8.06</v>
      </c>
      <c r="K52" s="2644">
        <v>9.94</v>
      </c>
      <c r="L52" s="2645">
        <v>5.8</v>
      </c>
      <c r="N52" s="2676">
        <f t="shared" si="96"/>
        <v>6.940217571740015E-2</v>
      </c>
      <c r="O52" s="2677">
        <f t="shared" si="96"/>
        <v>7.1197482471153428E-2</v>
      </c>
      <c r="P52" s="2677">
        <f t="shared" si="97"/>
        <v>0.10529679922579582</v>
      </c>
      <c r="Q52" s="2677">
        <f t="shared" si="97"/>
        <v>5.3292245059512133E-2</v>
      </c>
      <c r="R52" s="2630"/>
      <c r="S52" s="2628"/>
      <c r="T52" s="2629"/>
      <c r="U52" s="2629"/>
      <c r="V52" s="2629"/>
      <c r="X52" s="2678"/>
      <c r="Y52" s="2678"/>
      <c r="Z52" s="2678"/>
    </row>
    <row r="53" spans="1:26">
      <c r="A53" s="2620" t="s">
        <v>2605</v>
      </c>
      <c r="B53" s="2633">
        <f t="shared" si="98"/>
        <v>168.82017748715555</v>
      </c>
      <c r="C53" s="2633">
        <f t="shared" si="98"/>
        <v>148.06267029972753</v>
      </c>
      <c r="D53" s="2633">
        <f t="shared" si="76"/>
        <v>148.06267029972753</v>
      </c>
      <c r="E53" s="2633">
        <f t="shared" si="99"/>
        <v>216.46288379323747</v>
      </c>
      <c r="F53" s="2633">
        <f t="shared" si="99"/>
        <v>134.23529411764704</v>
      </c>
      <c r="G53" s="3473">
        <v>2007</v>
      </c>
      <c r="H53" s="2624">
        <v>2</v>
      </c>
      <c r="I53" s="2624">
        <v>3.67</v>
      </c>
      <c r="J53" s="2624">
        <v>2.3199999999999998</v>
      </c>
      <c r="K53" s="2624">
        <v>5.0199999999999996</v>
      </c>
      <c r="L53" s="2635">
        <v>6.71</v>
      </c>
      <c r="N53" s="2676">
        <f t="shared" si="96"/>
        <v>3.0339138143848032E-2</v>
      </c>
      <c r="O53" s="2677">
        <f t="shared" si="96"/>
        <v>2.0922341588790472E-2</v>
      </c>
      <c r="P53" s="2677">
        <f t="shared" si="97"/>
        <v>5.6164796592717003E-2</v>
      </c>
      <c r="Q53" s="2677">
        <f t="shared" si="97"/>
        <v>6.5704536723887319E-2</v>
      </c>
      <c r="R53" s="2630"/>
      <c r="S53" s="2628"/>
      <c r="T53" s="2629"/>
      <c r="U53" s="2629"/>
      <c r="V53" s="2629"/>
      <c r="X53" s="2678"/>
      <c r="Y53" s="2678"/>
      <c r="Z53" s="2678"/>
    </row>
    <row r="54" spans="1:26">
      <c r="A54" s="2620" t="s">
        <v>2606</v>
      </c>
      <c r="B54" s="2633">
        <f t="shared" si="98"/>
        <v>163.84913591779542</v>
      </c>
      <c r="C54" s="2633">
        <f t="shared" si="98"/>
        <v>145.0283378746594</v>
      </c>
      <c r="D54" s="2633">
        <f t="shared" si="76"/>
        <v>145.0283378746594</v>
      </c>
      <c r="E54" s="2633">
        <f t="shared" si="99"/>
        <v>204.95180722891567</v>
      </c>
      <c r="F54" s="2633">
        <f t="shared" si="99"/>
        <v>125.95920303605313</v>
      </c>
      <c r="G54" s="3474">
        <v>2007</v>
      </c>
      <c r="H54" s="2623">
        <v>1</v>
      </c>
      <c r="I54" s="2623">
        <v>3.58</v>
      </c>
      <c r="J54" s="2623">
        <v>3.08</v>
      </c>
      <c r="K54" s="2623">
        <v>4.34</v>
      </c>
      <c r="L54" s="2634">
        <v>3.21</v>
      </c>
      <c r="N54" s="2679">
        <f t="shared" si="96"/>
        <v>3.0497710174814063E-2</v>
      </c>
      <c r="O54" s="2680">
        <f t="shared" si="96"/>
        <v>2.8569772160704998E-2</v>
      </c>
      <c r="P54" s="2680">
        <f t="shared" si="97"/>
        <v>5.1034908866234296E-2</v>
      </c>
      <c r="Q54" s="2680">
        <f t="shared" si="97"/>
        <v>3.245248390207478E-2</v>
      </c>
      <c r="R54" s="2630"/>
      <c r="S54" s="2636">
        <f>B54/B55-1</f>
        <v>3.0497710174814063E-2</v>
      </c>
      <c r="T54" s="2637">
        <f>C54/C55-1</f>
        <v>2.8569772160704998E-2</v>
      </c>
      <c r="U54" s="2637">
        <f>E54/E55-1</f>
        <v>5.1034908866234296E-2</v>
      </c>
      <c r="V54" s="2637">
        <f>F54/F55-1</f>
        <v>3.245248390207478E-2</v>
      </c>
      <c r="X54" s="2678"/>
      <c r="Y54" s="2678"/>
      <c r="Z54" s="2678"/>
    </row>
    <row r="55" spans="1:26" ht="13.5" thickBot="1">
      <c r="A55" s="2620" t="s">
        <v>2607</v>
      </c>
      <c r="B55" s="2647">
        <v>159</v>
      </c>
      <c r="C55" s="2647">
        <v>141</v>
      </c>
      <c r="D55" s="2647">
        <f t="shared" si="76"/>
        <v>141</v>
      </c>
      <c r="E55" s="2647">
        <v>195</v>
      </c>
      <c r="F55" s="2648">
        <v>122</v>
      </c>
      <c r="G55" s="3472">
        <v>2006</v>
      </c>
      <c r="H55" s="2639">
        <v>4</v>
      </c>
      <c r="I55" s="2639">
        <v>3.79</v>
      </c>
      <c r="J55" s="2639">
        <v>2.21</v>
      </c>
      <c r="K55" s="2639">
        <v>5.65</v>
      </c>
      <c r="L55" s="2640">
        <v>5.41</v>
      </c>
      <c r="N55" s="2676">
        <f t="shared" ref="N55:O58" si="100">I55/SUM(I$55:I$58)*(B$55/B$59-1)</f>
        <v>7.245466462748526E-2</v>
      </c>
      <c r="O55" s="2677">
        <f t="shared" si="100"/>
        <v>2.3237230038062766E-2</v>
      </c>
      <c r="P55" s="2677">
        <f t="shared" ref="P55:Q58" si="101">K55/SUM(K$55:K$58)*(E$55/E$59-1)</f>
        <v>0.16146893866323722</v>
      </c>
      <c r="Q55" s="2677">
        <f t="shared" si="101"/>
        <v>5.0755230321793784E-2</v>
      </c>
      <c r="R55" s="2630"/>
      <c r="S55" s="2631"/>
      <c r="T55" s="2632"/>
      <c r="U55" s="2632"/>
      <c r="V55" s="2632"/>
      <c r="X55" s="2678"/>
      <c r="Y55" s="2678"/>
      <c r="Z55" s="2678"/>
    </row>
    <row r="56" spans="1:26">
      <c r="A56" s="2620" t="s">
        <v>2608</v>
      </c>
      <c r="B56" s="2633">
        <f t="shared" ref="B56:C58" si="102">B57+(B$55-B$59)*I56/SUM(I$55:I$58)</f>
        <v>149.00125628140702</v>
      </c>
      <c r="C56" s="2633">
        <f t="shared" si="102"/>
        <v>137.95592286501378</v>
      </c>
      <c r="D56" s="2633">
        <f t="shared" si="76"/>
        <v>137.95592286501378</v>
      </c>
      <c r="E56" s="2633">
        <f t="shared" ref="E56:F58" si="103">E57+(E$55-E$59)*K56/SUM(K$55:K$58)</f>
        <v>169.97231450719823</v>
      </c>
      <c r="F56" s="2633">
        <f t="shared" si="103"/>
        <v>116.21390374331551</v>
      </c>
      <c r="G56" s="3473">
        <v>2006</v>
      </c>
      <c r="H56" s="2644">
        <v>3</v>
      </c>
      <c r="I56" s="2644">
        <v>0.92</v>
      </c>
      <c r="J56" s="2644">
        <v>1.08</v>
      </c>
      <c r="K56" s="2644">
        <v>0.73</v>
      </c>
      <c r="L56" s="2645">
        <v>1.08</v>
      </c>
      <c r="N56" s="2676">
        <f t="shared" si="100"/>
        <v>1.7587939698492462E-2</v>
      </c>
      <c r="O56" s="2677">
        <f t="shared" si="100"/>
        <v>1.1355750425840628E-2</v>
      </c>
      <c r="P56" s="2677">
        <f t="shared" si="101"/>
        <v>2.0862358446754544E-2</v>
      </c>
      <c r="Q56" s="2677">
        <f t="shared" si="101"/>
        <v>1.0132282578103011E-2</v>
      </c>
      <c r="R56" s="2630"/>
      <c r="S56" s="2628"/>
      <c r="T56" s="2629"/>
      <c r="U56" s="2629"/>
      <c r="V56" s="2629"/>
      <c r="X56" s="2678"/>
      <c r="Y56" s="2678"/>
      <c r="Z56" s="2678"/>
    </row>
    <row r="57" spans="1:26">
      <c r="A57" s="2620" t="s">
        <v>2609</v>
      </c>
      <c r="B57" s="2633">
        <f t="shared" si="102"/>
        <v>146.57412060301507</v>
      </c>
      <c r="C57" s="2633">
        <f t="shared" si="102"/>
        <v>136.46831955922866</v>
      </c>
      <c r="D57" s="2633">
        <f t="shared" si="76"/>
        <v>136.46831955922866</v>
      </c>
      <c r="E57" s="2633">
        <f t="shared" si="103"/>
        <v>166.73864894795128</v>
      </c>
      <c r="F57" s="2633">
        <f t="shared" si="103"/>
        <v>115.05882352941177</v>
      </c>
      <c r="G57" s="3473">
        <v>2006</v>
      </c>
      <c r="H57" s="2624">
        <v>2</v>
      </c>
      <c r="I57" s="2624">
        <v>0.96</v>
      </c>
      <c r="J57" s="2624">
        <v>0.25</v>
      </c>
      <c r="K57" s="2624">
        <v>1.9</v>
      </c>
      <c r="L57" s="2635">
        <v>0.95</v>
      </c>
      <c r="N57" s="2676">
        <f t="shared" si="100"/>
        <v>1.8352632728861701E-2</v>
      </c>
      <c r="O57" s="2677">
        <f t="shared" si="100"/>
        <v>2.6286459319075526E-3</v>
      </c>
      <c r="P57" s="2677">
        <f t="shared" si="101"/>
        <v>5.4299289107991269E-2</v>
      </c>
      <c r="Q57" s="2677">
        <f t="shared" si="101"/>
        <v>8.9126559714794995E-3</v>
      </c>
      <c r="R57" s="2630"/>
      <c r="S57" s="2628"/>
      <c r="T57" s="2629"/>
      <c r="U57" s="2629"/>
      <c r="V57" s="2629"/>
      <c r="X57" s="2678"/>
      <c r="Y57" s="2678"/>
      <c r="Z57" s="2678"/>
    </row>
    <row r="58" spans="1:26">
      <c r="A58" s="2620" t="s">
        <v>2610</v>
      </c>
      <c r="B58" s="2633">
        <f t="shared" si="102"/>
        <v>144.04145728643215</v>
      </c>
      <c r="C58" s="2633">
        <f t="shared" si="102"/>
        <v>136.12396694214877</v>
      </c>
      <c r="D58" s="2633">
        <f t="shared" si="76"/>
        <v>136.12396694214877</v>
      </c>
      <c r="E58" s="2633">
        <f t="shared" si="103"/>
        <v>158.32225913621264</v>
      </c>
      <c r="F58" s="2633">
        <f t="shared" si="103"/>
        <v>114.04278074866311</v>
      </c>
      <c r="G58" s="3474">
        <v>2006</v>
      </c>
      <c r="H58" s="2623">
        <v>1</v>
      </c>
      <c r="I58" s="2623">
        <v>2.29</v>
      </c>
      <c r="J58" s="2623">
        <v>3.72</v>
      </c>
      <c r="K58" s="2623">
        <v>0.75</v>
      </c>
      <c r="L58" s="2634">
        <v>0.04</v>
      </c>
      <c r="N58" s="2679">
        <f t="shared" si="100"/>
        <v>4.3778675988638847E-2</v>
      </c>
      <c r="O58" s="2680">
        <f t="shared" si="100"/>
        <v>3.9114251466784385E-2</v>
      </c>
      <c r="P58" s="2680">
        <f t="shared" si="101"/>
        <v>2.1433929911049188E-2</v>
      </c>
      <c r="Q58" s="2680">
        <f t="shared" si="101"/>
        <v>3.7526972511492629E-4</v>
      </c>
      <c r="R58" s="2630"/>
      <c r="S58" s="2636">
        <f>B58/B59-1</f>
        <v>4.3778675988638716E-2</v>
      </c>
      <c r="T58" s="2637">
        <f>C58/C59-1</f>
        <v>3.91142514667846E-2</v>
      </c>
      <c r="U58" s="2637">
        <f>E58/E59-1</f>
        <v>2.143392991104931E-2</v>
      </c>
      <c r="V58" s="2637">
        <f>F58/F59-1</f>
        <v>3.7526972511492396E-4</v>
      </c>
      <c r="X58" s="2678"/>
      <c r="Y58" s="2678"/>
      <c r="Z58" s="2678"/>
    </row>
    <row r="59" spans="1:26" ht="13.5" thickBot="1">
      <c r="A59" s="2620" t="s">
        <v>2611</v>
      </c>
      <c r="B59" s="2647">
        <v>138</v>
      </c>
      <c r="C59" s="2647">
        <v>131</v>
      </c>
      <c r="D59" s="2647">
        <f t="shared" si="76"/>
        <v>131</v>
      </c>
      <c r="E59" s="2647">
        <v>155</v>
      </c>
      <c r="F59" s="2648">
        <v>114</v>
      </c>
      <c r="G59" s="3472">
        <v>2005</v>
      </c>
      <c r="H59" s="2639">
        <v>4</v>
      </c>
      <c r="I59" s="2639">
        <v>3.29</v>
      </c>
      <c r="J59" s="2639">
        <v>1.44</v>
      </c>
      <c r="K59" s="2639">
        <v>0.66</v>
      </c>
      <c r="L59" s="2640">
        <v>7.78</v>
      </c>
      <c r="N59" s="2676">
        <f t="shared" ref="N59:O62" si="104">I59/SUM(I$59:I$62)*(B$59/B$63-1)</f>
        <v>9.9404603216919935E-2</v>
      </c>
      <c r="O59" s="2677">
        <f t="shared" si="104"/>
        <v>4.7636550760861554E-2</v>
      </c>
      <c r="P59" s="2677">
        <f t="shared" ref="P59:Q62" si="105">K59/SUM(K$59:K$62)*(E$59/E$63-1)</f>
        <v>8.3756345177664976E-2</v>
      </c>
      <c r="Q59" s="2677">
        <f t="shared" si="105"/>
        <v>5.2148766661559584E-2</v>
      </c>
      <c r="R59" s="2630"/>
      <c r="S59" s="2631"/>
      <c r="T59" s="2632"/>
      <c r="U59" s="2632"/>
      <c r="V59" s="2632"/>
      <c r="X59" s="2678"/>
      <c r="Y59" s="2678"/>
      <c r="Z59" s="2678"/>
    </row>
    <row r="60" spans="1:26">
      <c r="A60" s="2620" t="s">
        <v>2612</v>
      </c>
      <c r="B60" s="2633">
        <f t="shared" ref="B60:C62" si="106">B61+(B$59-B$63)*I60/SUM(I$59:I$62)</f>
        <v>125.9720430107527</v>
      </c>
      <c r="C60" s="2633">
        <f t="shared" si="106"/>
        <v>125.1883408071749</v>
      </c>
      <c r="D60" s="2633">
        <f t="shared" si="76"/>
        <v>125.1883408071749</v>
      </c>
      <c r="E60" s="2633">
        <f t="shared" ref="E60:F62" si="107">E61+(E$59-E$63)*K60/SUM(K$59:K$62)</f>
        <v>144.61421319796952</v>
      </c>
      <c r="F60" s="2633">
        <f t="shared" si="107"/>
        <v>108.42008196721311</v>
      </c>
      <c r="G60" s="3473">
        <v>2005</v>
      </c>
      <c r="H60" s="2644">
        <v>3</v>
      </c>
      <c r="I60" s="2644">
        <v>0.46</v>
      </c>
      <c r="J60" s="2644">
        <v>0.32</v>
      </c>
      <c r="K60" s="2644">
        <v>0.42</v>
      </c>
      <c r="L60" s="2645">
        <v>0.64</v>
      </c>
      <c r="N60" s="2676">
        <f t="shared" si="104"/>
        <v>1.3898515951301874E-2</v>
      </c>
      <c r="O60" s="2677">
        <f t="shared" si="104"/>
        <v>1.0585900169080346E-2</v>
      </c>
      <c r="P60" s="2677">
        <f t="shared" si="105"/>
        <v>5.3299492385786795E-2</v>
      </c>
      <c r="Q60" s="2677">
        <f t="shared" si="105"/>
        <v>4.2898728359123568E-3</v>
      </c>
      <c r="R60" s="2630"/>
      <c r="S60" s="2628"/>
      <c r="T60" s="2629"/>
      <c r="U60" s="2629"/>
      <c r="V60" s="2629"/>
      <c r="X60" s="2678"/>
      <c r="Y60" s="2678"/>
      <c r="Z60" s="2678"/>
    </row>
    <row r="61" spans="1:26">
      <c r="A61" s="2620" t="s">
        <v>2613</v>
      </c>
      <c r="B61" s="2633">
        <f t="shared" si="106"/>
        <v>124.29032258064517</v>
      </c>
      <c r="C61" s="2633">
        <f t="shared" si="106"/>
        <v>123.8968609865471</v>
      </c>
      <c r="D61" s="2633">
        <f t="shared" si="76"/>
        <v>123.8968609865471</v>
      </c>
      <c r="E61" s="2633">
        <f t="shared" si="107"/>
        <v>138.00507614213197</v>
      </c>
      <c r="F61" s="2633">
        <f t="shared" si="107"/>
        <v>107.96106557377048</v>
      </c>
      <c r="G61" s="3473">
        <v>2005</v>
      </c>
      <c r="H61" s="2624">
        <v>2</v>
      </c>
      <c r="I61" s="2624">
        <v>0.47</v>
      </c>
      <c r="J61" s="2624">
        <v>0.1</v>
      </c>
      <c r="K61" s="2624">
        <v>0.52</v>
      </c>
      <c r="L61" s="2635">
        <v>0.79</v>
      </c>
      <c r="N61" s="2676">
        <f t="shared" si="104"/>
        <v>1.420065760241713E-2</v>
      </c>
      <c r="O61" s="2677">
        <f t="shared" si="104"/>
        <v>3.3080938028376083E-3</v>
      </c>
      <c r="P61" s="2677">
        <f t="shared" si="105"/>
        <v>6.598984771573603E-2</v>
      </c>
      <c r="Q61" s="2677">
        <f t="shared" si="105"/>
        <v>5.2953117818293153E-3</v>
      </c>
      <c r="R61" s="2630"/>
      <c r="S61" s="2628"/>
      <c r="T61" s="2629"/>
      <c r="U61" s="2629"/>
      <c r="V61" s="2629"/>
      <c r="X61" s="2678"/>
      <c r="Y61" s="2678"/>
      <c r="Z61" s="2678"/>
    </row>
    <row r="62" spans="1:26">
      <c r="A62" s="2620" t="s">
        <v>2614</v>
      </c>
      <c r="B62" s="2633">
        <f t="shared" si="106"/>
        <v>122.57204301075269</v>
      </c>
      <c r="C62" s="2633">
        <f t="shared" si="106"/>
        <v>123.4932735426009</v>
      </c>
      <c r="D62" s="2633">
        <f t="shared" si="76"/>
        <v>123.4932735426009</v>
      </c>
      <c r="E62" s="2633">
        <f t="shared" si="107"/>
        <v>129.82233502538071</v>
      </c>
      <c r="F62" s="2633">
        <f t="shared" si="107"/>
        <v>107.39446721311475</v>
      </c>
      <c r="G62" s="3474">
        <v>2005</v>
      </c>
      <c r="H62" s="2623">
        <v>1</v>
      </c>
      <c r="I62" s="2623">
        <v>0.43</v>
      </c>
      <c r="J62" s="2623">
        <v>0.37</v>
      </c>
      <c r="K62" s="2623">
        <v>0.37</v>
      </c>
      <c r="L62" s="2634">
        <v>0.55000000000000004</v>
      </c>
      <c r="N62" s="2679">
        <f t="shared" si="104"/>
        <v>1.2992090997956099E-2</v>
      </c>
      <c r="O62" s="2680">
        <f t="shared" si="104"/>
        <v>1.2239947070499151E-2</v>
      </c>
      <c r="P62" s="2680">
        <f t="shared" si="105"/>
        <v>4.6954314720812178E-2</v>
      </c>
      <c r="Q62" s="2680">
        <f t="shared" si="105"/>
        <v>3.6866094683621815E-3</v>
      </c>
      <c r="R62" s="2630"/>
      <c r="S62" s="2636">
        <f>B62/B63-1</f>
        <v>1.2992090997956174E-2</v>
      </c>
      <c r="T62" s="2637">
        <f>C62/C63-1</f>
        <v>1.2239947070499246E-2</v>
      </c>
      <c r="U62" s="2637">
        <f>E62/E63-1</f>
        <v>4.695431472081224E-2</v>
      </c>
      <c r="V62" s="2637">
        <f>F62/F63-1</f>
        <v>3.6866094683620787E-3</v>
      </c>
      <c r="X62" s="2678"/>
      <c r="Y62" s="2678"/>
      <c r="Z62" s="2678"/>
    </row>
    <row r="63" spans="1:26" ht="13.5" thickBot="1">
      <c r="A63" s="2620" t="s">
        <v>2615</v>
      </c>
      <c r="B63" s="2663">
        <v>121</v>
      </c>
      <c r="C63" s="2663">
        <v>122</v>
      </c>
      <c r="D63" s="2663">
        <f t="shared" si="76"/>
        <v>122</v>
      </c>
      <c r="E63" s="2663">
        <v>124</v>
      </c>
      <c r="F63" s="2664">
        <v>107</v>
      </c>
      <c r="G63" s="3472">
        <v>2004</v>
      </c>
      <c r="H63" s="2639">
        <v>4</v>
      </c>
      <c r="I63" s="2639">
        <v>0.33</v>
      </c>
      <c r="J63" s="2639">
        <v>0.5</v>
      </c>
      <c r="K63" s="2639">
        <v>0.5</v>
      </c>
      <c r="L63" s="2640">
        <v>0</v>
      </c>
      <c r="N63" s="2676">
        <f t="shared" ref="N63:O66" si="108">I63/SUM(I$63:I$66)*(B$63/B$67-1)</f>
        <v>1.3391770148526898E-2</v>
      </c>
      <c r="O63" s="2677">
        <f t="shared" si="108"/>
        <v>1.063264221158958E-2</v>
      </c>
      <c r="P63" s="2677">
        <f t="shared" ref="P63:Q66" si="109">K63/SUM(K$63:K$66)*(E$63/E$67-1)</f>
        <v>2.2244466688911134E-2</v>
      </c>
      <c r="Q63" s="2677">
        <f t="shared" si="109"/>
        <v>0</v>
      </c>
      <c r="R63" s="2630"/>
      <c r="S63" s="2631"/>
      <c r="T63" s="2632"/>
      <c r="U63" s="2632"/>
      <c r="V63" s="2632"/>
      <c r="X63" s="2678"/>
      <c r="Y63" s="2678"/>
      <c r="Z63" s="2678"/>
    </row>
    <row r="64" spans="1:26">
      <c r="A64" s="2620" t="s">
        <v>2616</v>
      </c>
      <c r="B64" s="2633">
        <f t="shared" ref="B64:C66" si="110">B65+(B$63-B$67)*I64/SUM(I$63:I$66)</f>
        <v>119.51351351351352</v>
      </c>
      <c r="C64" s="2633">
        <f t="shared" si="110"/>
        <v>120.7878787878788</v>
      </c>
      <c r="D64" s="2633">
        <f t="shared" si="76"/>
        <v>120.7878787878788</v>
      </c>
      <c r="E64" s="2633">
        <f t="shared" ref="E64:F66" si="111">E65+(E$63-E$67)*K64/SUM(K$63:K$66)</f>
        <v>121.5975975975976</v>
      </c>
      <c r="F64" s="2633">
        <f t="shared" si="111"/>
        <v>107</v>
      </c>
      <c r="G64" s="3473">
        <v>2004</v>
      </c>
      <c r="H64" s="2644">
        <v>3</v>
      </c>
      <c r="I64" s="2644">
        <v>0.56000000000000005</v>
      </c>
      <c r="J64" s="2644">
        <v>0.8</v>
      </c>
      <c r="K64" s="2644">
        <v>0.83</v>
      </c>
      <c r="L64" s="2645">
        <v>0.06</v>
      </c>
      <c r="N64" s="2676">
        <f t="shared" si="108"/>
        <v>2.2725428130833527E-2</v>
      </c>
      <c r="O64" s="2677">
        <f t="shared" si="108"/>
        <v>1.7012227538543329E-2</v>
      </c>
      <c r="P64" s="2677">
        <f t="shared" si="109"/>
        <v>3.6925814703592477E-2</v>
      </c>
      <c r="Q64" s="2677">
        <f t="shared" si="109"/>
        <v>2.8846153846153744E-2</v>
      </c>
      <c r="R64" s="2630"/>
      <c r="S64" s="2628"/>
      <c r="T64" s="2629"/>
      <c r="U64" s="2629"/>
      <c r="V64" s="2629"/>
      <c r="X64" s="2678"/>
      <c r="Y64" s="2678"/>
      <c r="Z64" s="2678"/>
    </row>
    <row r="65" spans="1:26">
      <c r="A65" s="2620" t="s">
        <v>2617</v>
      </c>
      <c r="B65" s="2633">
        <f t="shared" si="110"/>
        <v>116.99099099099099</v>
      </c>
      <c r="C65" s="2633">
        <f t="shared" si="110"/>
        <v>118.84848484848486</v>
      </c>
      <c r="D65" s="2633">
        <f t="shared" si="76"/>
        <v>118.84848484848486</v>
      </c>
      <c r="E65" s="2633">
        <f t="shared" si="111"/>
        <v>117.60960960960961</v>
      </c>
      <c r="F65" s="2633">
        <f t="shared" si="111"/>
        <v>104</v>
      </c>
      <c r="G65" s="3473">
        <v>2004</v>
      </c>
      <c r="H65" s="2624">
        <v>2</v>
      </c>
      <c r="I65" s="2624">
        <v>1</v>
      </c>
      <c r="J65" s="2624">
        <v>1.5</v>
      </c>
      <c r="K65" s="2624">
        <v>1.5</v>
      </c>
      <c r="L65" s="2635">
        <v>0</v>
      </c>
      <c r="N65" s="2676">
        <f t="shared" si="108"/>
        <v>4.0581121662202721E-2</v>
      </c>
      <c r="O65" s="2677">
        <f t="shared" si="108"/>
        <v>3.1897926634768738E-2</v>
      </c>
      <c r="P65" s="2677">
        <f t="shared" si="109"/>
        <v>6.6733400066733395E-2</v>
      </c>
      <c r="Q65" s="2677">
        <f t="shared" si="109"/>
        <v>0</v>
      </c>
      <c r="R65" s="2630"/>
      <c r="S65" s="2628"/>
      <c r="T65" s="2629"/>
      <c r="U65" s="2629"/>
      <c r="V65" s="2629"/>
      <c r="X65" s="2678"/>
      <c r="Y65" s="2678"/>
      <c r="Z65" s="2678"/>
    </row>
    <row r="66" spans="1:26" s="2669" customFormat="1" ht="13.5" thickBot="1">
      <c r="A66" s="2620" t="s">
        <v>2618</v>
      </c>
      <c r="B66" s="2666">
        <f t="shared" si="110"/>
        <v>112.48648648648648</v>
      </c>
      <c r="C66" s="2666">
        <f t="shared" si="110"/>
        <v>115.21212121212122</v>
      </c>
      <c r="D66" s="2666">
        <f t="shared" si="76"/>
        <v>115.21212121212122</v>
      </c>
      <c r="E66" s="2666">
        <f t="shared" si="111"/>
        <v>110.4024024024024</v>
      </c>
      <c r="F66" s="2666">
        <f t="shared" si="111"/>
        <v>104</v>
      </c>
      <c r="G66" s="3474">
        <v>2004</v>
      </c>
      <c r="H66" s="2667">
        <v>1</v>
      </c>
      <c r="I66" s="2667">
        <v>0.33</v>
      </c>
      <c r="J66" s="2667">
        <v>0.5</v>
      </c>
      <c r="K66" s="2667">
        <v>0.5</v>
      </c>
      <c r="L66" s="2668">
        <v>0</v>
      </c>
      <c r="N66" s="2681">
        <f t="shared" si="108"/>
        <v>1.3391770148526898E-2</v>
      </c>
      <c r="O66" s="2682">
        <f t="shared" si="108"/>
        <v>1.063264221158958E-2</v>
      </c>
      <c r="P66" s="2682">
        <f t="shared" si="109"/>
        <v>2.2244466688911134E-2</v>
      </c>
      <c r="Q66" s="2682">
        <f t="shared" si="109"/>
        <v>0</v>
      </c>
      <c r="R66" s="2672"/>
      <c r="S66" s="2670">
        <f>B66/B67-1</f>
        <v>1.3391770148526883E-2</v>
      </c>
      <c r="T66" s="2671">
        <f>C66/C67-1</f>
        <v>1.063264221158966E-2</v>
      </c>
      <c r="U66" s="2671">
        <f>E66/E67-1</f>
        <v>2.2244466688911224E-2</v>
      </c>
      <c r="V66" s="2671">
        <f>F66/F67-1</f>
        <v>0</v>
      </c>
      <c r="X66" s="2683"/>
      <c r="Y66" s="2683"/>
      <c r="Z66" s="2683"/>
    </row>
    <row r="67" spans="1:26" ht="13.5" thickBot="1">
      <c r="A67" s="2620" t="s">
        <v>2619</v>
      </c>
      <c r="B67" s="2684">
        <v>111</v>
      </c>
      <c r="C67" s="2684">
        <v>114</v>
      </c>
      <c r="D67" s="2684">
        <f t="shared" si="76"/>
        <v>114</v>
      </c>
      <c r="E67" s="2684">
        <v>108</v>
      </c>
      <c r="F67" s="2685">
        <v>104</v>
      </c>
      <c r="G67" s="3472">
        <v>2003</v>
      </c>
      <c r="H67" s="2674">
        <v>4</v>
      </c>
      <c r="I67" s="2686"/>
      <c r="J67" s="2686"/>
      <c r="K67" s="2686"/>
      <c r="L67" s="2686"/>
      <c r="N67" s="2687"/>
      <c r="O67" s="2686"/>
      <c r="P67" s="2686"/>
      <c r="Q67" s="2686"/>
      <c r="S67" s="2687"/>
      <c r="T67" s="2686"/>
      <c r="U67" s="2686"/>
      <c r="V67" s="2686"/>
      <c r="X67" s="2678"/>
      <c r="Y67" s="2678"/>
      <c r="Z67" s="2678"/>
    </row>
    <row r="68" spans="1:26">
      <c r="A68" s="2620" t="s">
        <v>2620</v>
      </c>
      <c r="B68" s="2688">
        <f t="shared" ref="B68:C70" si="112">B69+(B$67-B$71)/4</f>
        <v>109.75</v>
      </c>
      <c r="C68" s="2688">
        <f t="shared" si="112"/>
        <v>112.25</v>
      </c>
      <c r="D68" s="2688">
        <f t="shared" si="76"/>
        <v>112.25</v>
      </c>
      <c r="E68" s="2688">
        <f t="shared" ref="E68:F70" si="113">E69+(E$67-E$71)/4</f>
        <v>107.25</v>
      </c>
      <c r="F68" s="2688">
        <f t="shared" si="113"/>
        <v>103.5</v>
      </c>
      <c r="G68" s="3473">
        <v>2003</v>
      </c>
      <c r="H68" s="2644">
        <v>3</v>
      </c>
      <c r="I68" s="2686"/>
      <c r="J68" s="2686"/>
      <c r="K68" s="2686"/>
      <c r="L68" s="2686"/>
      <c r="X68" s="2678"/>
      <c r="Y68" s="2678"/>
      <c r="Z68" s="2678"/>
    </row>
    <row r="69" spans="1:26">
      <c r="A69" s="2620" t="s">
        <v>2621</v>
      </c>
      <c r="B69" s="2688">
        <f t="shared" si="112"/>
        <v>108.5</v>
      </c>
      <c r="C69" s="2688">
        <f t="shared" si="112"/>
        <v>110.5</v>
      </c>
      <c r="D69" s="2688">
        <f t="shared" si="76"/>
        <v>110.5</v>
      </c>
      <c r="E69" s="2688">
        <f t="shared" si="113"/>
        <v>106.5</v>
      </c>
      <c r="F69" s="2688">
        <f t="shared" si="113"/>
        <v>103</v>
      </c>
      <c r="G69" s="3473">
        <v>2003</v>
      </c>
      <c r="H69" s="2624">
        <v>2</v>
      </c>
      <c r="I69" s="2686"/>
      <c r="J69" s="2686"/>
      <c r="K69" s="2686"/>
      <c r="L69" s="2686"/>
      <c r="X69" s="2678"/>
      <c r="Y69" s="2678"/>
      <c r="Z69" s="2678"/>
    </row>
    <row r="70" spans="1:26" ht="13.5" thickBot="1">
      <c r="A70" s="2620" t="s">
        <v>2622</v>
      </c>
      <c r="B70" s="2688">
        <f t="shared" si="112"/>
        <v>107.25</v>
      </c>
      <c r="C70" s="2688">
        <f t="shared" si="112"/>
        <v>108.75</v>
      </c>
      <c r="D70" s="2688">
        <f t="shared" si="76"/>
        <v>108.75</v>
      </c>
      <c r="E70" s="2688">
        <f t="shared" si="113"/>
        <v>105.75</v>
      </c>
      <c r="F70" s="2688">
        <f t="shared" si="113"/>
        <v>102.5</v>
      </c>
      <c r="G70" s="3474">
        <v>2003</v>
      </c>
      <c r="H70" s="2689">
        <v>1</v>
      </c>
      <c r="I70" s="2686"/>
      <c r="J70" s="2686"/>
      <c r="K70" s="2686"/>
      <c r="L70" s="2686"/>
      <c r="S70" s="2628"/>
      <c r="T70" s="2629"/>
      <c r="U70" s="2629"/>
      <c r="X70" s="2678"/>
      <c r="Y70" s="2678"/>
      <c r="Z70" s="2678"/>
    </row>
    <row r="71" spans="1:26" ht="13.5" thickBot="1">
      <c r="A71" s="2620" t="s">
        <v>2623</v>
      </c>
      <c r="B71" s="2690">
        <v>106</v>
      </c>
      <c r="C71" s="2690">
        <v>107</v>
      </c>
      <c r="D71" s="2690">
        <f t="shared" si="76"/>
        <v>107</v>
      </c>
      <c r="E71" s="2690">
        <v>105</v>
      </c>
      <c r="F71" s="2691">
        <v>102</v>
      </c>
      <c r="G71" s="3472">
        <v>2002</v>
      </c>
      <c r="H71" s="2639">
        <v>4</v>
      </c>
      <c r="I71" s="2686"/>
      <c r="J71" s="2686"/>
      <c r="K71" s="2686"/>
      <c r="L71" s="2686"/>
      <c r="N71" s="2687"/>
      <c r="O71" s="2686"/>
      <c r="P71" s="2686"/>
      <c r="Q71" s="2686"/>
      <c r="S71" s="2687"/>
      <c r="T71" s="2686"/>
      <c r="U71" s="2686"/>
      <c r="V71" s="2686"/>
      <c r="X71" s="2678"/>
      <c r="Y71" s="2678"/>
      <c r="Z71" s="2678"/>
    </row>
    <row r="72" spans="1:26">
      <c r="A72" s="2620" t="s">
        <v>2624</v>
      </c>
      <c r="B72" s="2688">
        <f t="shared" ref="B72:C74" si="114">B73+(B$71-B$75)/4</f>
        <v>105</v>
      </c>
      <c r="C72" s="2688">
        <f t="shared" si="114"/>
        <v>106</v>
      </c>
      <c r="D72" s="2688">
        <f t="shared" si="76"/>
        <v>106</v>
      </c>
      <c r="E72" s="2688">
        <f t="shared" ref="E72:F74" si="115">E73+(E$71-E$75)/4</f>
        <v>104.5</v>
      </c>
      <c r="F72" s="2688">
        <f t="shared" si="115"/>
        <v>101.5</v>
      </c>
      <c r="G72" s="3473">
        <v>2002</v>
      </c>
      <c r="H72" s="2644">
        <v>3</v>
      </c>
      <c r="I72" s="2686"/>
      <c r="J72" s="2686"/>
      <c r="K72" s="2686"/>
      <c r="L72" s="2686"/>
      <c r="X72" s="2678"/>
      <c r="Y72" s="2678"/>
      <c r="Z72" s="2678"/>
    </row>
    <row r="73" spans="1:26">
      <c r="A73" s="2620" t="s">
        <v>2625</v>
      </c>
      <c r="B73" s="2688">
        <f t="shared" si="114"/>
        <v>104</v>
      </c>
      <c r="C73" s="2688">
        <f t="shared" si="114"/>
        <v>105</v>
      </c>
      <c r="D73" s="2688">
        <f t="shared" si="76"/>
        <v>105</v>
      </c>
      <c r="E73" s="2688">
        <f t="shared" si="115"/>
        <v>104</v>
      </c>
      <c r="F73" s="2688">
        <f t="shared" si="115"/>
        <v>101</v>
      </c>
      <c r="G73" s="3473">
        <v>2002</v>
      </c>
      <c r="H73" s="2624">
        <v>2</v>
      </c>
      <c r="I73" s="2686"/>
      <c r="J73" s="2686"/>
      <c r="K73" s="2686"/>
      <c r="L73" s="2686"/>
      <c r="X73" s="2678"/>
      <c r="Y73" s="2678"/>
      <c r="Z73" s="2678"/>
    </row>
    <row r="74" spans="1:26" s="2655" customFormat="1" ht="13.5" thickBot="1">
      <c r="A74" s="2651" t="s">
        <v>2626</v>
      </c>
      <c r="B74" s="2692">
        <f t="shared" si="114"/>
        <v>103</v>
      </c>
      <c r="C74" s="2692">
        <f t="shared" si="114"/>
        <v>104</v>
      </c>
      <c r="D74" s="2692">
        <f t="shared" si="76"/>
        <v>104</v>
      </c>
      <c r="E74" s="2692">
        <f t="shared" si="115"/>
        <v>103.5</v>
      </c>
      <c r="F74" s="2692">
        <f t="shared" si="115"/>
        <v>100.5</v>
      </c>
      <c r="G74" s="3474">
        <v>2002</v>
      </c>
      <c r="H74" s="2693">
        <v>1</v>
      </c>
      <c r="I74" s="2694"/>
      <c r="J74" s="2694"/>
      <c r="K74" s="2694"/>
      <c r="L74" s="2694"/>
      <c r="N74" s="2695"/>
      <c r="S74" s="2695"/>
      <c r="X74" s="2696"/>
      <c r="Y74" s="2696"/>
      <c r="Z74" s="2696"/>
    </row>
    <row r="75" spans="1:26" ht="13.5" thickBot="1">
      <c r="B75" s="2697">
        <v>102</v>
      </c>
      <c r="C75" s="2698">
        <v>103</v>
      </c>
      <c r="D75" s="2698">
        <f t="shared" si="76"/>
        <v>103</v>
      </c>
      <c r="E75" s="2698">
        <v>103</v>
      </c>
      <c r="F75" s="2699">
        <v>100</v>
      </c>
      <c r="I75" s="2686"/>
      <c r="J75" s="2686"/>
      <c r="K75" s="2686"/>
      <c r="L75" s="2686"/>
      <c r="N75" s="2687"/>
      <c r="O75" s="2686"/>
      <c r="P75" s="2686"/>
      <c r="Q75" s="2686"/>
      <c r="S75" s="2687"/>
      <c r="T75" s="2686"/>
      <c r="U75" s="2686"/>
      <c r="V75" s="2686"/>
      <c r="X75" s="2632"/>
      <c r="Y75" s="2632"/>
      <c r="Z75" s="2632"/>
    </row>
    <row r="77" spans="1:26" s="2701" customFormat="1">
      <c r="A77" s="2700" t="s">
        <v>2627</v>
      </c>
      <c r="G77" s="2702"/>
      <c r="N77" s="2702"/>
      <c r="S77" s="2702"/>
    </row>
    <row r="78" spans="1:26" s="2701" customFormat="1">
      <c r="A78" s="2701" t="s">
        <v>2628</v>
      </c>
      <c r="G78" s="2702"/>
      <c r="N78" s="2702"/>
      <c r="S78" s="2702"/>
    </row>
    <row r="79" spans="1:26" s="2701" customFormat="1">
      <c r="A79" s="2701" t="s">
        <v>2629</v>
      </c>
      <c r="G79" s="2702"/>
      <c r="I79" s="2703"/>
      <c r="J79" s="2703"/>
      <c r="K79" s="2703"/>
      <c r="L79" s="2703"/>
      <c r="N79" s="2704"/>
      <c r="O79" s="2703"/>
      <c r="P79" s="2703"/>
      <c r="Q79" s="2703"/>
      <c r="S79" s="2704"/>
      <c r="T79" s="2703"/>
      <c r="U79" s="2703"/>
      <c r="V79" s="2703"/>
    </row>
    <row r="80" spans="1:26" s="2701" customFormat="1">
      <c r="A80" s="2701" t="s">
        <v>2630</v>
      </c>
      <c r="G80" s="2702"/>
      <c r="N80" s="2702"/>
      <c r="S80" s="2702"/>
    </row>
    <row r="87" spans="7:22" ht="13.5" thickBot="1"/>
    <row r="88" spans="7:22">
      <c r="G88" s="2627"/>
      <c r="S88" s="2705" t="s">
        <v>2631</v>
      </c>
      <c r="T88" s="2706" t="s">
        <v>2632</v>
      </c>
      <c r="U88" s="2706" t="s">
        <v>2633</v>
      </c>
      <c r="V88" s="2706" t="s">
        <v>2634</v>
      </c>
    </row>
    <row r="89" spans="7:22">
      <c r="G89" s="2627"/>
      <c r="N89" s="2631"/>
      <c r="O89" s="2632"/>
      <c r="P89" s="2632"/>
      <c r="Q89" s="2632"/>
      <c r="S89" s="2707">
        <v>2006</v>
      </c>
      <c r="T89" s="2708">
        <v>15.1</v>
      </c>
      <c r="U89" s="2708">
        <v>7.43</v>
      </c>
      <c r="V89" s="2708">
        <v>26.26</v>
      </c>
    </row>
    <row r="90" spans="7:22">
      <c r="G90" s="2627"/>
      <c r="N90" s="2631"/>
      <c r="O90" s="2632"/>
      <c r="P90" s="2632"/>
      <c r="Q90" s="2632"/>
      <c r="S90" s="2710">
        <v>2005</v>
      </c>
      <c r="T90" s="2709">
        <v>13.9</v>
      </c>
      <c r="U90" s="2709">
        <v>7.49</v>
      </c>
      <c r="V90" s="2709">
        <v>24.92</v>
      </c>
    </row>
    <row r="91" spans="7:22">
      <c r="G91" s="2627"/>
      <c r="N91" s="2631"/>
      <c r="O91" s="2632"/>
      <c r="P91" s="2632"/>
      <c r="Q91" s="2632"/>
      <c r="S91" s="2707">
        <v>2004</v>
      </c>
      <c r="T91" s="2708">
        <v>9.48</v>
      </c>
      <c r="U91" s="2708">
        <v>7.2</v>
      </c>
      <c r="V91" s="2708">
        <v>14.68</v>
      </c>
    </row>
    <row r="92" spans="7:22">
      <c r="G92" s="2627"/>
      <c r="N92" s="2631"/>
      <c r="O92" s="2632"/>
      <c r="P92" s="2632"/>
      <c r="Q92" s="2632"/>
      <c r="S92" s="2710">
        <v>2003</v>
      </c>
      <c r="T92" s="2709">
        <v>4.5</v>
      </c>
      <c r="U92" s="2709">
        <v>6.12</v>
      </c>
      <c r="V92" s="2709">
        <v>2.34</v>
      </c>
    </row>
    <row r="93" spans="7:22" ht="13.5" thickBot="1">
      <c r="G93" s="2627"/>
      <c r="N93" s="2631"/>
      <c r="O93" s="2632"/>
      <c r="P93" s="2632"/>
      <c r="Q93" s="2632"/>
      <c r="S93" s="2711">
        <v>2002</v>
      </c>
      <c r="T93" s="2712">
        <v>3.59</v>
      </c>
      <c r="U93" s="2712">
        <v>4.54</v>
      </c>
      <c r="V93" s="2712">
        <v>2.5499999999999998</v>
      </c>
    </row>
    <row r="94" spans="7:22">
      <c r="G94" s="2627"/>
      <c r="N94" s="2631"/>
      <c r="O94" s="2632"/>
      <c r="P94" s="2632"/>
      <c r="Q94" s="2632"/>
    </row>
    <row r="95" spans="7:22">
      <c r="G95" s="2627"/>
      <c r="N95" s="2631"/>
      <c r="O95" s="2632"/>
      <c r="P95" s="2632"/>
      <c r="Q95" s="2632"/>
    </row>
    <row r="96" spans="7: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c r="S104" s="2627"/>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sheetData>
  <sheetProtection sheet="1" objects="1" scenarios="1" formatCells="0" formatColumns="0" formatRows="0"/>
  <mergeCells count="23">
    <mergeCell ref="G11:G14"/>
    <mergeCell ref="G7:G10"/>
    <mergeCell ref="G35:G38"/>
    <mergeCell ref="G39:G42"/>
    <mergeCell ref="G43:G46"/>
    <mergeCell ref="G15:G18"/>
    <mergeCell ref="G19:G22"/>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s>
  <phoneticPr fontId="229"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2945</v>
      </c>
      <c r="B1" s="3058"/>
      <c r="C1" s="3058"/>
      <c r="D1" s="3058"/>
      <c r="E1" s="3058"/>
      <c r="F1" s="3058"/>
    </row>
    <row r="2" spans="1:6" ht="14.25">
      <c r="A2" s="3059" t="s">
        <v>2940</v>
      </c>
      <c r="B2" s="3060" t="e">
        <f ca="1">SUMIF(B7:B14,"&lt;&gt;#ref!",B7:B14)</f>
        <v>#DIV/0!</v>
      </c>
      <c r="C2" s="3059" t="s">
        <v>2941</v>
      </c>
      <c r="D2" s="3058"/>
      <c r="E2" s="3058"/>
      <c r="F2" s="3058"/>
    </row>
    <row r="3" spans="1:6" ht="14.25">
      <c r="A3" s="3059" t="s">
        <v>2973</v>
      </c>
      <c r="B3" s="3060" t="e">
        <f ca="1">ROUND(B2*10000/E3,0)</f>
        <v>#DIV/0!</v>
      </c>
      <c r="C3" s="3059" t="s">
        <v>2076</v>
      </c>
      <c r="D3" s="3059" t="s">
        <v>2942</v>
      </c>
      <c r="E3" s="3060">
        <f ca="1">SUMIF(E7:E14,"&lt;&gt;#ref!",E7:E14)</f>
        <v>0</v>
      </c>
      <c r="F3" s="3058"/>
    </row>
    <row r="4" spans="1:6" ht="14.25">
      <c r="A4" s="3059" t="s">
        <v>2949</v>
      </c>
      <c r="B4" s="3060" t="e">
        <f ca="1">ROUND(B2*10000/E4,0)</f>
        <v>#DIV/0!</v>
      </c>
      <c r="C4" s="3059" t="s">
        <v>2076</v>
      </c>
      <c r="D4" s="3059" t="s">
        <v>2950</v>
      </c>
      <c r="E4" s="3060">
        <f ca="1">SUMIF(F7:F14,"&lt;&gt;#ref!",F7:F14)</f>
        <v>0</v>
      </c>
      <c r="F4" s="3058"/>
    </row>
    <row r="5" spans="1:6" ht="14.25">
      <c r="A5" s="3061"/>
      <c r="B5" s="1867"/>
      <c r="C5" s="1867"/>
      <c r="D5" s="1867"/>
      <c r="E5" s="1867"/>
      <c r="F5" s="3058"/>
    </row>
    <row r="6" spans="1:6" ht="28.5">
      <c r="A6" s="3062" t="s">
        <v>2946</v>
      </c>
      <c r="B6" s="3059" t="s">
        <v>2943</v>
      </c>
      <c r="C6" s="3060"/>
      <c r="D6" s="1867"/>
      <c r="E6" s="3059" t="s">
        <v>2944</v>
      </c>
      <c r="F6" s="3059" t="s">
        <v>2948</v>
      </c>
    </row>
    <row r="7" spans="1:6" ht="14.25">
      <c r="A7" s="260" t="s">
        <v>2947</v>
      </c>
      <c r="B7" s="3063" t="e">
        <f ca="1">SUMIF(INDIRECT("'"&amp;A7&amp;"'"&amp;"!A:A"),"总价",INDIRECT("'"&amp;A7&amp;"'"&amp;"!B:B"))</f>
        <v>#DIV/0!</v>
      </c>
      <c r="C7" s="3059" t="s">
        <v>2941</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2941</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2941</v>
      </c>
      <c r="D9" s="1867"/>
      <c r="E9" s="3064" t="e">
        <f t="shared" ca="1" si="1"/>
        <v>#REF!</v>
      </c>
      <c r="F9" s="3064" t="e">
        <f t="shared" ca="1" si="2"/>
        <v>#REF!</v>
      </c>
    </row>
    <row r="10" spans="1:6" ht="14.25">
      <c r="A10" s="260"/>
      <c r="B10" s="3063" t="e">
        <f t="shared" ca="1" si="0"/>
        <v>#REF!</v>
      </c>
      <c r="C10" s="3059" t="s">
        <v>2941</v>
      </c>
      <c r="D10" s="1867"/>
      <c r="E10" s="3064" t="e">
        <f t="shared" ca="1" si="1"/>
        <v>#REF!</v>
      </c>
      <c r="F10" s="3064" t="e">
        <f t="shared" ca="1" si="2"/>
        <v>#REF!</v>
      </c>
    </row>
    <row r="11" spans="1:6" ht="14.25">
      <c r="A11" s="260"/>
      <c r="B11" s="3063" t="e">
        <f t="shared" ca="1" si="0"/>
        <v>#REF!</v>
      </c>
      <c r="C11" s="3059" t="s">
        <v>2941</v>
      </c>
      <c r="D11" s="1867"/>
      <c r="E11" s="3064" t="e">
        <f t="shared" ca="1" si="1"/>
        <v>#REF!</v>
      </c>
      <c r="F11" s="3064" t="e">
        <f t="shared" ca="1" si="2"/>
        <v>#REF!</v>
      </c>
    </row>
    <row r="12" spans="1:6" ht="14.25">
      <c r="A12" s="260"/>
      <c r="B12" s="3063" t="e">
        <f t="shared" ca="1" si="0"/>
        <v>#REF!</v>
      </c>
      <c r="C12" s="3059" t="s">
        <v>2941</v>
      </c>
      <c r="D12" s="1867"/>
      <c r="E12" s="3064" t="e">
        <f t="shared" ca="1" si="1"/>
        <v>#REF!</v>
      </c>
      <c r="F12" s="3064" t="e">
        <f t="shared" ca="1" si="2"/>
        <v>#REF!</v>
      </c>
    </row>
    <row r="13" spans="1:6" ht="14.25">
      <c r="A13" s="260"/>
      <c r="B13" s="3063" t="e">
        <f t="shared" ca="1" si="0"/>
        <v>#REF!</v>
      </c>
      <c r="C13" s="3059" t="s">
        <v>2941</v>
      </c>
      <c r="D13" s="1867"/>
      <c r="E13" s="3064" t="e">
        <f t="shared" ca="1" si="1"/>
        <v>#REF!</v>
      </c>
      <c r="F13" s="3064" t="e">
        <f t="shared" ca="1" si="2"/>
        <v>#REF!</v>
      </c>
    </row>
    <row r="14" spans="1:6" ht="14.25">
      <c r="A14" s="3057"/>
      <c r="B14" s="3063" t="e">
        <f t="shared" ca="1" si="0"/>
        <v>#REF!</v>
      </c>
      <c r="C14" s="3059" t="s">
        <v>2941</v>
      </c>
      <c r="D14" s="1867"/>
      <c r="E14" s="3064" t="e">
        <f t="shared" ca="1" si="1"/>
        <v>#REF!</v>
      </c>
      <c r="F14" s="3064"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56.25">
      <c r="A7" s="1781" t="s">
        <v>2743</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2937</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18.75">
      <c r="A21" s="1777" t="s">
        <v>2072</v>
      </c>
    </row>
    <row r="22" spans="1:1" ht="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诸国用（2013）第03050、03053、03056、03059、03061、03069、02087、02089号]证载土地终止日期为商业2053年7月4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2371</v>
      </c>
      <c r="F1" s="2353">
        <f ca="1">J54</f>
        <v>-1</v>
      </c>
      <c r="G1" s="774">
        <f>MATCH(C1,'数据-取费表'!A6:A16,0)+5</f>
        <v>7</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1685</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2454</v>
      </c>
      <c r="C7" s="53">
        <f ca="1">C8+C12+C14</f>
        <v>0</v>
      </c>
      <c r="D7" s="2461" t="s">
        <v>2457</v>
      </c>
      <c r="E7" s="2455"/>
      <c r="F7" s="2456"/>
      <c r="G7" s="1579"/>
      <c r="H7" s="781">
        <v>1</v>
      </c>
      <c r="I7" s="782" t="s">
        <v>2454</v>
      </c>
      <c r="J7" s="53">
        <f ca="1">J8+J12+J14</f>
        <v>0</v>
      </c>
      <c r="K7" s="2461" t="s">
        <v>2457</v>
      </c>
      <c r="L7" s="2455"/>
      <c r="M7" s="2456"/>
    </row>
    <row r="8" spans="1:25" ht="18" customHeight="1">
      <c r="A8" s="1816" t="s">
        <v>1823</v>
      </c>
      <c r="B8" s="3481" t="s">
        <v>2459</v>
      </c>
      <c r="C8" s="1811">
        <f ca="1">ROUND(F8*F10*F9*(1-F11)/10000,0)</f>
        <v>0</v>
      </c>
      <c r="D8" s="1808" t="s">
        <v>2530</v>
      </c>
      <c r="E8" s="61" t="s">
        <v>637</v>
      </c>
      <c r="F8" s="785">
        <f ca="1">INDIRECT("'数据-取费表'!u"&amp;$G$1)</f>
        <v>0</v>
      </c>
      <c r="G8" s="1579"/>
      <c r="H8" s="2469" t="s">
        <v>1823</v>
      </c>
      <c r="I8" s="3481" t="s">
        <v>2459</v>
      </c>
      <c r="J8" s="783">
        <f ca="1">ROUND(M8*M10*M9*(1-M11)/10000,0)</f>
        <v>0</v>
      </c>
      <c r="K8" s="341" t="s">
        <v>2530</v>
      </c>
      <c r="L8" s="784" t="s">
        <v>1737</v>
      </c>
      <c r="M8" s="785">
        <f ca="1">INDIRECT("'数据-取费表'!z"&amp;$G$1)</f>
        <v>0</v>
      </c>
    </row>
    <row r="9" spans="1:25" ht="18" customHeight="1">
      <c r="A9" s="2465"/>
      <c r="B9" s="3482"/>
      <c r="C9" s="1812"/>
      <c r="D9" s="1809"/>
      <c r="E9" s="61" t="s">
        <v>638</v>
      </c>
      <c r="F9" s="785">
        <f ca="1">IF(INDIRECT("'数据-取费表'!ah"&amp;$G$1)="",INDIRECT("'数据-取费表'!k"&amp;$G$1),INDIRECT("'数据-取费表'!ah"&amp;$G$1))</f>
        <v>0</v>
      </c>
      <c r="G9" s="1579"/>
      <c r="H9" s="2454"/>
      <c r="I9" s="3482"/>
      <c r="J9" s="788"/>
      <c r="K9" s="789"/>
      <c r="L9" s="784" t="s">
        <v>1738</v>
      </c>
      <c r="M9" s="785">
        <f ca="1">F9</f>
        <v>0</v>
      </c>
    </row>
    <row r="10" spans="1:25" ht="18" customHeight="1">
      <c r="A10" s="2458"/>
      <c r="B10" s="3483"/>
      <c r="C10" s="1812"/>
      <c r="D10" s="1809"/>
      <c r="E10" s="61" t="s">
        <v>639</v>
      </c>
      <c r="F10" s="785">
        <f ca="1">INDIRECT("'数据-取费表'!ai"&amp;$G$1)</f>
        <v>0</v>
      </c>
      <c r="G10" s="1579"/>
      <c r="H10" s="2454"/>
      <c r="I10" s="3483"/>
      <c r="J10" s="788"/>
      <c r="K10" s="789"/>
      <c r="L10" s="784" t="s">
        <v>1739</v>
      </c>
      <c r="M10" s="785">
        <f ca="1">INDIRECT("'数据-取费表'!ai"&amp;$G$1)</f>
        <v>0</v>
      </c>
    </row>
    <row r="11" spans="1:25" ht="18" customHeight="1">
      <c r="A11" s="786"/>
      <c r="B11" s="3484"/>
      <c r="C11" s="1812"/>
      <c r="D11" s="1809"/>
      <c r="E11" s="61" t="s">
        <v>640</v>
      </c>
      <c r="F11" s="794">
        <f ca="1">INDIRECT("'数据-取费表'!w"&amp;$G$1)</f>
        <v>0</v>
      </c>
      <c r="G11" s="1579"/>
      <c r="H11" s="2470"/>
      <c r="I11" s="3483"/>
      <c r="J11" s="788"/>
      <c r="K11" s="789"/>
      <c r="L11" s="795" t="s">
        <v>1740</v>
      </c>
      <c r="M11" s="796">
        <f ca="1">INDIRECT("'数据-取费表'!ab"&amp;$G$1)</f>
        <v>0</v>
      </c>
    </row>
    <row r="12" spans="1:25" ht="18" customHeight="1">
      <c r="A12" s="1816" t="s">
        <v>1824</v>
      </c>
      <c r="B12" s="2459" t="s">
        <v>2455</v>
      </c>
      <c r="C12" s="799">
        <f ca="1">ROUND(IF(F12="押一",C8/12*F13,IF(F12="押二",C8/12*2*F13,IF(F12="押三",C8/12*3*F13,C13*F13))),0)</f>
        <v>0</v>
      </c>
      <c r="D12" s="2466" t="s">
        <v>2970</v>
      </c>
      <c r="E12" s="2463" t="s">
        <v>2460</v>
      </c>
      <c r="F12" s="2586"/>
      <c r="G12" s="1579"/>
      <c r="H12" s="2526" t="s">
        <v>1824</v>
      </c>
      <c r="I12" s="2531" t="s">
        <v>2455</v>
      </c>
      <c r="J12" s="783">
        <f ca="1">ROUND(IF(M12="押一",J8/12*M13,IF(M12="押二",J8/12*2*M13,IF(M12="押三",J8/12*3*M13,J13*M13))),0)</f>
        <v>0</v>
      </c>
      <c r="K12" s="2466" t="s">
        <v>2970</v>
      </c>
      <c r="L12" s="2463" t="s">
        <v>2460</v>
      </c>
      <c r="M12" s="2586"/>
    </row>
    <row r="13" spans="1:25" ht="18" customHeight="1">
      <c r="A13" s="790"/>
      <c r="B13" s="2460" t="s">
        <v>2569</v>
      </c>
      <c r="C13" s="2464"/>
      <c r="D13" s="789"/>
      <c r="E13" s="2463" t="s">
        <v>2452</v>
      </c>
      <c r="F13" s="796">
        <f ca="1">'数据-取费表'!B39</f>
        <v>1.4999999999999999E-2</v>
      </c>
      <c r="G13" s="1579"/>
      <c r="H13" s="2527"/>
      <c r="I13" s="2460" t="s">
        <v>2569</v>
      </c>
      <c r="J13" s="2464"/>
      <c r="K13" s="2528"/>
      <c r="L13" s="2463" t="s">
        <v>2452</v>
      </c>
      <c r="M13" s="2457">
        <f ca="1">'数据-取费表'!B39</f>
        <v>1.4999999999999999E-2</v>
      </c>
    </row>
    <row r="14" spans="1:25" ht="18" customHeight="1" thickBot="1">
      <c r="A14" s="2502" t="s">
        <v>2463</v>
      </c>
      <c r="B14" s="2503" t="s">
        <v>2456</v>
      </c>
      <c r="C14" s="2504"/>
      <c r="D14" s="2505"/>
      <c r="E14" s="2506"/>
      <c r="F14" s="2507"/>
      <c r="G14" s="1579"/>
      <c r="H14" s="2516" t="s">
        <v>2463</v>
      </c>
      <c r="I14" s="2529" t="s">
        <v>2456</v>
      </c>
      <c r="J14" s="2530"/>
      <c r="K14" s="2505"/>
      <c r="L14" s="2506"/>
      <c r="M14" s="2519"/>
    </row>
    <row r="15" spans="1:25" ht="18" customHeight="1" thickTop="1">
      <c r="A15" s="1815" t="s">
        <v>1873</v>
      </c>
      <c r="B15" s="1813" t="s">
        <v>641</v>
      </c>
      <c r="C15" s="792">
        <f ca="1">ROUND(C31*F15,0)</f>
        <v>0</v>
      </c>
      <c r="D15" s="1820" t="s">
        <v>642</v>
      </c>
      <c r="E15" s="795" t="s">
        <v>643</v>
      </c>
      <c r="F15" s="800">
        <f ca="1">INDIRECT("'数据-取费表'!y"&amp;$G$1)</f>
        <v>0</v>
      </c>
      <c r="G15" s="1579"/>
      <c r="H15" s="1815" t="s">
        <v>1825</v>
      </c>
      <c r="I15" s="1813" t="s">
        <v>644</v>
      </c>
      <c r="J15" s="1805">
        <f ca="1">ROUND(J16*J17,0)</f>
        <v>0</v>
      </c>
      <c r="K15" s="1807" t="s">
        <v>642</v>
      </c>
      <c r="L15" s="801"/>
      <c r="M15" s="802"/>
    </row>
    <row r="16" spans="1:25" ht="18" customHeight="1">
      <c r="A16" s="803" t="s">
        <v>1874</v>
      </c>
      <c r="B16" s="784" t="s">
        <v>645</v>
      </c>
      <c r="C16" s="804">
        <f ca="1">INDIRECT("'数据-取费表'!m"&amp;$G$1)+INDIRECT("'数据-取费表'!t"&amp;$G$1)</f>
        <v>0</v>
      </c>
      <c r="D16" s="1965" t="s">
        <v>646</v>
      </c>
      <c r="E16" s="1966"/>
      <c r="F16" s="805"/>
      <c r="G16" s="1579"/>
      <c r="H16" s="803" t="s">
        <v>2067</v>
      </c>
      <c r="I16" s="2217" t="s">
        <v>2821</v>
      </c>
      <c r="J16" s="53">
        <f ca="1">C31</f>
        <v>0</v>
      </c>
      <c r="K16" s="26"/>
      <c r="L16" s="801"/>
      <c r="M16" s="802"/>
    </row>
    <row r="17" spans="1:25" s="2050" customFormat="1" ht="18" customHeight="1">
      <c r="A17" s="803" t="s">
        <v>1848</v>
      </c>
      <c r="B17" s="784" t="s">
        <v>647</v>
      </c>
      <c r="C17" s="53">
        <f ca="1">ROUND(C16*F17,0)</f>
        <v>0</v>
      </c>
      <c r="D17" s="806" t="s">
        <v>648</v>
      </c>
      <c r="E17" s="806" t="s">
        <v>649</v>
      </c>
      <c r="F17" s="807">
        <f>'数据-取费表'!B33</f>
        <v>0.03</v>
      </c>
      <c r="G17" s="1580"/>
      <c r="H17" s="803" t="s">
        <v>2068</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9"/>
      <c r="H18" s="797" t="s">
        <v>1826</v>
      </c>
      <c r="I18" s="798" t="s">
        <v>651</v>
      </c>
      <c r="J18" s="799">
        <f ca="1">ROUND(J19+J24+J25+J26,0)</f>
        <v>0</v>
      </c>
      <c r="K18" s="26" t="s">
        <v>652</v>
      </c>
      <c r="L18" s="1968"/>
      <c r="M18" s="56"/>
    </row>
    <row r="19" spans="1:25" s="2050" customFormat="1" ht="18" customHeight="1">
      <c r="A19" s="803" t="s">
        <v>1850</v>
      </c>
      <c r="B19" s="784" t="s">
        <v>653</v>
      </c>
      <c r="C19" s="53">
        <f ca="1">ROUND(F19*(INDIRECT("'数据-取费表'!k"&amp;$G$1)+INDIRECT("'数据-取费表'!S"&amp;$G$1))/10000,0)</f>
        <v>0</v>
      </c>
      <c r="D19" s="784" t="s">
        <v>654</v>
      </c>
      <c r="E19" s="784" t="s">
        <v>655</v>
      </c>
      <c r="F19" s="56">
        <f>'数据-取费表'!B35</f>
        <v>200</v>
      </c>
      <c r="G19" s="1580"/>
      <c r="H19" s="803" t="s">
        <v>2067</v>
      </c>
      <c r="I19" s="784" t="s">
        <v>656</v>
      </c>
      <c r="J19" s="53">
        <f ca="1">ROUND(IF(项目基本情况!B11="自然人",J7*M19,J20+J21+J22),0)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1851</v>
      </c>
      <c r="B20" s="784" t="s">
        <v>659</v>
      </c>
      <c r="C20" s="53">
        <f ca="1">ROUND(C16*F20,0)</f>
        <v>0</v>
      </c>
      <c r="D20" s="784" t="s">
        <v>648</v>
      </c>
      <c r="E20" s="784" t="s">
        <v>649</v>
      </c>
      <c r="F20" s="809">
        <f>'数据-取费表'!B36</f>
        <v>1.4999999999999999E-2</v>
      </c>
      <c r="G20" s="1580"/>
      <c r="H20" s="803" t="s">
        <v>1830</v>
      </c>
      <c r="I20" s="784" t="s">
        <v>660</v>
      </c>
      <c r="J20" s="53">
        <f ca="1">ROUND(J7*M20/1.05,1)</f>
        <v>0</v>
      </c>
      <c r="K20" s="1963" t="s">
        <v>661</v>
      </c>
      <c r="L20" s="784" t="s">
        <v>649</v>
      </c>
      <c r="M20" s="809">
        <f>'数据-取费表'!B41</f>
        <v>5.6000000000000001E-2</v>
      </c>
      <c r="N20" s="2049"/>
      <c r="O20" s="2049"/>
      <c r="P20" s="2049"/>
      <c r="Q20" s="2049"/>
      <c r="R20" s="2049"/>
      <c r="S20" s="2049"/>
      <c r="T20" s="2049"/>
      <c r="U20" s="2049"/>
      <c r="V20" s="2049"/>
      <c r="W20" s="2049"/>
      <c r="X20" s="2049"/>
      <c r="Y20" s="2049"/>
    </row>
    <row r="21" spans="1:25" ht="18" customHeight="1">
      <c r="A21" s="803" t="s">
        <v>1875</v>
      </c>
      <c r="B21" s="784" t="s">
        <v>662</v>
      </c>
      <c r="C21" s="53">
        <f ca="1">SUM(C16:C20)</f>
        <v>0</v>
      </c>
      <c r="D21" s="261" t="s">
        <v>663</v>
      </c>
      <c r="E21" s="1968"/>
      <c r="F21" s="56"/>
      <c r="G21" s="1579"/>
      <c r="H21" s="1816" t="s">
        <v>1848</v>
      </c>
      <c r="I21" s="784" t="s">
        <v>664</v>
      </c>
      <c r="J21" s="53">
        <f ca="1">IF(K21="按租金收入计税",ROUND(J7*M21,1),ROUND(C31*F35*0.7,1))</f>
        <v>0</v>
      </c>
      <c r="K21" s="811" t="s">
        <v>665</v>
      </c>
      <c r="L21" s="784" t="s">
        <v>649</v>
      </c>
      <c r="M21" s="809">
        <f>IF(K21="按租金收入计税",'数据-取费表'!B51,'数据-取费表'!B50)</f>
        <v>1.2E-2</v>
      </c>
    </row>
    <row r="22" spans="1:25" s="2050" customFormat="1" ht="18" customHeight="1">
      <c r="A22" s="803" t="s">
        <v>1876</v>
      </c>
      <c r="B22" s="784" t="s">
        <v>666</v>
      </c>
      <c r="C22" s="53">
        <f ca="1">ROUND(C21*F22,0)</f>
        <v>0</v>
      </c>
      <c r="D22" s="812" t="s">
        <v>667</v>
      </c>
      <c r="E22" s="784" t="s">
        <v>649</v>
      </c>
      <c r="F22" s="809">
        <f>'数据-取费表'!B37</f>
        <v>0.02</v>
      </c>
      <c r="G22" s="1580"/>
      <c r="H22" s="1818" t="s">
        <v>1849</v>
      </c>
      <c r="I22" s="1808" t="s">
        <v>668</v>
      </c>
      <c r="J22" s="54">
        <f ca="1">ROUND(M22*M23/10000,0)</f>
        <v>0</v>
      </c>
      <c r="K22" s="814" t="s">
        <v>669</v>
      </c>
      <c r="L22" s="784" t="s">
        <v>670</v>
      </c>
      <c r="M22" s="640">
        <f>'数据-取费表'!B52</f>
        <v>8</v>
      </c>
      <c r="N22" s="2049"/>
      <c r="O22" s="2049"/>
      <c r="P22" s="2049"/>
      <c r="Q22" s="2049"/>
      <c r="R22" s="2049"/>
      <c r="S22" s="2049"/>
      <c r="T22" s="2049"/>
      <c r="U22" s="2049"/>
      <c r="V22" s="2049"/>
      <c r="W22" s="2049"/>
      <c r="X22" s="2049"/>
      <c r="Y22" s="2049"/>
    </row>
    <row r="23" spans="1:25" s="2050" customFormat="1" ht="18" customHeight="1">
      <c r="A23" s="803" t="s">
        <v>1877</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1878</v>
      </c>
      <c r="B24" s="784" t="s">
        <v>675</v>
      </c>
      <c r="C24" s="53"/>
      <c r="D24" s="2537" t="str">
        <f>IF(F25&lt;=1,"单利计息。","复利计息。")&amp;"建造成本、管理费用、销售费用产生的利息。"</f>
        <v>单利计息。建造成本、管理费用、销售费用产生的利息。</v>
      </c>
      <c r="E24" s="1968"/>
      <c r="F24" s="56"/>
      <c r="G24" s="1579"/>
      <c r="H24" s="1817" t="s">
        <v>2068</v>
      </c>
      <c r="I24" s="784" t="s">
        <v>676</v>
      </c>
      <c r="J24" s="53">
        <f ca="1">ROUND(J16*M24,0)</f>
        <v>0</v>
      </c>
      <c r="K24" s="1963" t="s">
        <v>677</v>
      </c>
      <c r="L24" s="784" t="s">
        <v>649</v>
      </c>
      <c r="M24" s="817">
        <f ca="1">INDIRECT("'数据-取费表'!Ak"&amp;$G$1)</f>
        <v>0</v>
      </c>
    </row>
    <row r="25" spans="1:25" s="2050" customFormat="1" ht="18" customHeight="1">
      <c r="A25" s="803" t="s">
        <v>1874</v>
      </c>
      <c r="B25" s="784" t="s">
        <v>2434</v>
      </c>
      <c r="C25" s="53">
        <f ca="1">ROUND(IF('数据-取费表'!B22&lt;=1,(C21+C22)*F26*F25/2,(C21+C22)*(POWER((1+F26),F25/2)-1)),0)</f>
        <v>0</v>
      </c>
      <c r="D25" s="2536" t="str">
        <f>IF(F25&lt;=1,"(建造成本+管理费用)×利率×(建设周期÷2)","(建造成本+管理费用)×((1+利率)^(建设周期÷2)-1)")</f>
        <v>(建造成本+管理费用)×利率×(建设周期÷2)</v>
      </c>
      <c r="E25" s="784" t="s">
        <v>678</v>
      </c>
      <c r="F25" s="640">
        <f>'数据-取费表'!B20</f>
        <v>1</v>
      </c>
      <c r="G25" s="1580"/>
      <c r="H25" s="803" t="s">
        <v>1877</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1848</v>
      </c>
      <c r="B26" s="784" t="s">
        <v>681</v>
      </c>
      <c r="C26" s="53">
        <f ca="1">ROUND(IF('数据-取费表'!B22&lt;=1,F23*F26*F25/2,F23*(POWER((1+F26),F25/2)-1)),4)</f>
        <v>4.0000000000000002E-4</v>
      </c>
      <c r="D26" s="2536" t="str">
        <f>IF(F25&lt;=1,"销售费用×利率×(建设周期÷2)","销售费用×((1+利率)^(建设周期÷2)-1)")</f>
        <v>销售费用×利率×(建设周期÷2)</v>
      </c>
      <c r="E26" s="784" t="s">
        <v>682</v>
      </c>
      <c r="F26" s="819">
        <f ca="1">'数据-取费表'!B40</f>
        <v>4.3499999999999997E-2</v>
      </c>
      <c r="G26" s="1580"/>
      <c r="H26" s="803" t="s">
        <v>1878</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1880</v>
      </c>
      <c r="B27" s="784" t="s">
        <v>684</v>
      </c>
      <c r="C27" s="53"/>
      <c r="D27" s="261" t="s">
        <v>685</v>
      </c>
      <c r="E27" s="1968"/>
      <c r="F27" s="56"/>
      <c r="G27" s="1579"/>
      <c r="H27" s="797" t="s">
        <v>1827</v>
      </c>
      <c r="I27" s="2964" t="s">
        <v>2818</v>
      </c>
      <c r="J27" s="799">
        <f ca="1">J7-J18</f>
        <v>0</v>
      </c>
      <c r="K27" s="1965" t="s">
        <v>700</v>
      </c>
      <c r="L27" s="1967"/>
      <c r="M27" s="820"/>
    </row>
    <row r="28" spans="1:25" ht="18" customHeight="1">
      <c r="A28" s="803" t="s">
        <v>1874</v>
      </c>
      <c r="B28" s="784" t="s">
        <v>2435</v>
      </c>
      <c r="C28" s="53">
        <f ca="1">ROUND((C21+C22)*F28,0)</f>
        <v>0</v>
      </c>
      <c r="D28" s="812" t="s">
        <v>701</v>
      </c>
      <c r="E28" s="795" t="s">
        <v>702</v>
      </c>
      <c r="F28" s="794">
        <f ca="1">INDIRECT("'数据-取费表'!q"&amp;$G$1)</f>
        <v>0</v>
      </c>
      <c r="G28" s="1579"/>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1881</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1882</v>
      </c>
      <c r="B31" s="2506" t="s">
        <v>2819</v>
      </c>
      <c r="C31" s="2509">
        <f ca="1">ROUND((C21+C22+C25+C28)/(1-F23-C26-C29-C30),0)</f>
        <v>0</v>
      </c>
      <c r="D31" s="2510"/>
      <c r="E31" s="2511"/>
      <c r="F31" s="2512"/>
      <c r="G31" s="1580"/>
      <c r="H31" s="823" t="s">
        <v>1871</v>
      </c>
      <c r="I31" s="2965" t="s">
        <v>2820</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1875</v>
      </c>
      <c r="B33" s="784" t="s">
        <v>656</v>
      </c>
      <c r="C33" s="53">
        <f ca="1">ROUND(IF(项目基本情况!B11="自然人",C7*F33,C34+C35+C36),1)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1874</v>
      </c>
      <c r="B34" s="784" t="s">
        <v>660</v>
      </c>
      <c r="C34" s="53">
        <f ca="1">ROUND(C7*F34/1.05,1)</f>
        <v>0</v>
      </c>
      <c r="D34" s="1963" t="s">
        <v>661</v>
      </c>
      <c r="E34" s="784" t="s">
        <v>649</v>
      </c>
      <c r="F34" s="809">
        <f>'数据-取费表'!B41</f>
        <v>5.6000000000000001E-2</v>
      </c>
      <c r="G34" s="2048"/>
      <c r="H34" s="2057"/>
      <c r="I34" s="2058"/>
      <c r="J34" s="2059"/>
      <c r="K34" s="2060"/>
      <c r="L34" s="2061"/>
      <c r="M34" s="2062"/>
    </row>
    <row r="35" spans="1:18" ht="18" customHeight="1">
      <c r="A35" s="803" t="s">
        <v>1848</v>
      </c>
      <c r="B35" s="784" t="s">
        <v>664</v>
      </c>
      <c r="C35" s="53">
        <f ca="1">IF(D35="按租金收入计税",ROUND(C7*F35,1),IF(D35="按房产原值计税",ROUND(C31*F35*0.7,1),INDIRECT("'数据-取费表'!Aj"&amp;$G$1)))</f>
        <v>0</v>
      </c>
      <c r="D35" s="811" t="s">
        <v>1679</v>
      </c>
      <c r="E35" s="784" t="s">
        <v>649</v>
      </c>
      <c r="F35" s="809">
        <f>IF(D35="按租金收入计税",'数据-取费表'!B51,'数据-取费表'!B50)</f>
        <v>1.2E-2</v>
      </c>
      <c r="G35" s="2048"/>
      <c r="H35" s="2063"/>
      <c r="I35" s="2063"/>
      <c r="J35" s="2063"/>
      <c r="K35" s="2064"/>
      <c r="L35" s="2063"/>
      <c r="M35" s="2063"/>
    </row>
    <row r="36" spans="1:18" ht="18" customHeight="1">
      <c r="A36" s="813" t="s">
        <v>1879</v>
      </c>
      <c r="B36" s="341" t="s">
        <v>668</v>
      </c>
      <c r="C36" s="54">
        <f ca="1">ROUND(F36*F37/10000,1)</f>
        <v>0</v>
      </c>
      <c r="D36" s="814" t="s">
        <v>669</v>
      </c>
      <c r="E36" s="784" t="s">
        <v>670</v>
      </c>
      <c r="F36" s="640">
        <f>'数据-取费表'!B52</f>
        <v>8</v>
      </c>
      <c r="G36" s="2048"/>
      <c r="H36" s="2051"/>
      <c r="I36" s="3480"/>
      <c r="J36" s="2065"/>
      <c r="K36" s="2066"/>
      <c r="L36" s="2065"/>
      <c r="M36" s="2065"/>
    </row>
    <row r="37" spans="1:18" ht="18" customHeight="1">
      <c r="A37" s="815"/>
      <c r="B37" s="793"/>
      <c r="C37" s="69"/>
      <c r="D37" s="816"/>
      <c r="E37" s="784" t="s">
        <v>674</v>
      </c>
      <c r="F37" s="785">
        <f ca="1">INDIRECT("'数据-取费表'!r"&amp;$G$1)</f>
        <v>0</v>
      </c>
      <c r="G37" s="2048"/>
      <c r="H37" s="2051"/>
      <c r="I37" s="3480"/>
      <c r="J37" s="2063"/>
      <c r="K37" s="2064"/>
      <c r="L37" s="2063"/>
      <c r="M37" s="2063"/>
    </row>
    <row r="38" spans="1:18" ht="18" customHeight="1">
      <c r="A38" s="803" t="s">
        <v>1876</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1877</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1878</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1875</v>
      </c>
      <c r="B42" s="835" t="s">
        <v>693</v>
      </c>
      <c r="C42" s="829">
        <f ca="1">C7-C32</f>
        <v>0</v>
      </c>
      <c r="D42" s="1965" t="s">
        <v>694</v>
      </c>
      <c r="E42" s="1967"/>
      <c r="F42" s="820"/>
      <c r="G42" s="2048"/>
      <c r="H42" s="2048"/>
      <c r="I42" s="2048"/>
      <c r="J42" s="2048"/>
      <c r="K42" s="2069"/>
      <c r="L42" s="2048"/>
      <c r="M42" s="2048"/>
    </row>
    <row r="43" spans="1:18" ht="18" customHeight="1">
      <c r="A43" s="803" t="s">
        <v>1876</v>
      </c>
      <c r="B43" s="835" t="s">
        <v>711</v>
      </c>
      <c r="C43" s="836">
        <f ca="1">ROUND(C15*F43,0)</f>
        <v>0</v>
      </c>
      <c r="D43" s="1352" t="s">
        <v>712</v>
      </c>
      <c r="E43" s="3075" t="s">
        <v>2958</v>
      </c>
      <c r="F43" s="3076">
        <f ca="1">INDIRECT("'数据-取费表'!j"&amp;$G$1)</f>
        <v>0</v>
      </c>
      <c r="G43" s="2048"/>
      <c r="H43" s="2048"/>
      <c r="I43" s="2048"/>
      <c r="J43" s="2048"/>
      <c r="K43" s="2069"/>
      <c r="L43" s="2048"/>
      <c r="M43" s="2048"/>
    </row>
    <row r="44" spans="1:18" ht="18" customHeight="1">
      <c r="A44" s="803" t="s">
        <v>1877</v>
      </c>
      <c r="B44" s="835" t="s">
        <v>713</v>
      </c>
      <c r="C44" s="1353">
        <f ca="1">C42-C43</f>
        <v>0</v>
      </c>
      <c r="D44" s="463" t="s">
        <v>714</v>
      </c>
      <c r="E44" s="464"/>
      <c r="F44" s="465"/>
      <c r="G44" s="2048"/>
      <c r="H44" s="2048"/>
      <c r="I44" s="2048"/>
      <c r="J44" s="2048"/>
      <c r="K44" s="2069"/>
      <c r="L44" s="2048"/>
      <c r="M44" s="2048"/>
    </row>
    <row r="45" spans="1:18" ht="18" customHeight="1">
      <c r="A45" s="803" t="s">
        <v>1878</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2961</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10"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7" t="s">
        <v>2346</v>
      </c>
      <c r="L48" s="3111">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8"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9"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9" t="s">
        <v>2350</v>
      </c>
      <c r="L51" s="2349"/>
      <c r="O51" s="2366" t="s">
        <v>2380</v>
      </c>
      <c r="P51" s="2364" t="s">
        <v>2404</v>
      </c>
      <c r="Q51" s="2365">
        <f ca="1">C31</f>
        <v>0</v>
      </c>
      <c r="R51" s="2364" t="s">
        <v>2377</v>
      </c>
    </row>
    <row r="52" spans="1:18" s="2045" customFormat="1" ht="18" customHeight="1" thickBot="1">
      <c r="A52" s="2082"/>
      <c r="F52" s="2071"/>
      <c r="I52" s="3101" t="s">
        <v>2345</v>
      </c>
      <c r="J52" s="3105">
        <f>IF(J50="",J51,J50+J51-YEAR('数据-取费表'!B3))</f>
        <v>0</v>
      </c>
      <c r="K52" s="3079" t="s">
        <v>2351</v>
      </c>
      <c r="L52" s="3112">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2974</v>
      </c>
      <c r="J54" s="3106">
        <f ca="1">IF(M48="住宅",MAX(J52,L49-'数据-取费表'!B20),MIN(J52,L49-'数据-取费表'!B20))</f>
        <v>-1</v>
      </c>
      <c r="K54" s="3485"/>
      <c r="L54" s="3486"/>
      <c r="O54" s="2366" t="s">
        <v>2385</v>
      </c>
      <c r="P54" s="2364" t="s">
        <v>2386</v>
      </c>
      <c r="Q54" s="2365">
        <f ca="1">J54</f>
        <v>-1</v>
      </c>
      <c r="R54" s="2364" t="s">
        <v>2387</v>
      </c>
    </row>
    <row r="55" spans="1:18" s="2045" customFormat="1" ht="18" customHeight="1" thickBot="1">
      <c r="A55" s="2082"/>
      <c r="I55" s="31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3"/>
      <c r="K55" s="3114"/>
      <c r="O55" s="2363" t="s">
        <v>2388</v>
      </c>
      <c r="P55" s="2364" t="s">
        <v>2405</v>
      </c>
      <c r="Q55" s="2365">
        <f ca="1">Q49+Q50</f>
        <v>0</v>
      </c>
      <c r="R55" s="2368" t="s">
        <v>2389</v>
      </c>
    </row>
    <row r="56" spans="1:18" s="2045" customFormat="1" ht="16.5" thickBot="1">
      <c r="A56" s="2082"/>
      <c r="B56" s="2083"/>
      <c r="C56" s="2083"/>
      <c r="I56" s="3115" t="s">
        <v>2352</v>
      </c>
      <c r="J56" s="3054" t="e">
        <f ca="1">ROUND(IF(J48="钢混",J58/J51,1-(1-2%)*(J51-J58)/J51),3)</f>
        <v>#VALUE!</v>
      </c>
      <c r="K56" s="3116" t="s">
        <v>2353</v>
      </c>
      <c r="L56" s="2351"/>
      <c r="O56" s="2369" t="s">
        <v>2408</v>
      </c>
      <c r="P56" s="1579"/>
      <c r="Q56" s="1590"/>
      <c r="R56" s="1579"/>
    </row>
    <row r="57" spans="1:18" s="2045" customFormat="1" ht="43.5" thickBot="1">
      <c r="A57" s="2082"/>
      <c r="B57" s="2083"/>
      <c r="C57" s="2083"/>
      <c r="I57" s="3117" t="s">
        <v>2354</v>
      </c>
      <c r="J57" s="3127" t="s">
        <v>1677</v>
      </c>
      <c r="K57" s="3079" t="s">
        <v>2359</v>
      </c>
      <c r="L57" s="1894">
        <f ca="1">IF(L49&lt;J52,"——",L49-J52)</f>
        <v>0</v>
      </c>
      <c r="O57" s="2360" t="s">
        <v>2372</v>
      </c>
      <c r="P57" s="2361" t="s">
        <v>2373</v>
      </c>
      <c r="Q57" s="2362" t="s">
        <v>2374</v>
      </c>
      <c r="R57" s="2361" t="s">
        <v>2375</v>
      </c>
    </row>
    <row r="58" spans="1:18" s="2045" customFormat="1" ht="29.25" thickBot="1">
      <c r="A58" s="2082"/>
      <c r="B58" s="2083"/>
      <c r="C58" s="2083"/>
      <c r="I58" s="3118" t="s">
        <v>2355</v>
      </c>
      <c r="J58" s="3119"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8"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8" t="s">
        <v>2357</v>
      </c>
      <c r="J60" s="3119"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20" t="s">
        <v>2358</v>
      </c>
      <c r="J61" s="3121" t="str">
        <f ca="1">IF(OR(M48="住宅",J52&lt;L49,J57="是"),"0",ROUND(J60/(1+J53)^J54,0))</f>
        <v>0</v>
      </c>
      <c r="K61" s="3122" t="s">
        <v>2363</v>
      </c>
      <c r="L61" s="3121"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3" t="s">
        <v>2364</v>
      </c>
      <c r="J63" s="3124" t="s">
        <v>2365</v>
      </c>
      <c r="K63" s="3124" t="s">
        <v>2366</v>
      </c>
      <c r="L63" s="3124" t="s">
        <v>2347</v>
      </c>
      <c r="M63" s="3125" t="s">
        <v>2938</v>
      </c>
      <c r="O63" s="2366" t="s">
        <v>2385</v>
      </c>
      <c r="P63" s="2364" t="s">
        <v>2393</v>
      </c>
      <c r="Q63" s="2365">
        <f ca="1">L60</f>
        <v>0</v>
      </c>
      <c r="R63" s="2368" t="s">
        <v>2394</v>
      </c>
    </row>
    <row r="64" spans="1:18" s="2045" customFormat="1" ht="15.75" thickBot="1">
      <c r="A64" s="2082"/>
      <c r="B64" s="2083"/>
      <c r="C64" s="2083"/>
      <c r="I64" s="3123" t="s">
        <v>2367</v>
      </c>
      <c r="J64" s="3124">
        <v>70</v>
      </c>
      <c r="K64" s="3124">
        <v>50</v>
      </c>
      <c r="L64" s="3124">
        <v>80</v>
      </c>
      <c r="M64" s="3126">
        <v>0.02</v>
      </c>
      <c r="O64" s="2363" t="s">
        <v>2388</v>
      </c>
      <c r="P64" s="2364" t="s">
        <v>2405</v>
      </c>
      <c r="Q64" s="2365" t="e">
        <f ca="1">Q58+Q59</f>
        <v>#DIV/0!</v>
      </c>
      <c r="R64" s="2368" t="s">
        <v>2389</v>
      </c>
    </row>
    <row r="65" spans="1:18" s="2045" customFormat="1" ht="16.5" thickBot="1">
      <c r="A65" s="2082"/>
      <c r="B65" s="2083"/>
      <c r="C65" s="2083"/>
      <c r="I65" s="3123" t="s">
        <v>2368</v>
      </c>
      <c r="J65" s="3124">
        <v>50</v>
      </c>
      <c r="K65" s="3124">
        <v>35</v>
      </c>
      <c r="L65" s="3124">
        <v>60</v>
      </c>
      <c r="M65" s="846">
        <v>0</v>
      </c>
      <c r="O65" s="2369" t="s">
        <v>2412</v>
      </c>
      <c r="P65" s="1579"/>
      <c r="Q65" s="1590"/>
      <c r="R65" s="1579"/>
    </row>
    <row r="66" spans="1:18" s="2045" customFormat="1" ht="15.75" thickBot="1">
      <c r="A66" s="2082"/>
      <c r="B66" s="2083"/>
      <c r="C66" s="2083"/>
      <c r="I66" s="3123" t="s">
        <v>2369</v>
      </c>
      <c r="J66" s="3124">
        <v>40</v>
      </c>
      <c r="K66" s="3124">
        <v>30</v>
      </c>
      <c r="L66" s="3124">
        <v>50</v>
      </c>
      <c r="M66" s="3126">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f ca="1">ROUND(Q71-Q72*Q73,0)</f>
        <v>0</v>
      </c>
      <c r="R70" s="2368"/>
    </row>
    <row r="71" spans="1:18" s="2045" customFormat="1" ht="15.75" thickBot="1">
      <c r="A71" s="2082"/>
      <c r="B71" s="2083"/>
      <c r="C71" s="2083"/>
      <c r="K71" s="2072"/>
      <c r="O71" s="2366" t="s">
        <v>2396</v>
      </c>
      <c r="P71" s="2372" t="s">
        <v>2397</v>
      </c>
      <c r="Q71" s="2365">
        <f ca="1">C42</f>
        <v>0</v>
      </c>
      <c r="R71" s="2364" t="s">
        <v>2377</v>
      </c>
    </row>
    <row r="72" spans="1:18" s="2045" customFormat="1" ht="15.75" thickBot="1">
      <c r="A72" s="2082"/>
      <c r="B72" s="2083"/>
      <c r="C72" s="2083"/>
      <c r="K72" s="2072"/>
      <c r="O72" s="2366" t="s">
        <v>2398</v>
      </c>
      <c r="P72" s="2372" t="s">
        <v>2399</v>
      </c>
      <c r="Q72" s="2365">
        <f ca="1">C15</f>
        <v>0</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1724</v>
      </c>
      <c r="B1" s="738"/>
      <c r="C1" s="773" t="s">
        <v>3003</v>
      </c>
      <c r="D1" s="3078" t="s">
        <v>3023</v>
      </c>
      <c r="E1" s="2352" t="s">
        <v>2371</v>
      </c>
      <c r="F1" s="2353">
        <f ca="1">J53</f>
        <v>33.14</v>
      </c>
      <c r="G1" s="774">
        <f>MATCH(C1,'数据-取费表'!A6:A16,0)+5</f>
        <v>6</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1725</v>
      </c>
      <c r="B2" s="775">
        <f ca="1">C40+J29+L46</f>
        <v>51892</v>
      </c>
      <c r="C2" s="2043"/>
      <c r="D2" s="2041"/>
      <c r="E2" s="2042"/>
      <c r="F2" s="2042"/>
      <c r="G2" s="1577"/>
      <c r="H2" s="2043"/>
      <c r="I2" s="2043"/>
      <c r="J2" s="2043"/>
      <c r="K2" s="2044"/>
      <c r="L2" s="2043"/>
      <c r="M2" s="2043"/>
    </row>
    <row r="3" spans="1:33" ht="18" customHeight="1" thickBot="1">
      <c r="A3" s="833" t="s">
        <v>1726</v>
      </c>
      <c r="B3" s="834">
        <f ca="1">IF(ISERROR(B2*10000/F43),0,ROUND(B2*10000/F43,0))</f>
        <v>8510</v>
      </c>
      <c r="C3" s="2043"/>
      <c r="D3" s="2041"/>
      <c r="E3" s="2042"/>
      <c r="F3" s="2042"/>
      <c r="G3" s="1577"/>
      <c r="H3" s="776" t="s">
        <v>695</v>
      </c>
      <c r="I3" s="1359"/>
      <c r="J3" s="1359"/>
      <c r="K3" s="1578"/>
      <c r="L3" s="1359"/>
      <c r="M3" s="1359"/>
    </row>
    <row r="4" spans="1:33" ht="18" customHeight="1">
      <c r="A4" s="777" t="s">
        <v>1727</v>
      </c>
      <c r="B4" s="778" t="s">
        <v>1728</v>
      </c>
      <c r="C4" s="778" t="s">
        <v>1729</v>
      </c>
      <c r="D4" s="778" t="s">
        <v>633</v>
      </c>
      <c r="E4" s="779" t="s">
        <v>1730</v>
      </c>
      <c r="F4" s="780"/>
      <c r="G4" s="1579"/>
      <c r="H4" s="777" t="s">
        <v>1731</v>
      </c>
      <c r="I4" s="778" t="s">
        <v>1732</v>
      </c>
      <c r="J4" s="778" t="s">
        <v>1733</v>
      </c>
      <c r="K4" s="778" t="s">
        <v>1734</v>
      </c>
      <c r="L4" s="779" t="s">
        <v>1735</v>
      </c>
      <c r="M4" s="780"/>
    </row>
    <row r="5" spans="1:33" ht="18" customHeight="1">
      <c r="A5" s="781">
        <v>1</v>
      </c>
      <c r="B5" s="782" t="s">
        <v>2454</v>
      </c>
      <c r="C5" s="55">
        <f ca="1">C6+C10+C12</f>
        <v>3369</v>
      </c>
      <c r="D5" s="2461" t="s">
        <v>2457</v>
      </c>
      <c r="E5" s="2455"/>
      <c r="F5" s="2456"/>
      <c r="G5" s="1579"/>
      <c r="H5" s="781">
        <v>1</v>
      </c>
      <c r="I5" s="782" t="s">
        <v>2454</v>
      </c>
      <c r="J5" s="55">
        <f ca="1">J6+J10+J12</f>
        <v>0</v>
      </c>
      <c r="K5" s="2461" t="s">
        <v>2457</v>
      </c>
      <c r="L5" s="2455"/>
      <c r="M5" s="2456"/>
    </row>
    <row r="6" spans="1:33" ht="18" customHeight="1">
      <c r="A6" s="1816" t="s">
        <v>1823</v>
      </c>
      <c r="B6" s="3481" t="s">
        <v>2459</v>
      </c>
      <c r="C6" s="783">
        <f ca="1">ROUND(F6*F8*F7*(1-F9)/10000,0)</f>
        <v>3365</v>
      </c>
      <c r="D6" s="2462" t="s">
        <v>2458</v>
      </c>
      <c r="E6" s="784" t="s">
        <v>1737</v>
      </c>
      <c r="F6" s="785">
        <f ca="1">INDIRECT("'数据-取费表'!u"&amp;$G$1)</f>
        <v>1.68</v>
      </c>
      <c r="G6" s="1579"/>
      <c r="H6" s="2469" t="s">
        <v>2464</v>
      </c>
      <c r="I6" s="3481" t="s">
        <v>2459</v>
      </c>
      <c r="J6" s="783">
        <f ca="1">ROUND(M6*M8*M7*(1-M9)/10000,0)</f>
        <v>0</v>
      </c>
      <c r="K6" s="341" t="s">
        <v>1736</v>
      </c>
      <c r="L6" s="784" t="s">
        <v>1737</v>
      </c>
      <c r="M6" s="785">
        <f ca="1">INDIRECT("'数据-取费表'!z"&amp;$G$1)</f>
        <v>0</v>
      </c>
    </row>
    <row r="7" spans="1:33" ht="18" customHeight="1">
      <c r="A7" s="2465"/>
      <c r="B7" s="3482"/>
      <c r="C7" s="788"/>
      <c r="D7" s="789"/>
      <c r="E7" s="784" t="s">
        <v>1738</v>
      </c>
      <c r="F7" s="785">
        <f ca="1">IF(INDIRECT("'数据-取费表'!ah"&amp;$G$1)="",INDIRECT("'数据-取费表'!k"&amp;$G$1),INDIRECT("'数据-取费表'!ah"&amp;$G$1))</f>
        <v>60978</v>
      </c>
      <c r="G7" s="1579"/>
      <c r="H7" s="2454"/>
      <c r="I7" s="3482"/>
      <c r="J7" s="788"/>
      <c r="K7" s="789"/>
      <c r="L7" s="784" t="s">
        <v>1738</v>
      </c>
      <c r="M7" s="785">
        <f ca="1">F7</f>
        <v>60978</v>
      </c>
    </row>
    <row r="8" spans="1:33" ht="18" customHeight="1">
      <c r="A8" s="2458"/>
      <c r="B8" s="3483"/>
      <c r="C8" s="788"/>
      <c r="D8" s="789"/>
      <c r="E8" s="784" t="s">
        <v>1739</v>
      </c>
      <c r="F8" s="785">
        <f ca="1">INDIRECT("'数据-取费表'!ai"&amp;$G$1)</f>
        <v>365</v>
      </c>
      <c r="G8" s="1579"/>
      <c r="H8" s="2454"/>
      <c r="I8" s="3483"/>
      <c r="J8" s="788"/>
      <c r="K8" s="789"/>
      <c r="L8" s="784" t="s">
        <v>1739</v>
      </c>
      <c r="M8" s="785">
        <f ca="1">INDIRECT("'数据-取费表'!ai"&amp;$G$1)</f>
        <v>365</v>
      </c>
    </row>
    <row r="9" spans="1:33" ht="18" customHeight="1">
      <c r="A9" s="786"/>
      <c r="B9" s="3484"/>
      <c r="C9" s="788"/>
      <c r="D9" s="789"/>
      <c r="E9" s="784" t="s">
        <v>1740</v>
      </c>
      <c r="F9" s="794">
        <f ca="1">INDIRECT("'数据-取费表'!w"&amp;$G$1)</f>
        <v>0.1</v>
      </c>
      <c r="G9" s="1579"/>
      <c r="H9" s="2470"/>
      <c r="I9" s="3483"/>
      <c r="J9" s="788"/>
      <c r="K9" s="789"/>
      <c r="L9" s="795" t="s">
        <v>1740</v>
      </c>
      <c r="M9" s="796">
        <f ca="1">INDIRECT("'数据-取费表'!ab"&amp;$G$1)</f>
        <v>0</v>
      </c>
    </row>
    <row r="10" spans="1:33" ht="18" customHeight="1">
      <c r="A10" s="1816" t="s">
        <v>2462</v>
      </c>
      <c r="B10" s="2459" t="s">
        <v>2455</v>
      </c>
      <c r="C10" s="799">
        <f ca="1">ROUND(IF(F10="押一",C6/12*F11,IF(F10="押二",C6/12*2*F11,IF(F10="押三",C6/12*3*F11,C11*F11))),0)</f>
        <v>4</v>
      </c>
      <c r="D10" s="2466" t="s">
        <v>2970</v>
      </c>
      <c r="E10" s="2463" t="s">
        <v>2460</v>
      </c>
      <c r="F10" s="2586" t="s">
        <v>3024</v>
      </c>
      <c r="G10" s="1579"/>
      <c r="H10" s="2526" t="s">
        <v>2465</v>
      </c>
      <c r="I10" s="2531" t="s">
        <v>2455</v>
      </c>
      <c r="J10" s="783">
        <f ca="1">ROUND(IF(M10="押一",J6/12*M11,IF(M10="押二",J6/12*2*M11,IF(M10="押三",J6/12*3*M11,J11*M11))),0)</f>
        <v>0</v>
      </c>
      <c r="K10" s="2466" t="s">
        <v>2970</v>
      </c>
      <c r="L10" s="2463" t="s">
        <v>2460</v>
      </c>
      <c r="M10" s="2586"/>
    </row>
    <row r="11" spans="1:33" ht="18" customHeight="1">
      <c r="A11" s="790"/>
      <c r="B11" s="2460" t="s">
        <v>2569</v>
      </c>
      <c r="C11" s="2464"/>
      <c r="D11" s="789"/>
      <c r="E11" s="2463" t="s">
        <v>2461</v>
      </c>
      <c r="F11" s="796">
        <f ca="1">'数据-取费表'!B39</f>
        <v>1.4999999999999999E-2</v>
      </c>
      <c r="G11" s="1579"/>
      <c r="H11" s="2527"/>
      <c r="I11" s="2460" t="s">
        <v>2569</v>
      </c>
      <c r="J11" s="2464"/>
      <c r="K11" s="2528"/>
      <c r="L11" s="2463" t="s">
        <v>2461</v>
      </c>
      <c r="M11" s="2457">
        <f ca="1">'数据-取费表'!B39</f>
        <v>1.4999999999999999E-2</v>
      </c>
    </row>
    <row r="12" spans="1:33" ht="18" customHeight="1" thickBot="1">
      <c r="A12" s="2502" t="s">
        <v>2463</v>
      </c>
      <c r="B12" s="2503" t="s">
        <v>2456</v>
      </c>
      <c r="C12" s="2504"/>
      <c r="D12" s="2505"/>
      <c r="E12" s="2506"/>
      <c r="F12" s="2507"/>
      <c r="G12" s="1579"/>
      <c r="H12" s="2516" t="s">
        <v>2466</v>
      </c>
      <c r="I12" s="2529" t="s">
        <v>2456</v>
      </c>
      <c r="J12" s="2530"/>
      <c r="K12" s="2505"/>
      <c r="L12" s="2506"/>
      <c r="M12" s="2519"/>
    </row>
    <row r="13" spans="1:33" ht="18" customHeight="1" thickTop="1">
      <c r="A13" s="1815">
        <v>2</v>
      </c>
      <c r="B13" s="1813" t="s">
        <v>1741</v>
      </c>
      <c r="C13" s="792">
        <f ca="1">ROUND(C29*F13,0)</f>
        <v>21377</v>
      </c>
      <c r="D13" s="1820" t="s">
        <v>2295</v>
      </c>
      <c r="E13" s="1820" t="s">
        <v>1743</v>
      </c>
      <c r="F13" s="2501">
        <f ca="1">INDIRECT("'数据-取费表'!y"&amp;$G$1)</f>
        <v>1</v>
      </c>
      <c r="G13" s="1579"/>
      <c r="H13" s="1815">
        <v>2</v>
      </c>
      <c r="I13" s="1813" t="s">
        <v>1741</v>
      </c>
      <c r="J13" s="1805">
        <f ca="1">ROUND(J14*J15,0)</f>
        <v>0</v>
      </c>
      <c r="K13" s="1807" t="s">
        <v>1742</v>
      </c>
      <c r="L13" s="2517"/>
      <c r="M13" s="2518"/>
    </row>
    <row r="14" spans="1:33" ht="18" customHeight="1">
      <c r="A14" s="1634" t="s">
        <v>1883</v>
      </c>
      <c r="B14" s="784" t="s">
        <v>645</v>
      </c>
      <c r="C14" s="804">
        <f ca="1">INDIRECT("'数据-取费表'!m"&amp;$G$1)+INDIRECT("'数据-取费表'!t"&amp;$G$1)</f>
        <v>14635</v>
      </c>
      <c r="D14" s="1965" t="s">
        <v>1744</v>
      </c>
      <c r="E14" s="1966"/>
      <c r="F14" s="805"/>
      <c r="G14" s="1579"/>
      <c r="H14" s="1635" t="s">
        <v>1829</v>
      </c>
      <c r="I14" s="2217" t="s">
        <v>2822</v>
      </c>
      <c r="J14" s="53">
        <f ca="1">C29</f>
        <v>21377</v>
      </c>
      <c r="K14" s="26"/>
      <c r="L14" s="801"/>
      <c r="M14" s="802"/>
    </row>
    <row r="15" spans="1:33" s="2050" customFormat="1" ht="18" customHeight="1" thickBot="1">
      <c r="A15" s="1634" t="s">
        <v>1884</v>
      </c>
      <c r="B15" s="784" t="s">
        <v>647</v>
      </c>
      <c r="C15" s="53">
        <f ca="1">ROUND(C14*F15,0)</f>
        <v>439</v>
      </c>
      <c r="D15" s="806" t="s">
        <v>1745</v>
      </c>
      <c r="E15" s="806" t="s">
        <v>1746</v>
      </c>
      <c r="F15" s="807">
        <f>'数据-取费表'!B33</f>
        <v>0.03</v>
      </c>
      <c r="G15" s="1580"/>
      <c r="H15" s="2516" t="s">
        <v>1888</v>
      </c>
      <c r="I15" s="2511" t="s">
        <v>1743</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1885</v>
      </c>
      <c r="B16" s="784" t="s">
        <v>650</v>
      </c>
      <c r="C16" s="53">
        <f ca="1">ROUND(INDIRECT("'数据-取费表'!m"&amp;$G$1)*F16,0)</f>
        <v>0</v>
      </c>
      <c r="D16" s="784" t="s">
        <v>1745</v>
      </c>
      <c r="E16" s="784" t="s">
        <v>1746</v>
      </c>
      <c r="F16" s="809">
        <f ca="1">IF(INDIRECT("'数据-取费表'!c"&amp;$G$1)="住宅",'数据-取费表'!B34,0)</f>
        <v>0</v>
      </c>
      <c r="G16" s="1579"/>
      <c r="H16" s="1815" t="s">
        <v>1747</v>
      </c>
      <c r="I16" s="1813" t="s">
        <v>1748</v>
      </c>
      <c r="J16" s="792">
        <f ca="1">ROUND(J17+J22+J23+J24,0)</f>
        <v>2150</v>
      </c>
      <c r="K16" s="1807" t="s">
        <v>1749</v>
      </c>
      <c r="L16" s="2451"/>
      <c r="M16" s="2456"/>
    </row>
    <row r="17" spans="1:33" s="2050" customFormat="1" ht="18" customHeight="1">
      <c r="A17" s="1634" t="s">
        <v>1886</v>
      </c>
      <c r="B17" s="784" t="s">
        <v>653</v>
      </c>
      <c r="C17" s="53">
        <f ca="1">ROUND(F17*(F43+INDIRECT("'数据-取费表'!S"&amp;$G$1))/10000,0)</f>
        <v>1220</v>
      </c>
      <c r="D17" s="784" t="s">
        <v>1750</v>
      </c>
      <c r="E17" s="784" t="s">
        <v>1751</v>
      </c>
      <c r="F17" s="56">
        <f>'数据-取费表'!B35</f>
        <v>200</v>
      </c>
      <c r="G17" s="1580"/>
      <c r="H17" s="1635" t="s">
        <v>1829</v>
      </c>
      <c r="I17" s="784" t="s">
        <v>656</v>
      </c>
      <c r="J17" s="53">
        <f ca="1">ROUND(IF(项目基本情况!B11="自然人",J5*M17,J18+J19+J20),0)</f>
        <v>1829</v>
      </c>
      <c r="K17" s="2450" t="s">
        <v>1752</v>
      </c>
      <c r="L17" s="2449" t="s">
        <v>1753</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1887</v>
      </c>
      <c r="B18" s="784" t="s">
        <v>659</v>
      </c>
      <c r="C18" s="53">
        <f ca="1">ROUND(C14*F18,0)</f>
        <v>220</v>
      </c>
      <c r="D18" s="784" t="s">
        <v>1745</v>
      </c>
      <c r="E18" s="784" t="s">
        <v>1746</v>
      </c>
      <c r="F18" s="809">
        <f>'数据-取费表'!B36</f>
        <v>1.4999999999999999E-2</v>
      </c>
      <c r="G18" s="1580"/>
      <c r="H18" s="1634" t="s">
        <v>1883</v>
      </c>
      <c r="I18" s="784" t="s">
        <v>1754</v>
      </c>
      <c r="J18" s="53">
        <f ca="1">ROUND(J5*M18/1.05,1)</f>
        <v>0</v>
      </c>
      <c r="K18" s="2449" t="s">
        <v>1755</v>
      </c>
      <c r="L18" s="784" t="s">
        <v>1746</v>
      </c>
      <c r="M18" s="809">
        <f>'数据-取费表'!B41</f>
        <v>5.6000000000000001E-2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1829</v>
      </c>
      <c r="B19" s="784" t="s">
        <v>662</v>
      </c>
      <c r="C19" s="53">
        <f ca="1">SUM(C14:C18)</f>
        <v>16514</v>
      </c>
      <c r="D19" s="261" t="s">
        <v>1756</v>
      </c>
      <c r="E19" s="1968"/>
      <c r="F19" s="56"/>
      <c r="G19" s="1579"/>
      <c r="H19" s="1634" t="s">
        <v>1884</v>
      </c>
      <c r="I19" s="784" t="s">
        <v>1757</v>
      </c>
      <c r="J19" s="53">
        <f ca="1">IF(K19="按租金收入计税",ROUND(J5*M19,1),ROUND(C29*F33*0.7,1))</f>
        <v>1795.7</v>
      </c>
      <c r="K19" s="811" t="s">
        <v>665</v>
      </c>
      <c r="L19" s="784" t="s">
        <v>1746</v>
      </c>
      <c r="M19" s="809">
        <f>IF(K19="按租金收入计税",'数据-取费表'!B51,'数据-取费表'!B50)</f>
        <v>1.2E-2</v>
      </c>
    </row>
    <row r="20" spans="1:33" s="2050" customFormat="1" ht="18" customHeight="1">
      <c r="A20" s="1635" t="s">
        <v>1888</v>
      </c>
      <c r="B20" s="784" t="s">
        <v>666</v>
      </c>
      <c r="C20" s="53">
        <f ca="1">ROUND(C19*F20,0)</f>
        <v>330</v>
      </c>
      <c r="D20" s="812" t="s">
        <v>1758</v>
      </c>
      <c r="E20" s="784" t="s">
        <v>1746</v>
      </c>
      <c r="F20" s="809">
        <f>'数据-取费表'!B37</f>
        <v>0.02</v>
      </c>
      <c r="G20" s="1580"/>
      <c r="H20" s="1637" t="s">
        <v>1879</v>
      </c>
      <c r="I20" s="341" t="s">
        <v>1759</v>
      </c>
      <c r="J20" s="54">
        <f ca="1">ROUND(M20*M21/10000,0)</f>
        <v>33</v>
      </c>
      <c r="K20" s="814" t="s">
        <v>1760</v>
      </c>
      <c r="L20" s="784" t="s">
        <v>1761</v>
      </c>
      <c r="M20" s="640">
        <f>'数据-取费表'!B52</f>
        <v>8</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1889</v>
      </c>
      <c r="B21" s="784" t="s">
        <v>1762</v>
      </c>
      <c r="C21" s="53" t="s">
        <v>1763</v>
      </c>
      <c r="D21" s="812" t="s">
        <v>2296</v>
      </c>
      <c r="E21" s="784" t="s">
        <v>1764</v>
      </c>
      <c r="F21" s="809">
        <f>'数据-取费表'!B38</f>
        <v>0.02</v>
      </c>
      <c r="G21" s="1580"/>
      <c r="H21" s="2471"/>
      <c r="I21" s="793"/>
      <c r="J21" s="69"/>
      <c r="K21" s="816"/>
      <c r="L21" s="784" t="s">
        <v>1765</v>
      </c>
      <c r="M21" s="785">
        <f ca="1">INDIRECT("'数据-取费表'!r"&amp;$G$1)</f>
        <v>40652</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1890</v>
      </c>
      <c r="B22" s="784" t="s">
        <v>1766</v>
      </c>
      <c r="C22" s="53"/>
      <c r="D22" s="2537" t="str">
        <f>IF(F23&lt;=1,"单利计息。","复利计息。")&amp;"建造成本、管理费用、销售费用产生的利息。"</f>
        <v>单利计息。建造成本、管理费用、销售费用产生的利息。</v>
      </c>
      <c r="E22" s="1968"/>
      <c r="F22" s="56"/>
      <c r="G22" s="1579"/>
      <c r="H22" s="1635" t="s">
        <v>1888</v>
      </c>
      <c r="I22" s="784" t="s">
        <v>1767</v>
      </c>
      <c r="J22" s="53">
        <f ca="1">ROUND(J14*M22,0)</f>
        <v>321</v>
      </c>
      <c r="K22" s="2449" t="s">
        <v>1768</v>
      </c>
      <c r="L22" s="784" t="s">
        <v>1746</v>
      </c>
      <c r="M22" s="817">
        <f ca="1">INDIRECT("'数据-取费表'!Ak"&amp;$G$1)</f>
        <v>1.4999999999999999E-2</v>
      </c>
    </row>
    <row r="23" spans="1:33" s="2050" customFormat="1" ht="18" customHeight="1">
      <c r="A23" s="1634" t="s">
        <v>1830</v>
      </c>
      <c r="B23" s="784" t="s">
        <v>2531</v>
      </c>
      <c r="C23" s="53">
        <f ca="1">ROUND(IF('数据-取费表'!B22&lt;=1,(C19+C20)*F24*F23/2,(C19+C20)*(POWER((1+F24),F23/2)-1)),0)</f>
        <v>366</v>
      </c>
      <c r="D23" s="2536" t="str">
        <f>IF(F23&lt;=1,"(建造成本+管理费用)×利率×(建设周期÷2)","(建造成本+管理费用)×((1+利率)^(建设周期÷2)-1)")</f>
        <v>(建造成本+管理费用)×利率×(建设周期÷2)</v>
      </c>
      <c r="E23" s="784" t="s">
        <v>1769</v>
      </c>
      <c r="F23" s="640">
        <f>'数据-取费表'!B20</f>
        <v>1</v>
      </c>
      <c r="G23" s="1580"/>
      <c r="H23" s="1635" t="s">
        <v>1889</v>
      </c>
      <c r="I23" s="784" t="s">
        <v>679</v>
      </c>
      <c r="J23" s="53">
        <f ca="1">ROUND(J13*M23,0)</f>
        <v>0</v>
      </c>
      <c r="K23" s="2449" t="s">
        <v>1770</v>
      </c>
      <c r="L23" s="784" t="s">
        <v>1746</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1831</v>
      </c>
      <c r="B24" s="784" t="s">
        <v>1771</v>
      </c>
      <c r="C24" s="53">
        <f ca="1">ROUND(IF('数据-取费表'!B22&lt;=1,F21*F24*F23/2,F21*(POWER((1+F24),F23/2)-1)),4)</f>
        <v>4.0000000000000002E-4</v>
      </c>
      <c r="D24" s="2536" t="str">
        <f>IF(F23&lt;=1,"销售费用×利率×(建设周期÷2)","销售费用×((1+利率)^(建设周期÷2)-1)")</f>
        <v>销售费用×利率×(建设周期÷2)</v>
      </c>
      <c r="E24" s="784" t="s">
        <v>1772</v>
      </c>
      <c r="F24" s="819">
        <f ca="1">'数据-取费表'!B40</f>
        <v>4.3499999999999997E-2</v>
      </c>
      <c r="G24" s="1580"/>
      <c r="H24" s="2516" t="s">
        <v>1890</v>
      </c>
      <c r="I24" s="2511" t="s">
        <v>666</v>
      </c>
      <c r="J24" s="2509">
        <f ca="1">ROUND(J5*M24,0)</f>
        <v>0</v>
      </c>
      <c r="K24" s="2510" t="s">
        <v>1773</v>
      </c>
      <c r="L24" s="2511" t="s">
        <v>1746</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1839</v>
      </c>
      <c r="B25" s="784" t="s">
        <v>684</v>
      </c>
      <c r="C25" s="53"/>
      <c r="D25" s="261" t="s">
        <v>1774</v>
      </c>
      <c r="E25" s="1968"/>
      <c r="F25" s="56"/>
      <c r="G25" s="1579"/>
      <c r="H25" s="1815" t="s">
        <v>1775</v>
      </c>
      <c r="I25" s="2963" t="s">
        <v>2818</v>
      </c>
      <c r="J25" s="792">
        <f ca="1">J5-J16</f>
        <v>-2150</v>
      </c>
      <c r="K25" s="2513" t="s">
        <v>1776</v>
      </c>
      <c r="L25" s="2514"/>
      <c r="M25" s="2515"/>
    </row>
    <row r="26" spans="1:33" ht="18" customHeight="1">
      <c r="A26" s="1634" t="s">
        <v>1830</v>
      </c>
      <c r="B26" s="784" t="s">
        <v>2435</v>
      </c>
      <c r="C26" s="53">
        <f ca="1">ROUND((C19+C20)*F26,0)</f>
        <v>2527</v>
      </c>
      <c r="D26" s="812" t="s">
        <v>1777</v>
      </c>
      <c r="E26" s="795" t="s">
        <v>1778</v>
      </c>
      <c r="F26" s="794">
        <f ca="1">INDIRECT("'数据-取费表'!q"&amp;$G$1)</f>
        <v>0.15</v>
      </c>
      <c r="G26" s="1579"/>
      <c r="H26" s="2467" t="s">
        <v>1779</v>
      </c>
      <c r="I26" s="2218" t="s">
        <v>2823</v>
      </c>
      <c r="J26" s="783">
        <f ca="1">IF(J5&lt;&gt;0,ROUND(J25*(1-((1+M28)/(1+M26))^M27)/(M26-M28),0),0)</f>
        <v>0</v>
      </c>
      <c r="K26" s="814" t="s">
        <v>1780</v>
      </c>
      <c r="L26" s="784" t="s">
        <v>2416</v>
      </c>
      <c r="M26" s="794">
        <f ca="1">INDIRECT("'数据-取费表'!I"&amp;$G$1)</f>
        <v>5.5E-2</v>
      </c>
    </row>
    <row r="27" spans="1:33" ht="18" customHeight="1">
      <c r="A27" s="1634" t="s">
        <v>1831</v>
      </c>
      <c r="B27" s="784" t="s">
        <v>686</v>
      </c>
      <c r="C27" s="53">
        <f ca="1">ROUND(F21*F26,4)</f>
        <v>3.0000000000000001E-3</v>
      </c>
      <c r="D27" s="812" t="s">
        <v>1781</v>
      </c>
      <c r="E27" s="806"/>
      <c r="F27" s="807"/>
      <c r="G27" s="1579"/>
      <c r="H27" s="2468"/>
      <c r="I27" s="787"/>
      <c r="J27" s="788"/>
      <c r="K27" s="821" t="s">
        <v>1782</v>
      </c>
      <c r="L27" s="784" t="s">
        <v>1783</v>
      </c>
      <c r="M27" s="822">
        <f ca="1">INDIRECT("'数据-取费表'!ag"&amp;$G$1)</f>
        <v>0</v>
      </c>
    </row>
    <row r="28" spans="1:33" s="2050" customFormat="1" ht="18" customHeight="1">
      <c r="A28" s="1636" t="s">
        <v>1840</v>
      </c>
      <c r="B28" s="784" t="s">
        <v>687</v>
      </c>
      <c r="C28" s="53">
        <f>ROUND(F28/(1+'数据-取费表'!C42),4)</f>
        <v>5.33E-2</v>
      </c>
      <c r="D28" s="812" t="s">
        <v>2297</v>
      </c>
      <c r="E28" s="784" t="s">
        <v>1784</v>
      </c>
      <c r="F28" s="809">
        <f>'数据-取费表'!B41</f>
        <v>5.6000000000000001E-2</v>
      </c>
      <c r="G28" s="1580"/>
      <c r="H28" s="1815"/>
      <c r="I28" s="791"/>
      <c r="J28" s="792"/>
      <c r="K28" s="816"/>
      <c r="L28" s="784" t="s">
        <v>1785</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1891</v>
      </c>
      <c r="B29" s="2506" t="s">
        <v>2298</v>
      </c>
      <c r="C29" s="2509">
        <f ca="1">ROUND((C19+C20+C23+C26)/(1-F21-C24-C27-C28),0)</f>
        <v>21377</v>
      </c>
      <c r="D29" s="2510"/>
      <c r="E29" s="2511"/>
      <c r="F29" s="2512"/>
      <c r="G29" s="1580"/>
      <c r="H29" s="823" t="s">
        <v>1786</v>
      </c>
      <c r="I29" s="824" t="s">
        <v>1787</v>
      </c>
      <c r="J29" s="825">
        <f ca="1">ROUND(J26/(1+F40)^F41,0)</f>
        <v>0</v>
      </c>
      <c r="K29" s="826" t="s">
        <v>1788</v>
      </c>
      <c r="L29" s="827"/>
      <c r="M29" s="828">
        <f ca="1">INDIRECT("'数据-取费表'!k"&amp;$G$1)</f>
        <v>60978</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1892</v>
      </c>
      <c r="B30" s="1813" t="s">
        <v>1789</v>
      </c>
      <c r="C30" s="792">
        <f ca="1">ROUND(C31+C36+C37+C38,0)</f>
        <v>1003</v>
      </c>
      <c r="D30" s="1807" t="s">
        <v>1790</v>
      </c>
      <c r="E30" s="2451"/>
      <c r="F30" s="2456"/>
      <c r="G30" s="2048"/>
      <c r="H30" s="2051"/>
      <c r="I30" s="2052"/>
      <c r="J30" s="2053"/>
      <c r="K30" s="2054"/>
      <c r="L30" s="2055"/>
      <c r="M30" s="2056"/>
    </row>
    <row r="31" spans="1:33" ht="18" customHeight="1">
      <c r="A31" s="1635" t="s">
        <v>1829</v>
      </c>
      <c r="B31" s="784" t="s">
        <v>656</v>
      </c>
      <c r="C31" s="53">
        <f ca="1">ROUND(IF(项目基本情况!B11="自然人",C5*F31,C32+C33+C34),1)</f>
        <v>616.5</v>
      </c>
      <c r="D31" s="1965" t="s">
        <v>1791</v>
      </c>
      <c r="E31" s="1963" t="s">
        <v>1792</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1830</v>
      </c>
      <c r="B32" s="784" t="s">
        <v>1793</v>
      </c>
      <c r="C32" s="53">
        <f ca="1">ROUND(C5*F32/1.05,1)</f>
        <v>179.7</v>
      </c>
      <c r="D32" s="1963" t="s">
        <v>1794</v>
      </c>
      <c r="E32" s="784" t="s">
        <v>1795</v>
      </c>
      <c r="F32" s="809">
        <f>'数据-取费表'!B41</f>
        <v>5.6000000000000001E-2</v>
      </c>
      <c r="G32" s="2048"/>
      <c r="H32" s="2057"/>
      <c r="I32" s="2058"/>
      <c r="J32" s="2059"/>
      <c r="K32" s="2060"/>
      <c r="L32" s="2061"/>
      <c r="M32" s="2062"/>
    </row>
    <row r="33" spans="1:18" ht="18" customHeight="1">
      <c r="A33" s="1634" t="s">
        <v>1831</v>
      </c>
      <c r="B33" s="784" t="s">
        <v>1796</v>
      </c>
      <c r="C33" s="53">
        <f ca="1">IF(D33="按租金收入计税",ROUND(C5*F33,1),IF(D33="按房产原值计税",ROUND(C29*F33*0.7,1),INDIRECT("'数据-取费表'!Aj"&amp;$G$1)))</f>
        <v>404.3</v>
      </c>
      <c r="D33" s="811" t="s">
        <v>3025</v>
      </c>
      <c r="E33" s="784" t="s">
        <v>1795</v>
      </c>
      <c r="F33" s="809">
        <f>IF(D33="按租金收入计税",'数据-取费表'!B51,'数据-取费表'!B50)</f>
        <v>0.12</v>
      </c>
      <c r="G33" s="2048"/>
      <c r="H33" s="2063"/>
      <c r="I33" s="2063"/>
      <c r="J33" s="2063"/>
      <c r="K33" s="2064"/>
      <c r="L33" s="2063"/>
      <c r="M33" s="2063"/>
    </row>
    <row r="34" spans="1:18" ht="18" customHeight="1">
      <c r="A34" s="1637" t="s">
        <v>1832</v>
      </c>
      <c r="B34" s="341" t="s">
        <v>1797</v>
      </c>
      <c r="C34" s="54">
        <f ca="1">ROUND(F34*F35/10000,1)</f>
        <v>32.5</v>
      </c>
      <c r="D34" s="814" t="s">
        <v>1798</v>
      </c>
      <c r="E34" s="784" t="s">
        <v>1799</v>
      </c>
      <c r="F34" s="640">
        <f>'数据-取费表'!B52</f>
        <v>8</v>
      </c>
      <c r="G34" s="2048"/>
      <c r="H34" s="2051"/>
      <c r="I34" s="835" t="s">
        <v>1812</v>
      </c>
      <c r="J34" s="836"/>
      <c r="K34" s="2066"/>
      <c r="L34" s="2065"/>
      <c r="M34" s="2065"/>
    </row>
    <row r="35" spans="1:18" ht="18" customHeight="1">
      <c r="A35" s="815"/>
      <c r="B35" s="793"/>
      <c r="C35" s="69"/>
      <c r="D35" s="816"/>
      <c r="E35" s="784" t="s">
        <v>1800</v>
      </c>
      <c r="F35" s="785">
        <f ca="1">INDIRECT("'数据-取费表'!r"&amp;$G$1)</f>
        <v>40652</v>
      </c>
      <c r="G35" s="2048"/>
      <c r="H35" s="2051"/>
      <c r="I35" s="837" t="s">
        <v>1813</v>
      </c>
      <c r="J35" s="838">
        <f ca="1">ROUND(C13*J36,0)</f>
        <v>1710</v>
      </c>
      <c r="K35" s="2064"/>
      <c r="L35" s="2063"/>
      <c r="M35" s="2063"/>
    </row>
    <row r="36" spans="1:18" ht="18" customHeight="1">
      <c r="A36" s="1635" t="s">
        <v>1888</v>
      </c>
      <c r="B36" s="784" t="s">
        <v>1801</v>
      </c>
      <c r="C36" s="53">
        <f ca="1">ROUND(C29*F36,1)</f>
        <v>320.7</v>
      </c>
      <c r="D36" s="1963" t="s">
        <v>1802</v>
      </c>
      <c r="E36" s="784" t="s">
        <v>1795</v>
      </c>
      <c r="F36" s="817">
        <f ca="1">INDIRECT("'数据-取费表'!Ak"&amp;$G$1)</f>
        <v>1.4999999999999999E-2</v>
      </c>
      <c r="G36" s="2048"/>
      <c r="H36" s="2063"/>
      <c r="I36" s="839" t="s">
        <v>1814</v>
      </c>
      <c r="J36" s="840">
        <f ca="1">INDIRECT("'数据-取费表'!j"&amp;$G$1)</f>
        <v>0.08</v>
      </c>
      <c r="K36" s="2068"/>
      <c r="L36" s="2063"/>
      <c r="M36" s="2063"/>
    </row>
    <row r="37" spans="1:18" ht="18" customHeight="1">
      <c r="A37" s="1635" t="s">
        <v>1889</v>
      </c>
      <c r="B37" s="784" t="s">
        <v>679</v>
      </c>
      <c r="C37" s="53">
        <f ca="1">ROUND(C13*F37,1)</f>
        <v>32.1</v>
      </c>
      <c r="D37" s="1963" t="s">
        <v>1803</v>
      </c>
      <c r="E37" s="784" t="s">
        <v>1795</v>
      </c>
      <c r="F37" s="818">
        <f ca="1">INDIRECT("'数据-取费表'!Al"&amp;$G$1)</f>
        <v>1.5E-3</v>
      </c>
      <c r="G37" s="2048"/>
      <c r="H37" s="2063"/>
      <c r="I37" s="841" t="s">
        <v>1815</v>
      </c>
      <c r="J37" s="842"/>
      <c r="K37" s="2068"/>
      <c r="L37" s="2063"/>
      <c r="M37" s="2063"/>
    </row>
    <row r="38" spans="1:18" ht="18" customHeight="1" thickBot="1">
      <c r="A38" s="2516" t="s">
        <v>1890</v>
      </c>
      <c r="B38" s="2511" t="s">
        <v>666</v>
      </c>
      <c r="C38" s="2509">
        <f ca="1">ROUND(C5*F38,1)</f>
        <v>33.700000000000003</v>
      </c>
      <c r="D38" s="2510" t="s">
        <v>1804</v>
      </c>
      <c r="E38" s="2511" t="s">
        <v>1795</v>
      </c>
      <c r="F38" s="2507">
        <f ca="1">INDIRECT("'数据-取费表'!Am"&amp;$G$1)</f>
        <v>0.01</v>
      </c>
      <c r="G38" s="2048"/>
      <c r="H38" s="2063"/>
      <c r="I38" s="843" t="s">
        <v>1816</v>
      </c>
      <c r="J38" s="844"/>
      <c r="K38" s="2069"/>
      <c r="L38" s="2063"/>
      <c r="M38" s="2063"/>
    </row>
    <row r="39" spans="1:18" ht="24.6" customHeight="1" thickTop="1">
      <c r="A39" s="1815" t="s">
        <v>1893</v>
      </c>
      <c r="B39" s="2963" t="s">
        <v>2818</v>
      </c>
      <c r="C39" s="792">
        <f ca="1">C5-C30</f>
        <v>2366</v>
      </c>
      <c r="D39" s="2513" t="s">
        <v>1805</v>
      </c>
      <c r="E39" s="2514"/>
      <c r="F39" s="2515"/>
      <c r="G39" s="2048"/>
      <c r="H39" s="2063"/>
      <c r="I39" s="837" t="s">
        <v>1817</v>
      </c>
      <c r="J39" s="845">
        <f ca="1">ROUND(J35/C39,3)</f>
        <v>0.72299999999999998</v>
      </c>
      <c r="K39" s="2069"/>
      <c r="L39" s="2063"/>
      <c r="M39" s="2063"/>
    </row>
    <row r="40" spans="1:18" ht="18" customHeight="1">
      <c r="A40" s="781" t="s">
        <v>1894</v>
      </c>
      <c r="B40" s="2218" t="s">
        <v>2299</v>
      </c>
      <c r="C40" s="783">
        <f ca="1">ROUND(C39*(1-((1+F42)/(1+F40))^F41)/(F40-F42),0)</f>
        <v>51892</v>
      </c>
      <c r="D40" s="814" t="s">
        <v>1806</v>
      </c>
      <c r="E40" s="784" t="s">
        <v>2416</v>
      </c>
      <c r="F40" s="794">
        <f ca="1">INDIRECT("'数据-取费表'!I"&amp;$G$1)</f>
        <v>5.5E-2</v>
      </c>
      <c r="G40" s="2048"/>
      <c r="H40" s="2048"/>
      <c r="I40" s="837" t="s">
        <v>1818</v>
      </c>
      <c r="J40" s="845">
        <f ca="1">1-J39</f>
        <v>0.27700000000000002</v>
      </c>
      <c r="K40" s="2069"/>
      <c r="L40" s="2048"/>
      <c r="M40" s="2048"/>
    </row>
    <row r="41" spans="1:18" ht="18" customHeight="1">
      <c r="A41" s="786"/>
      <c r="B41" s="787"/>
      <c r="C41" s="788"/>
      <c r="D41" s="821" t="s">
        <v>1807</v>
      </c>
      <c r="E41" s="784" t="s">
        <v>2960</v>
      </c>
      <c r="F41" s="822">
        <f ca="1">IF(INDIRECT("'数据-取费表'!af"&amp;$G$1)=0,INDIRECT("'数据-取费表'!ae"&amp;$G$1),INDIRECT("'数据-取费表'!af"&amp;$G$1))</f>
        <v>33.14</v>
      </c>
      <c r="G41" s="2048"/>
      <c r="H41" s="1974"/>
      <c r="I41" s="843" t="s">
        <v>1819</v>
      </c>
      <c r="J41" s="846"/>
      <c r="K41" s="2068"/>
      <c r="L41" s="1974"/>
      <c r="M41" s="1974"/>
    </row>
    <row r="42" spans="1:18" ht="18" customHeight="1">
      <c r="A42" s="790"/>
      <c r="B42" s="791"/>
      <c r="C42" s="792"/>
      <c r="D42" s="816"/>
      <c r="E42" s="784" t="s">
        <v>1808</v>
      </c>
      <c r="F42" s="794">
        <f ca="1">INDIRECT("'数据-取费表'!v"&amp;$G$1)</f>
        <v>0.03</v>
      </c>
      <c r="G42" s="2048"/>
      <c r="H42" s="1974"/>
      <c r="I42" s="847" t="s">
        <v>1820</v>
      </c>
      <c r="J42" s="845">
        <f ca="1">ROUND(C13/C40,3)</f>
        <v>0.41199999999999998</v>
      </c>
      <c r="K42" s="2068"/>
      <c r="L42" s="1974"/>
      <c r="M42" s="1974"/>
    </row>
    <row r="43" spans="1:18" ht="18" customHeight="1" thickBot="1">
      <c r="A43" s="823" t="s">
        <v>1786</v>
      </c>
      <c r="B43" s="824" t="s">
        <v>1809</v>
      </c>
      <c r="C43" s="825">
        <f ca="1">ROUND(C40*10000/F43,0)</f>
        <v>8510</v>
      </c>
      <c r="D43" s="826" t="s">
        <v>1810</v>
      </c>
      <c r="E43" s="827" t="s">
        <v>1811</v>
      </c>
      <c r="F43" s="828">
        <f ca="1">INDIRECT("'数据-取费表'!k"&amp;$G$1)</f>
        <v>60978</v>
      </c>
      <c r="G43" s="2048"/>
      <c r="H43" s="1974"/>
      <c r="I43" s="847" t="s">
        <v>1821</v>
      </c>
      <c r="J43" s="848">
        <f ca="1">1-J42</f>
        <v>0.58800000000000008</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2293</v>
      </c>
      <c r="B46" s="2071"/>
      <c r="C46" s="2539">
        <f ca="1">C67-C40</f>
        <v>-57705</v>
      </c>
      <c r="D46" s="2071"/>
      <c r="E46" s="2071"/>
      <c r="F46" s="2071"/>
      <c r="I46" s="2343" t="s">
        <v>2340</v>
      </c>
      <c r="J46" s="2344"/>
      <c r="K46" s="2345"/>
      <c r="L46" s="3110">
        <f>IF(OR(M47="住宅",D1="土地（套用方法）"),0,IF(L48&gt;J51,L60,J60))</f>
        <v>0</v>
      </c>
      <c r="O46" s="2359" t="s">
        <v>2407</v>
      </c>
      <c r="P46" s="1579"/>
      <c r="Q46" s="1590"/>
      <c r="R46" s="1579"/>
    </row>
    <row r="47" spans="1:18" s="2045" customFormat="1" ht="18" customHeight="1" thickBot="1">
      <c r="A47" s="2337">
        <v>1</v>
      </c>
      <c r="B47" s="2338" t="s">
        <v>635</v>
      </c>
      <c r="C47" s="2539">
        <f ca="1">C48+C52+C54</f>
        <v>0</v>
      </c>
      <c r="D47" s="2071"/>
      <c r="E47" s="2071"/>
      <c r="F47" s="2071"/>
      <c r="I47" s="3100" t="s">
        <v>2341</v>
      </c>
      <c r="J47" s="2346" t="s">
        <v>3026</v>
      </c>
      <c r="K47" s="3107" t="s">
        <v>2346</v>
      </c>
      <c r="L47" s="3111">
        <f ca="1">INDIRECT("'数据-取费表'!d"&amp;$G$1)</f>
        <v>40</v>
      </c>
      <c r="M47" s="1590" t="str">
        <f>IF(ISNUMBER(FIND("住宅",C1)),"住宅","非住宅")</f>
        <v>非住宅</v>
      </c>
      <c r="O47" s="2360" t="s">
        <v>2372</v>
      </c>
      <c r="P47" s="2361" t="s">
        <v>2373</v>
      </c>
      <c r="Q47" s="2362" t="s">
        <v>2374</v>
      </c>
      <c r="R47" s="2361" t="s">
        <v>2375</v>
      </c>
    </row>
    <row r="48" spans="1:18" s="2045" customFormat="1" ht="18" customHeight="1" thickBot="1">
      <c r="A48" s="2607" t="s">
        <v>2533</v>
      </c>
      <c r="B48" s="2608" t="s">
        <v>2534</v>
      </c>
      <c r="C48" s="2339">
        <f ca="1">ROUND(F48*F50*F49*(1-F51)/10000,0)</f>
        <v>0</v>
      </c>
      <c r="D48" s="2340" t="s">
        <v>636</v>
      </c>
      <c r="E48" s="2341" t="s">
        <v>2294</v>
      </c>
      <c r="F48" s="2342"/>
      <c r="G48" s="2076"/>
      <c r="I48" s="3079" t="s">
        <v>2342</v>
      </c>
      <c r="J48" s="2347" t="s">
        <v>2347</v>
      </c>
      <c r="K48" s="3108" t="s">
        <v>2348</v>
      </c>
      <c r="L48" s="1894">
        <f ca="1">INDIRECT("'数据-取费表'!f"&amp;$G$1)</f>
        <v>34.14</v>
      </c>
      <c r="O48" s="2363" t="s">
        <v>2376</v>
      </c>
      <c r="P48" s="2364" t="s">
        <v>2402</v>
      </c>
      <c r="Q48" s="2365">
        <f ca="1">C40+J29</f>
        <v>51892</v>
      </c>
      <c r="R48" s="2364" t="s">
        <v>2377</v>
      </c>
    </row>
    <row r="49" spans="1:18" s="2045" customFormat="1" ht="18" customHeight="1" thickBot="1">
      <c r="A49" s="786"/>
      <c r="B49" s="787"/>
      <c r="C49" s="788"/>
      <c r="D49" s="789"/>
      <c r="E49" s="784" t="s">
        <v>1738</v>
      </c>
      <c r="F49" s="785">
        <f ca="1">F7</f>
        <v>60978</v>
      </c>
      <c r="G49" s="2076"/>
      <c r="H49" s="2079"/>
      <c r="I49" s="3079" t="s">
        <v>2343</v>
      </c>
      <c r="J49" s="2348">
        <v>2021</v>
      </c>
      <c r="K49" s="3109" t="s">
        <v>2349</v>
      </c>
      <c r="L49" s="2349"/>
      <c r="O49" s="2363" t="s">
        <v>2378</v>
      </c>
      <c r="P49" s="2364" t="s">
        <v>2403</v>
      </c>
      <c r="Q49" s="2365" t="str">
        <f ca="1">J60</f>
        <v>0</v>
      </c>
      <c r="R49" s="2364" t="s">
        <v>2379</v>
      </c>
    </row>
    <row r="50" spans="1:18" s="2045" customFormat="1" ht="18" customHeight="1" thickBot="1">
      <c r="A50" s="786"/>
      <c r="B50" s="787"/>
      <c r="C50" s="788"/>
      <c r="D50" s="789"/>
      <c r="E50" s="784" t="s">
        <v>1739</v>
      </c>
      <c r="F50" s="785">
        <f ca="1">F8</f>
        <v>365</v>
      </c>
      <c r="G50" s="2081"/>
      <c r="H50" s="2079"/>
      <c r="I50" s="3079" t="s">
        <v>2344</v>
      </c>
      <c r="J50" s="3104">
        <f>SUMPRODUCT((I63:I65=J47)*(J62:L62=J48)*(J63:L65))</f>
        <v>60</v>
      </c>
      <c r="K50" s="3109" t="s">
        <v>2350</v>
      </c>
      <c r="L50" s="2349"/>
      <c r="O50" s="2366" t="s">
        <v>2380</v>
      </c>
      <c r="P50" s="2364" t="s">
        <v>2404</v>
      </c>
      <c r="Q50" s="2365">
        <f ca="1">C29</f>
        <v>21377</v>
      </c>
      <c r="R50" s="2364" t="s">
        <v>2377</v>
      </c>
    </row>
    <row r="51" spans="1:18" s="2045" customFormat="1" ht="18" customHeight="1" thickBot="1">
      <c r="A51" s="786"/>
      <c r="B51" s="787"/>
      <c r="C51" s="788"/>
      <c r="D51" s="789"/>
      <c r="E51" s="784" t="s">
        <v>640</v>
      </c>
      <c r="F51" s="2336"/>
      <c r="H51" s="2079"/>
      <c r="I51" s="3101" t="s">
        <v>2345</v>
      </c>
      <c r="J51" s="3105">
        <f>IF(J49="",J50,J49+J50-YEAR('数据-取费表'!B2))</f>
        <v>62</v>
      </c>
      <c r="K51" s="3079" t="s">
        <v>2351</v>
      </c>
      <c r="L51" s="3112">
        <f ca="1">ROUND(-PV(INDIRECT("'数据-取费表'!h"&amp;$G$1),L48,(C39-C13*J36),0),0)</f>
        <v>10637</v>
      </c>
      <c r="O51" s="2366" t="s">
        <v>2381</v>
      </c>
      <c r="P51" s="2364" t="s">
        <v>2382</v>
      </c>
      <c r="Q51" s="2367" t="e">
        <f ca="1">J58</f>
        <v>#VALUE!</v>
      </c>
      <c r="R51" s="2368"/>
    </row>
    <row r="52" spans="1:18" s="2045" customFormat="1" ht="18" customHeight="1" thickBot="1">
      <c r="A52" s="781" t="s">
        <v>2532</v>
      </c>
      <c r="B52" s="2459" t="s">
        <v>2455</v>
      </c>
      <c r="C52" s="799">
        <f ca="1">ROUND(IF(F52="押一",C48/12*F11,IF(F52="押二",C48/12*2*F11,IF(F52="押三",C48/12*3*F11,C53*F11))),0)</f>
        <v>0</v>
      </c>
      <c r="D52" s="2466" t="s">
        <v>2971</v>
      </c>
      <c r="E52" s="2463" t="s">
        <v>2460</v>
      </c>
      <c r="F52" s="2586"/>
      <c r="I52" s="3102" t="s">
        <v>2418</v>
      </c>
      <c r="J52" s="2350">
        <v>8.5000000000000006E-2</v>
      </c>
      <c r="K52" s="3102" t="s">
        <v>2417</v>
      </c>
      <c r="L52" s="2350"/>
      <c r="O52" s="2366" t="s">
        <v>2383</v>
      </c>
      <c r="P52" s="2364" t="s">
        <v>2384</v>
      </c>
      <c r="Q52" s="2367">
        <f>J52</f>
        <v>8.5000000000000006E-2</v>
      </c>
      <c r="R52" s="2368"/>
    </row>
    <row r="53" spans="1:18" s="2045" customFormat="1" ht="39.75" customHeight="1" thickBot="1">
      <c r="A53" s="786"/>
      <c r="B53" s="2460" t="s">
        <v>2569</v>
      </c>
      <c r="C53" s="2464"/>
      <c r="D53" s="2466"/>
      <c r="E53" s="2463"/>
      <c r="F53" s="800"/>
      <c r="I53" s="3103" t="s">
        <v>2974</v>
      </c>
      <c r="J53" s="3106">
        <f ca="1">IF(M47="住宅",IF(D1="——",MAX(J51,L48),MAX(J51,L48-'数据-取费表'!B20)),IF(D1="——",MIN(J51,L48),MIN(J51,L48-'数据-取费表'!B20)))</f>
        <v>33.14</v>
      </c>
      <c r="K53" s="3487" t="s">
        <v>2962</v>
      </c>
      <c r="L53" s="3488"/>
      <c r="O53" s="2366" t="s">
        <v>2385</v>
      </c>
      <c r="P53" s="2364" t="s">
        <v>2386</v>
      </c>
      <c r="Q53" s="2365">
        <f ca="1">J53</f>
        <v>33.14</v>
      </c>
      <c r="R53" s="2364" t="s">
        <v>2387</v>
      </c>
    </row>
    <row r="54" spans="1:18" s="2045" customFormat="1" ht="18" customHeight="1" thickBot="1">
      <c r="A54" s="2502" t="s">
        <v>2463</v>
      </c>
      <c r="B54" s="2503" t="s">
        <v>2456</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2388</v>
      </c>
      <c r="P54" s="2364" t="s">
        <v>2405</v>
      </c>
      <c r="Q54" s="2365">
        <f ca="1">Q48+Q49</f>
        <v>51892</v>
      </c>
      <c r="R54" s="2368" t="s">
        <v>2389</v>
      </c>
    </row>
    <row r="55" spans="1:18" s="2045" customFormat="1" ht="18" customHeight="1" thickTop="1" thickBot="1">
      <c r="A55" s="797">
        <v>2</v>
      </c>
      <c r="B55" s="798" t="s">
        <v>644</v>
      </c>
      <c r="C55" s="799">
        <f ca="1">C13</f>
        <v>21377</v>
      </c>
      <c r="D55" s="795"/>
      <c r="E55" s="795"/>
      <c r="F55" s="800"/>
      <c r="I55" s="3115" t="s">
        <v>2352</v>
      </c>
      <c r="J55" s="3054" t="e">
        <f ca="1">ROUND(IF(J47="钢混",J57/J50,1-(1-2%)*(J50-J57)/J50),3)</f>
        <v>#VALUE!</v>
      </c>
      <c r="K55" s="3116" t="s">
        <v>2353</v>
      </c>
      <c r="L55" s="2351"/>
      <c r="O55" s="2369" t="s">
        <v>2408</v>
      </c>
      <c r="P55" s="1579"/>
      <c r="Q55" s="1590"/>
      <c r="R55" s="1579"/>
    </row>
    <row r="56" spans="1:18" s="2045" customFormat="1" ht="42.75" customHeight="1" thickBot="1">
      <c r="A56" s="1636"/>
      <c r="B56" s="2217" t="s">
        <v>2300</v>
      </c>
      <c r="C56" s="53">
        <f ca="1">C29</f>
        <v>21377</v>
      </c>
      <c r="D56" s="2604"/>
      <c r="E56" s="784"/>
      <c r="F56" s="809"/>
      <c r="I56" s="3117" t="s">
        <v>2354</v>
      </c>
      <c r="J56" s="3127" t="s">
        <v>1677</v>
      </c>
      <c r="K56" s="3079" t="s">
        <v>2359</v>
      </c>
      <c r="L56" s="1894" t="str">
        <f ca="1">IF(L48&lt;J51,"——",L48-J51)</f>
        <v>——</v>
      </c>
      <c r="O56" s="2360" t="s">
        <v>2372</v>
      </c>
      <c r="P56" s="2361" t="s">
        <v>2373</v>
      </c>
      <c r="Q56" s="2362" t="s">
        <v>2374</v>
      </c>
      <c r="R56" s="2361" t="s">
        <v>2375</v>
      </c>
    </row>
    <row r="57" spans="1:18" s="2045" customFormat="1" ht="28.5" customHeight="1" thickBot="1">
      <c r="A57" s="797" t="s">
        <v>1747</v>
      </c>
      <c r="B57" s="798" t="s">
        <v>651</v>
      </c>
      <c r="C57" s="799">
        <f ca="1">ROUND(C58+C63+C64+C65,0)</f>
        <v>385</v>
      </c>
      <c r="D57" s="26" t="s">
        <v>1749</v>
      </c>
      <c r="E57" s="2605"/>
      <c r="F57" s="56"/>
      <c r="I57" s="3118" t="s">
        <v>2355</v>
      </c>
      <c r="J57" s="3119" t="str">
        <f ca="1">IF(OR(M47="住宅",J51&lt;L48,J56="是"),"——",J51-L48)</f>
        <v>——</v>
      </c>
      <c r="K57" s="3079" t="s">
        <v>2360</v>
      </c>
      <c r="L57" s="1894" t="str">
        <f ca="1">IF(L48&lt;J51,"——",IF(L55="比较法",L49,IF(L55="基准地价",L50,L51)))</f>
        <v>——</v>
      </c>
      <c r="O57" s="2363" t="s">
        <v>2376</v>
      </c>
      <c r="P57" s="2364" t="s">
        <v>2406</v>
      </c>
      <c r="Q57" s="2365">
        <f ca="1">C40+J29</f>
        <v>51892</v>
      </c>
      <c r="R57" s="2364" t="s">
        <v>2377</v>
      </c>
    </row>
    <row r="58" spans="1:18" s="2045" customFormat="1" ht="28.5" customHeight="1" thickBot="1">
      <c r="A58" s="1635" t="s">
        <v>1823</v>
      </c>
      <c r="B58" s="784" t="s">
        <v>656</v>
      </c>
      <c r="C58" s="53">
        <f ca="1">ROUND(IF(项目基本情况!B11="自然人",C47*F58,C59+C60+C61),1)</f>
        <v>32.5</v>
      </c>
      <c r="D58" s="2603" t="s">
        <v>657</v>
      </c>
      <c r="E58" s="2604" t="s">
        <v>690</v>
      </c>
      <c r="F58" s="810" t="str">
        <f ca="1">IF(项目基本情况!B11="企业","",IF(INDIRECT("'数据-取费表'!c"&amp;$G$1)="住宅",5%,IF(F48*F49*F50/12/(1+'数据-取费表'!C42)&gt;20000,12%,7%)))</f>
        <v/>
      </c>
      <c r="I58" s="3118" t="s">
        <v>2356</v>
      </c>
      <c r="J58" s="3055" t="e">
        <f ca="1">IF(J55&lt;0.4,0.4,J55)</f>
        <v>#VALUE!</v>
      </c>
      <c r="K58" s="3079" t="s">
        <v>2361</v>
      </c>
      <c r="L58" s="1894" t="e">
        <f ca="1">ROUND(POWER(1+L52,L47-L48)*(POWER(1+L52,L48)-1)/(POWER(1+L52,L47)-1),4)</f>
        <v>#DIV/0!</v>
      </c>
      <c r="O58" s="2363" t="s">
        <v>2378</v>
      </c>
      <c r="P58" s="2364" t="s">
        <v>2409</v>
      </c>
      <c r="Q58" s="2365">
        <f ca="1">L60</f>
        <v>0</v>
      </c>
      <c r="R58" s="2368" t="s">
        <v>2411</v>
      </c>
    </row>
    <row r="59" spans="1:18" s="2045" customFormat="1" ht="28.5" customHeight="1" thickBot="1">
      <c r="A59" s="1634" t="s">
        <v>1830</v>
      </c>
      <c r="B59" s="784" t="s">
        <v>660</v>
      </c>
      <c r="C59" s="53">
        <f ca="1">ROUND(C47*F59/1.05,1)</f>
        <v>0</v>
      </c>
      <c r="D59" s="2604" t="s">
        <v>1755</v>
      </c>
      <c r="E59" s="784" t="s">
        <v>1746</v>
      </c>
      <c r="F59" s="809">
        <f t="shared" ref="F59:F65" si="0">F32</f>
        <v>5.6000000000000001E-2</v>
      </c>
      <c r="I59" s="3118" t="s">
        <v>2357</v>
      </c>
      <c r="J59" s="3119" t="str">
        <f ca="1">IF(OR(M47="住宅",J51&lt;L48,J56="是"),"——",ROUND(C29*J58,0))</f>
        <v>——</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1831</v>
      </c>
      <c r="B60" s="784" t="s">
        <v>1757</v>
      </c>
      <c r="C60" s="53">
        <f ca="1">IF(D60="按租金收入计税",ROUND(C47*F60,1),IF(D60="按房产原值计税",ROUND(C56*F60*0.7,1),INDIRECT("'数据-取费表'!Aj"&amp;$G$1)))</f>
        <v>0</v>
      </c>
      <c r="D60" s="2604" t="str">
        <f>D33</f>
        <v>按租金收入计税</v>
      </c>
      <c r="E60" s="784" t="s">
        <v>1746</v>
      </c>
      <c r="F60" s="809">
        <f t="shared" si="0"/>
        <v>0.12</v>
      </c>
      <c r="I60" s="3120" t="s">
        <v>2358</v>
      </c>
      <c r="J60" s="3121" t="str">
        <f ca="1">IF(OR(M47="住宅",J51&lt;L48,J56="是"),"0",ROUND(J59/(1+J52)^J53,0))</f>
        <v>0</v>
      </c>
      <c r="K60" s="3122" t="s">
        <v>2363</v>
      </c>
      <c r="L60" s="3121">
        <f ca="1">IF(OR(M47="住宅",L48&lt;J51),0,ROUND(L57*(L58/L59-1),0))</f>
        <v>0</v>
      </c>
      <c r="O60" s="2366" t="s">
        <v>2381</v>
      </c>
      <c r="P60" s="2364" t="s">
        <v>2390</v>
      </c>
      <c r="Q60" s="2367">
        <f>L52</f>
        <v>0</v>
      </c>
      <c r="R60" s="2368"/>
    </row>
    <row r="61" spans="1:18" s="2045" customFormat="1" ht="18" customHeight="1" thickBot="1">
      <c r="A61" s="1637" t="s">
        <v>1832</v>
      </c>
      <c r="B61" s="341" t="s">
        <v>668</v>
      </c>
      <c r="C61" s="54">
        <f ca="1">ROUND(F61*F62/10000,1)</f>
        <v>32.5</v>
      </c>
      <c r="D61" s="814" t="s">
        <v>669</v>
      </c>
      <c r="E61" s="784" t="s">
        <v>670</v>
      </c>
      <c r="F61" s="640">
        <f t="shared" si="0"/>
        <v>8</v>
      </c>
      <c r="K61" s="2072"/>
      <c r="O61" s="2366" t="s">
        <v>2383</v>
      </c>
      <c r="P61" s="2364" t="s">
        <v>2391</v>
      </c>
      <c r="Q61" s="2365" t="e">
        <f ca="1">L58</f>
        <v>#DIV/0!</v>
      </c>
      <c r="R61" s="2368" t="s">
        <v>2392</v>
      </c>
    </row>
    <row r="62" spans="1:18" s="2045" customFormat="1" ht="15.75" thickBot="1">
      <c r="A62" s="815"/>
      <c r="B62" s="793"/>
      <c r="C62" s="69"/>
      <c r="D62" s="816"/>
      <c r="E62" s="784" t="s">
        <v>674</v>
      </c>
      <c r="F62" s="785">
        <f t="shared" ca="1" si="0"/>
        <v>40652</v>
      </c>
      <c r="I62" s="3123" t="s">
        <v>2364</v>
      </c>
      <c r="J62" s="3124" t="s">
        <v>2365</v>
      </c>
      <c r="K62" s="3124" t="s">
        <v>2366</v>
      </c>
      <c r="L62" s="3124" t="s">
        <v>2347</v>
      </c>
      <c r="M62" s="3125" t="s">
        <v>2938</v>
      </c>
      <c r="O62" s="2366" t="s">
        <v>2385</v>
      </c>
      <c r="P62" s="2364" t="str">
        <f>K59</f>
        <v>建设期及建筑物耐用年限下的土地年期修正系数Kn</v>
      </c>
      <c r="Q62" s="2365" t="e">
        <f ca="1">L59</f>
        <v>#DIV/0!</v>
      </c>
      <c r="R62" s="2368" t="s">
        <v>2394</v>
      </c>
    </row>
    <row r="63" spans="1:18" s="2045" customFormat="1" ht="15.75" thickBot="1">
      <c r="A63" s="1635" t="s">
        <v>1888</v>
      </c>
      <c r="B63" s="784" t="s">
        <v>676</v>
      </c>
      <c r="C63" s="53">
        <f ca="1">ROUND(C56*F63,1)</f>
        <v>320.7</v>
      </c>
      <c r="D63" s="2604" t="s">
        <v>1802</v>
      </c>
      <c r="E63" s="784" t="s">
        <v>1746</v>
      </c>
      <c r="F63" s="817">
        <f t="shared" ca="1" si="0"/>
        <v>1.4999999999999999E-2</v>
      </c>
      <c r="I63" s="3123" t="s">
        <v>2367</v>
      </c>
      <c r="J63" s="3124">
        <v>70</v>
      </c>
      <c r="K63" s="3124">
        <v>50</v>
      </c>
      <c r="L63" s="3124">
        <v>80</v>
      </c>
      <c r="M63" s="3126">
        <v>0.02</v>
      </c>
      <c r="O63" s="2363" t="s">
        <v>2388</v>
      </c>
      <c r="P63" s="2364" t="s">
        <v>2405</v>
      </c>
      <c r="Q63" s="2365">
        <f ca="1">Q57+Q58</f>
        <v>51892</v>
      </c>
      <c r="R63" s="2368" t="s">
        <v>2389</v>
      </c>
    </row>
    <row r="64" spans="1:18" s="2045" customFormat="1" ht="16.5" thickBot="1">
      <c r="A64" s="1635" t="s">
        <v>1889</v>
      </c>
      <c r="B64" s="784" t="s">
        <v>679</v>
      </c>
      <c r="C64" s="53">
        <f ca="1">ROUND(C55*F64,1)</f>
        <v>32.1</v>
      </c>
      <c r="D64" s="2604" t="s">
        <v>680</v>
      </c>
      <c r="E64" s="784" t="s">
        <v>1746</v>
      </c>
      <c r="F64" s="818">
        <f t="shared" ca="1" si="0"/>
        <v>1.5E-3</v>
      </c>
      <c r="I64" s="3123" t="s">
        <v>2368</v>
      </c>
      <c r="J64" s="3124">
        <v>50</v>
      </c>
      <c r="K64" s="3124">
        <v>35</v>
      </c>
      <c r="L64" s="3124">
        <v>60</v>
      </c>
      <c r="M64" s="846">
        <v>0</v>
      </c>
      <c r="O64" s="2369" t="s">
        <v>2412</v>
      </c>
      <c r="P64" s="1579"/>
      <c r="Q64" s="1590"/>
      <c r="R64" s="1579"/>
    </row>
    <row r="65" spans="1:18" s="2045" customFormat="1" ht="15.75" thickBot="1">
      <c r="A65" s="1635" t="s">
        <v>1890</v>
      </c>
      <c r="B65" s="784" t="s">
        <v>666</v>
      </c>
      <c r="C65" s="53">
        <f ca="1">ROUND(C47*F65,1)</f>
        <v>0</v>
      </c>
      <c r="D65" s="2604" t="s">
        <v>683</v>
      </c>
      <c r="E65" s="784" t="s">
        <v>1746</v>
      </c>
      <c r="F65" s="794">
        <f t="shared" ca="1" si="0"/>
        <v>0.01</v>
      </c>
      <c r="I65" s="3123" t="s">
        <v>2369</v>
      </c>
      <c r="J65" s="3124">
        <v>40</v>
      </c>
      <c r="K65" s="3124">
        <v>30</v>
      </c>
      <c r="L65" s="3124">
        <v>50</v>
      </c>
      <c r="M65" s="3126">
        <v>0.02</v>
      </c>
      <c r="O65" s="2360" t="s">
        <v>2372</v>
      </c>
      <c r="P65" s="2361" t="s">
        <v>2373</v>
      </c>
      <c r="Q65" s="2362" t="s">
        <v>2374</v>
      </c>
      <c r="R65" s="2361" t="s">
        <v>2375</v>
      </c>
    </row>
    <row r="66" spans="1:18" s="2045" customFormat="1" ht="24.75" thickBot="1">
      <c r="A66" s="797" t="s">
        <v>1775</v>
      </c>
      <c r="B66" s="2964" t="s">
        <v>2818</v>
      </c>
      <c r="C66" s="799">
        <f ca="1">C47-C57</f>
        <v>-385</v>
      </c>
      <c r="D66" s="2603" t="s">
        <v>700</v>
      </c>
      <c r="E66" s="2602"/>
      <c r="F66" s="820"/>
      <c r="K66" s="2072"/>
      <c r="O66" s="2363" t="s">
        <v>2376</v>
      </c>
      <c r="P66" s="2364" t="s">
        <v>2406</v>
      </c>
      <c r="Q66" s="2365">
        <f ca="1">C40+J29</f>
        <v>51892</v>
      </c>
      <c r="R66" s="2364" t="s">
        <v>2377</v>
      </c>
    </row>
    <row r="67" spans="1:18" s="2045" customFormat="1" ht="20.25" thickBot="1">
      <c r="A67" s="781" t="s">
        <v>1779</v>
      </c>
      <c r="B67" s="2218" t="s">
        <v>2299</v>
      </c>
      <c r="C67" s="783">
        <f ca="1">ROUND(C66*(1-((1+F69)/(1+F67))^F68)/(F67-F69),0)</f>
        <v>-5813</v>
      </c>
      <c r="D67" s="814" t="s">
        <v>704</v>
      </c>
      <c r="E67" s="784" t="s">
        <v>705</v>
      </c>
      <c r="F67" s="794">
        <f ca="1">F40</f>
        <v>5.5E-2</v>
      </c>
      <c r="K67" s="2072"/>
      <c r="O67" s="2363" t="s">
        <v>2378</v>
      </c>
      <c r="P67" s="2364" t="s">
        <v>2409</v>
      </c>
      <c r="Q67" s="2365">
        <f ca="1">L60</f>
        <v>0</v>
      </c>
      <c r="R67" s="2368" t="s">
        <v>2411</v>
      </c>
    </row>
    <row r="68" spans="1:18" ht="21.75" thickBot="1">
      <c r="A68" s="786"/>
      <c r="B68" s="787"/>
      <c r="C68" s="788"/>
      <c r="D68" s="821" t="s">
        <v>1807</v>
      </c>
      <c r="E68" s="784" t="s">
        <v>1783</v>
      </c>
      <c r="F68" s="822">
        <f ca="1">F41</f>
        <v>33.14</v>
      </c>
      <c r="O68" s="2366" t="s">
        <v>2380</v>
      </c>
      <c r="P68" s="2364" t="s">
        <v>2410</v>
      </c>
      <c r="Q68" s="2370">
        <f ca="1">L51</f>
        <v>10637</v>
      </c>
      <c r="R68" s="2371" t="s">
        <v>2413</v>
      </c>
    </row>
    <row r="69" spans="1:18" ht="20.25" thickBot="1">
      <c r="A69" s="790"/>
      <c r="B69" s="791"/>
      <c r="C69" s="792"/>
      <c r="D69" s="816"/>
      <c r="E69" s="784" t="s">
        <v>710</v>
      </c>
      <c r="F69" s="2336"/>
      <c r="O69" s="2366" t="s">
        <v>2381</v>
      </c>
      <c r="P69" s="2372" t="s">
        <v>2395</v>
      </c>
      <c r="Q69" s="2365">
        <f ca="1">ROUND(Q70-Q71*Q72,0)</f>
        <v>656</v>
      </c>
      <c r="R69" s="2368"/>
    </row>
    <row r="70" spans="1:18" ht="15.75" thickBot="1">
      <c r="A70" s="823" t="s">
        <v>1786</v>
      </c>
      <c r="B70" s="824" t="s">
        <v>1809</v>
      </c>
      <c r="C70" s="825">
        <f ca="1">ROUND(C67*10000/F70,0)</f>
        <v>-953</v>
      </c>
      <c r="D70" s="826" t="s">
        <v>1810</v>
      </c>
      <c r="E70" s="827" t="s">
        <v>1811</v>
      </c>
      <c r="F70" s="828">
        <f ca="1">F43</f>
        <v>60978</v>
      </c>
      <c r="O70" s="2366" t="s">
        <v>2396</v>
      </c>
      <c r="P70" s="2372" t="s">
        <v>2397</v>
      </c>
      <c r="Q70" s="2365">
        <f ca="1">C39</f>
        <v>2366</v>
      </c>
      <c r="R70" s="2364" t="s">
        <v>2377</v>
      </c>
    </row>
    <row r="71" spans="1:18" ht="15.75" thickBot="1">
      <c r="O71" s="2366" t="s">
        <v>2398</v>
      </c>
      <c r="P71" s="2372" t="s">
        <v>2399</v>
      </c>
      <c r="Q71" s="2365">
        <f ca="1">C13</f>
        <v>21377</v>
      </c>
      <c r="R71" s="2364" t="s">
        <v>2377</v>
      </c>
    </row>
    <row r="72" spans="1:18" ht="15.75" thickBot="1">
      <c r="O72" s="2366" t="s">
        <v>2400</v>
      </c>
      <c r="P72" s="2372" t="s">
        <v>2401</v>
      </c>
      <c r="Q72" s="2367">
        <f ca="1">J36</f>
        <v>0.08</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建设期及建筑物耐用年限下的土地年期修正系数Kn</v>
      </c>
      <c r="Q75" s="2365" t="e">
        <f ca="1">L59</f>
        <v>#DIV/0!</v>
      </c>
      <c r="R75" s="2368" t="s">
        <v>2394</v>
      </c>
    </row>
    <row r="76" spans="1:18" ht="15.75" thickBot="1">
      <c r="O76" s="2363" t="s">
        <v>2388</v>
      </c>
      <c r="P76" s="2364" t="s">
        <v>2405</v>
      </c>
      <c r="Q76" s="2365">
        <f ca="1">Q66+Q67</f>
        <v>51892</v>
      </c>
      <c r="R76" s="2368" t="s">
        <v>2389</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5" t="s">
        <v>2467</v>
      </c>
      <c r="B1" s="3506"/>
      <c r="C1" s="3507"/>
      <c r="D1" s="3508">
        <f>SUM(I10,I15,I20,I21,I23)</f>
        <v>0</v>
      </c>
      <c r="E1" s="3508"/>
      <c r="F1" s="3508"/>
      <c r="G1" s="3508"/>
      <c r="H1" s="3508"/>
      <c r="I1" s="3509"/>
    </row>
    <row r="2" spans="1:9">
      <c r="A2" s="3495" t="s">
        <v>2468</v>
      </c>
      <c r="B2" s="3496" t="s">
        <v>2469</v>
      </c>
      <c r="C2" s="3496"/>
      <c r="D2" s="2472" t="s">
        <v>2470</v>
      </c>
      <c r="E2" s="2472" t="s">
        <v>2471</v>
      </c>
      <c r="F2" s="2472" t="s">
        <v>2472</v>
      </c>
      <c r="G2" s="2472" t="s">
        <v>2473</v>
      </c>
      <c r="H2" s="2472" t="s">
        <v>2474</v>
      </c>
      <c r="I2" s="2473" t="s">
        <v>2475</v>
      </c>
    </row>
    <row r="3" spans="1:9">
      <c r="A3" s="3495"/>
      <c r="B3" s="3496" t="s">
        <v>2476</v>
      </c>
      <c r="C3" s="3496"/>
      <c r="D3" s="2474"/>
      <c r="E3" s="2472"/>
      <c r="F3" s="2475"/>
      <c r="G3" s="2475"/>
      <c r="H3" s="2476"/>
      <c r="I3" s="2477">
        <f>ROUND(D3*E3*F3*G3*H3/10000,0)</f>
        <v>0</v>
      </c>
    </row>
    <row r="4" spans="1:9">
      <c r="A4" s="3495"/>
      <c r="B4" s="3496" t="s">
        <v>2477</v>
      </c>
      <c r="C4" s="3496"/>
      <c r="D4" s="2474"/>
      <c r="E4" s="2472"/>
      <c r="F4" s="2475"/>
      <c r="G4" s="2475"/>
      <c r="H4" s="2476"/>
      <c r="I4" s="2477">
        <f t="shared" ref="I4:I9" si="0">ROUND(D4*E4*F4*G4*H4/10000,0)</f>
        <v>0</v>
      </c>
    </row>
    <row r="5" spans="1:9">
      <c r="A5" s="3495"/>
      <c r="B5" s="3496" t="s">
        <v>2478</v>
      </c>
      <c r="C5" s="3496"/>
      <c r="D5" s="2474"/>
      <c r="E5" s="2472"/>
      <c r="F5" s="2475"/>
      <c r="G5" s="2475"/>
      <c r="H5" s="2476"/>
      <c r="I5" s="2477">
        <f t="shared" si="0"/>
        <v>0</v>
      </c>
    </row>
    <row r="6" spans="1:9">
      <c r="A6" s="3495"/>
      <c r="B6" s="3496" t="s">
        <v>2479</v>
      </c>
      <c r="C6" s="3496"/>
      <c r="D6" s="2474"/>
      <c r="E6" s="2472"/>
      <c r="F6" s="2475"/>
      <c r="G6" s="2475"/>
      <c r="H6" s="2476"/>
      <c r="I6" s="2477">
        <f t="shared" si="0"/>
        <v>0</v>
      </c>
    </row>
    <row r="7" spans="1:9">
      <c r="A7" s="3495"/>
      <c r="B7" s="3496" t="s">
        <v>2480</v>
      </c>
      <c r="C7" s="3496"/>
      <c r="D7" s="2474"/>
      <c r="E7" s="2472"/>
      <c r="F7" s="2475"/>
      <c r="G7" s="2475"/>
      <c r="H7" s="2476"/>
      <c r="I7" s="2477">
        <f t="shared" si="0"/>
        <v>0</v>
      </c>
    </row>
    <row r="8" spans="1:9">
      <c r="A8" s="3495"/>
      <c r="B8" s="3496" t="s">
        <v>2481</v>
      </c>
      <c r="C8" s="3496"/>
      <c r="D8" s="2474"/>
      <c r="E8" s="2472"/>
      <c r="F8" s="2475"/>
      <c r="G8" s="2475"/>
      <c r="H8" s="2476"/>
      <c r="I8" s="2477">
        <f t="shared" si="0"/>
        <v>0</v>
      </c>
    </row>
    <row r="9" spans="1:9">
      <c r="A9" s="3495"/>
      <c r="B9" s="3496" t="s">
        <v>2482</v>
      </c>
      <c r="C9" s="3496"/>
      <c r="D9" s="2474"/>
      <c r="E9" s="2472"/>
      <c r="F9" s="2475"/>
      <c r="G9" s="2475"/>
      <c r="H9" s="2476"/>
      <c r="I9" s="2477">
        <f t="shared" si="0"/>
        <v>0</v>
      </c>
    </row>
    <row r="10" spans="1:9">
      <c r="A10" s="3495"/>
      <c r="B10" s="3497" t="s">
        <v>2483</v>
      </c>
      <c r="C10" s="3497"/>
      <c r="D10" s="2478">
        <v>527</v>
      </c>
      <c r="E10" s="2478" t="e">
        <f>ROUND(D1*10000/D10/H9,0)</f>
        <v>#DIV/0!</v>
      </c>
      <c r="F10" s="2479"/>
      <c r="G10" s="2479"/>
      <c r="H10" s="2480"/>
      <c r="I10" s="2481">
        <f>SUM(I3:I9)</f>
        <v>0</v>
      </c>
    </row>
    <row r="11" spans="1:9" ht="14.25">
      <c r="A11" s="3495" t="s">
        <v>2484</v>
      </c>
      <c r="B11" s="3496" t="s">
        <v>2485</v>
      </c>
      <c r="C11" s="3496"/>
      <c r="D11" s="2474" t="s">
        <v>2486</v>
      </c>
      <c r="E11" s="2474" t="s">
        <v>2487</v>
      </c>
      <c r="F11" s="2475" t="s">
        <v>2488</v>
      </c>
      <c r="G11" s="2475" t="s">
        <v>2489</v>
      </c>
      <c r="H11" s="2482" t="s">
        <v>2490</v>
      </c>
      <c r="I11" s="2473" t="s">
        <v>2491</v>
      </c>
    </row>
    <row r="12" spans="1:9">
      <c r="A12" s="3495"/>
      <c r="B12" s="3496" t="s">
        <v>2492</v>
      </c>
      <c r="C12" s="3496"/>
      <c r="D12" s="2474"/>
      <c r="E12" s="2474"/>
      <c r="F12" s="2475"/>
      <c r="G12" s="2476"/>
      <c r="H12" s="2483"/>
      <c r="I12" s="2473">
        <f>ROUND(D12*E12*F12*G12/10000,0)</f>
        <v>0</v>
      </c>
    </row>
    <row r="13" spans="1:9">
      <c r="A13" s="3495"/>
      <c r="B13" s="3496" t="s">
        <v>2493</v>
      </c>
      <c r="C13" s="3496"/>
      <c r="D13" s="2474"/>
      <c r="E13" s="2474"/>
      <c r="F13" s="2475"/>
      <c r="G13" s="2476"/>
      <c r="H13" s="2483"/>
      <c r="I13" s="2473">
        <f>ROUND(D13*E13*F13*G13/10000,0)</f>
        <v>0</v>
      </c>
    </row>
    <row r="14" spans="1:9">
      <c r="A14" s="3495"/>
      <c r="B14" s="3496" t="s">
        <v>2494</v>
      </c>
      <c r="C14" s="3496"/>
      <c r="D14" s="2474"/>
      <c r="E14" s="2474"/>
      <c r="F14" s="2475"/>
      <c r="G14" s="2476"/>
      <c r="H14" s="2483"/>
      <c r="I14" s="2473">
        <f>ROUND(D14*E14*F14*G14/10000,0)</f>
        <v>0</v>
      </c>
    </row>
    <row r="15" spans="1:9">
      <c r="A15" s="3495"/>
      <c r="B15" s="3497" t="s">
        <v>2483</v>
      </c>
      <c r="C15" s="3497"/>
      <c r="D15" s="2478"/>
      <c r="E15" s="2478">
        <f>SUM(E12:E14)</f>
        <v>0</v>
      </c>
      <c r="F15" s="2479"/>
      <c r="G15" s="2476"/>
      <c r="H15" s="2483"/>
      <c r="I15" s="2484">
        <f>SUM(I12:I14)</f>
        <v>0</v>
      </c>
    </row>
    <row r="16" spans="1:9" ht="24">
      <c r="A16" s="3495" t="s">
        <v>2495</v>
      </c>
      <c r="B16" s="3496" t="s">
        <v>2496</v>
      </c>
      <c r="C16" s="3496"/>
      <c r="D16" s="2474" t="s">
        <v>2497</v>
      </c>
      <c r="E16" s="2485" t="s">
        <v>2498</v>
      </c>
      <c r="F16" s="2475" t="s">
        <v>2499</v>
      </c>
      <c r="G16" s="2476" t="s">
        <v>2489</v>
      </c>
      <c r="H16" s="2482" t="s">
        <v>2490</v>
      </c>
      <c r="I16" s="2473" t="s">
        <v>2491</v>
      </c>
    </row>
    <row r="17" spans="1:9" ht="14.25">
      <c r="A17" s="3495"/>
      <c r="B17" s="3496" t="s">
        <v>2500</v>
      </c>
      <c r="C17" s="3496"/>
      <c r="D17" s="2474"/>
      <c r="E17" s="2474"/>
      <c r="F17" s="2475"/>
      <c r="G17" s="2476"/>
      <c r="H17" s="2486"/>
      <c r="I17" s="2487">
        <f>ROUND(D17*E17*F17*G17/10000,0)</f>
        <v>0</v>
      </c>
    </row>
    <row r="18" spans="1:9" ht="14.25">
      <c r="A18" s="3495"/>
      <c r="B18" s="3496" t="s">
        <v>2501</v>
      </c>
      <c r="C18" s="3496"/>
      <c r="D18" s="2474"/>
      <c r="E18" s="2474"/>
      <c r="F18" s="2475"/>
      <c r="G18" s="2476"/>
      <c r="H18" s="2486"/>
      <c r="I18" s="2487">
        <f>ROUND(D18*E18*F18*G18/10000,0)</f>
        <v>0</v>
      </c>
    </row>
    <row r="19" spans="1:9" ht="14.25">
      <c r="A19" s="3495"/>
      <c r="B19" s="3496" t="s">
        <v>2502</v>
      </c>
      <c r="C19" s="3496"/>
      <c r="D19" s="2474"/>
      <c r="E19" s="2474"/>
      <c r="F19" s="2475"/>
      <c r="G19" s="2476"/>
      <c r="H19" s="2486"/>
      <c r="I19" s="2487">
        <f>ROUND(D19*E19*F19*G19/10000,0)</f>
        <v>0</v>
      </c>
    </row>
    <row r="20" spans="1:9">
      <c r="A20" s="3495"/>
      <c r="B20" s="3497" t="s">
        <v>2483</v>
      </c>
      <c r="C20" s="3497"/>
      <c r="D20" s="2478">
        <f>SUM(D17:D19)</f>
        <v>0</v>
      </c>
      <c r="E20" s="2478"/>
      <c r="F20" s="2479"/>
      <c r="G20" s="2476"/>
      <c r="H20" s="2483"/>
      <c r="I20" s="2484">
        <f>SUM(I17:I19)</f>
        <v>0</v>
      </c>
    </row>
    <row r="21" spans="1:9">
      <c r="A21" s="3495" t="s">
        <v>2503</v>
      </c>
      <c r="B21" s="3498"/>
      <c r="C21" s="3498"/>
      <c r="D21" s="3498"/>
      <c r="E21" s="3498"/>
      <c r="F21" s="3498"/>
      <c r="G21" s="3498"/>
      <c r="H21" s="2488">
        <v>0.1</v>
      </c>
      <c r="I21" s="2481">
        <f>ROUND(I10*H21,0)</f>
        <v>0</v>
      </c>
    </row>
    <row r="22" spans="1:9" ht="14.25">
      <c r="A22" s="3499" t="s">
        <v>2504</v>
      </c>
      <c r="B22" s="3500"/>
      <c r="C22" s="3501"/>
      <c r="D22" s="2489" t="s">
        <v>2505</v>
      </c>
      <c r="E22" s="2489" t="s">
        <v>2506</v>
      </c>
      <c r="F22" s="2490" t="s">
        <v>2507</v>
      </c>
      <c r="G22" s="2490" t="s">
        <v>2508</v>
      </c>
      <c r="H22" s="2482" t="s">
        <v>2509</v>
      </c>
      <c r="I22" s="2473" t="s">
        <v>2510</v>
      </c>
    </row>
    <row r="23" spans="1:9" ht="14.25" thickBot="1">
      <c r="A23" s="3502"/>
      <c r="B23" s="3503"/>
      <c r="C23" s="3504"/>
      <c r="D23" s="2491"/>
      <c r="E23" s="2491"/>
      <c r="F23" s="2491"/>
      <c r="G23" s="2492"/>
      <c r="H23" s="2493"/>
      <c r="I23" s="2494">
        <f>ROUND(E23*D23*F23*(1-G23)/10000,0)</f>
        <v>0</v>
      </c>
    </row>
    <row r="26" spans="1:9">
      <c r="A26" s="2495" t="s">
        <v>2511</v>
      </c>
      <c r="B26" s="2495"/>
      <c r="C26" s="2495"/>
      <c r="D26" s="2495"/>
      <c r="E26" s="3492">
        <f>C27-C30-C31-C32</f>
        <v>0</v>
      </c>
      <c r="F26" s="3492"/>
      <c r="G26" s="3492"/>
      <c r="H26" s="2996" t="s">
        <v>2839</v>
      </c>
    </row>
    <row r="27" spans="1:9">
      <c r="A27" s="2496">
        <v>1</v>
      </c>
      <c r="B27" s="2497" t="s">
        <v>2512</v>
      </c>
      <c r="C27" s="2497"/>
      <c r="D27" s="2497"/>
      <c r="E27" s="3493"/>
      <c r="F27" s="3493"/>
      <c r="G27" s="3493"/>
    </row>
    <row r="28" spans="1:9">
      <c r="A28" s="2498" t="s">
        <v>2513</v>
      </c>
      <c r="B28" s="2497" t="s">
        <v>2514</v>
      </c>
      <c r="C28" s="2497"/>
      <c r="D28" s="2497"/>
      <c r="E28" s="3493"/>
      <c r="F28" s="3493"/>
      <c r="G28" s="3493"/>
    </row>
    <row r="29" spans="1:9">
      <c r="A29" s="2498" t="s">
        <v>2515</v>
      </c>
      <c r="B29" s="2497" t="s">
        <v>2456</v>
      </c>
      <c r="C29" s="2497"/>
      <c r="D29" s="2497"/>
      <c r="E29" s="2497" t="s">
        <v>2516</v>
      </c>
      <c r="F29" s="2497"/>
      <c r="G29" s="2497"/>
    </row>
    <row r="30" spans="1:9">
      <c r="A30" s="2496">
        <v>2</v>
      </c>
      <c r="B30" s="2497" t="s">
        <v>2517</v>
      </c>
      <c r="C30" s="2497">
        <f>C27*D30</f>
        <v>0</v>
      </c>
      <c r="D30" s="2499">
        <v>0.2</v>
      </c>
      <c r="E30" s="2497" t="s">
        <v>2518</v>
      </c>
      <c r="F30" s="2497"/>
      <c r="G30" s="2497"/>
    </row>
    <row r="31" spans="1:9">
      <c r="A31" s="2496">
        <v>3</v>
      </c>
      <c r="B31" s="2497" t="s">
        <v>2519</v>
      </c>
      <c r="C31" s="2497">
        <f>C25*D31</f>
        <v>0</v>
      </c>
      <c r="D31" s="2499">
        <v>0.15</v>
      </c>
      <c r="E31" s="2497" t="s">
        <v>2520</v>
      </c>
      <c r="F31" s="2497"/>
      <c r="G31" s="2497"/>
    </row>
    <row r="32" spans="1:9">
      <c r="A32" s="2496">
        <v>4</v>
      </c>
      <c r="B32" s="2497" t="s">
        <v>2521</v>
      </c>
      <c r="C32" s="2497">
        <f>C27*D32</f>
        <v>0</v>
      </c>
      <c r="D32" s="2499">
        <v>0.05</v>
      </c>
      <c r="E32" s="3494"/>
      <c r="F32" s="3494"/>
      <c r="G32" s="3494"/>
    </row>
    <row r="33" spans="1:7" hidden="1">
      <c r="A33" s="3489" t="s">
        <v>2522</v>
      </c>
      <c r="B33" s="3490"/>
      <c r="C33" s="3490"/>
      <c r="D33" s="3491"/>
      <c r="E33" s="3492"/>
      <c r="F33" s="3492"/>
      <c r="G33" s="3492"/>
    </row>
    <row r="34" spans="1:7" hidden="1">
      <c r="A34" s="2500">
        <v>1</v>
      </c>
      <c r="B34" s="2497" t="s">
        <v>2523</v>
      </c>
      <c r="C34" s="2497"/>
      <c r="D34" s="2497"/>
      <c r="E34" s="3493"/>
      <c r="F34" s="3493"/>
      <c r="G34" s="3493"/>
    </row>
    <row r="35" spans="1:7" hidden="1">
      <c r="A35" s="2500">
        <v>2</v>
      </c>
      <c r="B35" s="2497" t="s">
        <v>2524</v>
      </c>
      <c r="C35" s="2497"/>
      <c r="D35" s="2497"/>
      <c r="E35" s="3493"/>
      <c r="F35" s="3493"/>
      <c r="G35" s="3493"/>
    </row>
    <row r="36" spans="1:7" hidden="1">
      <c r="A36" s="2500">
        <v>3</v>
      </c>
      <c r="B36" s="2497" t="s">
        <v>2525</v>
      </c>
      <c r="C36" s="2497"/>
      <c r="D36" s="2497"/>
      <c r="E36" s="3493"/>
      <c r="F36" s="3493"/>
      <c r="G36" s="3493"/>
    </row>
    <row r="37" spans="1:7" hidden="1">
      <c r="A37" s="2500">
        <v>4</v>
      </c>
      <c r="B37" s="2497" t="s">
        <v>2526</v>
      </c>
      <c r="C37" s="2497"/>
      <c r="D37" s="2497"/>
      <c r="E37" s="3493"/>
      <c r="F37" s="3493"/>
      <c r="G37" s="3493"/>
    </row>
    <row r="38" spans="1:7" hidden="1">
      <c r="A38" s="3489" t="s">
        <v>2527</v>
      </c>
      <c r="B38" s="3490"/>
      <c r="C38" s="3490"/>
      <c r="D38" s="3491"/>
      <c r="E38" s="3492"/>
      <c r="F38" s="3492"/>
      <c r="G38" s="349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1684</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613</v>
      </c>
      <c r="C10" s="749">
        <f>C11+C14+C15</f>
        <v>0</v>
      </c>
      <c r="D10" s="760">
        <f>'数据-汇总表'!E3</f>
        <v>60978</v>
      </c>
      <c r="E10" s="749">
        <f>'数据-取费表'!B31</f>
        <v>150</v>
      </c>
      <c r="F10" s="761"/>
      <c r="G10" s="759" t="s">
        <v>614</v>
      </c>
    </row>
    <row r="11" spans="1:25" s="2169" customFormat="1" ht="13.5" customHeight="1">
      <c r="A11" s="2434" t="s">
        <v>2437</v>
      </c>
      <c r="B11" s="752" t="s">
        <v>610</v>
      </c>
      <c r="C11" s="753">
        <f>'数据-取费表'!B29</f>
        <v>0</v>
      </c>
      <c r="D11" s="754"/>
      <c r="E11" s="753"/>
      <c r="F11" s="755"/>
      <c r="G11" s="2443" t="s">
        <v>2448</v>
      </c>
    </row>
    <row r="12" spans="1:25" s="2169" customFormat="1" ht="13.5" customHeight="1">
      <c r="A12" s="2441" t="s">
        <v>2445</v>
      </c>
      <c r="B12" s="756" t="s">
        <v>611</v>
      </c>
      <c r="C12" s="757">
        <f>ROUND(D12*E12/10000,0)</f>
        <v>0</v>
      </c>
      <c r="D12" s="758">
        <f>'数据-汇总表'!E5</f>
        <v>0</v>
      </c>
      <c r="E12" s="757">
        <f>'数据-取费表'!B27</f>
        <v>40</v>
      </c>
      <c r="F12" s="755"/>
      <c r="G12" s="759"/>
    </row>
    <row r="13" spans="1:25" s="2169" customFormat="1" ht="13.5" customHeight="1">
      <c r="A13" s="2441" t="s">
        <v>2444</v>
      </c>
      <c r="B13" s="756" t="s">
        <v>612</v>
      </c>
      <c r="C13" s="757">
        <f>ROUND(D13*E13/10000,0)</f>
        <v>244</v>
      </c>
      <c r="D13" s="758">
        <f>'数据-汇总表'!E6</f>
        <v>60978</v>
      </c>
      <c r="E13" s="757">
        <f>'数据-取费表'!B28</f>
        <v>40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615</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0.15</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0.81100000000000005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M15" sqref="M1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21.75" style="1333" customWidth="1"/>
    <col min="6" max="6" width="12.25" style="1333" customWidth="1"/>
    <col min="7" max="7" width="22.12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c r="E1" s="2591"/>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93" t="s">
        <v>522</v>
      </c>
      <c r="D4" s="3394"/>
      <c r="E4" s="3437" t="s">
        <v>523</v>
      </c>
      <c r="F4" s="3438"/>
      <c r="G4" s="3393" t="s">
        <v>524</v>
      </c>
      <c r="H4" s="3394"/>
      <c r="I4" s="3393" t="s">
        <v>525</v>
      </c>
      <c r="J4" s="3394"/>
      <c r="K4" s="853" t="s">
        <v>526</v>
      </c>
      <c r="L4" s="2119"/>
      <c r="M4" s="2120"/>
      <c r="N4" s="2120"/>
      <c r="O4" s="2120"/>
      <c r="P4" s="3395" t="s">
        <v>527</v>
      </c>
      <c r="Q4" s="3396"/>
      <c r="R4" s="3401" t="s">
        <v>523</v>
      </c>
      <c r="S4" s="3402"/>
      <c r="T4" s="3401" t="s">
        <v>524</v>
      </c>
      <c r="U4" s="3402"/>
      <c r="V4" s="3414" t="s">
        <v>525</v>
      </c>
      <c r="W4" s="3414"/>
      <c r="X4" s="1554"/>
      <c r="Y4" s="3401" t="s">
        <v>527</v>
      </c>
      <c r="Z4" s="3402"/>
      <c r="AA4" s="3390" t="s">
        <v>523</v>
      </c>
      <c r="AB4" s="3390" t="s">
        <v>524</v>
      </c>
      <c r="AC4" s="3390" t="s">
        <v>525</v>
      </c>
    </row>
    <row r="5" spans="1:29" ht="15">
      <c r="A5" s="515"/>
      <c r="B5" s="516"/>
      <c r="C5" s="3405" t="s">
        <v>2925</v>
      </c>
      <c r="D5" s="3406"/>
      <c r="E5" s="3510" t="s">
        <v>2992</v>
      </c>
      <c r="F5" s="3440"/>
      <c r="G5" s="3407" t="s">
        <v>2993</v>
      </c>
      <c r="H5" s="3406"/>
      <c r="I5" s="3407" t="s">
        <v>2994</v>
      </c>
      <c r="J5" s="3406"/>
      <c r="K5" s="854"/>
      <c r="L5" s="2119"/>
      <c r="M5" s="2120"/>
      <c r="N5" s="2120"/>
      <c r="O5" s="2120"/>
      <c r="P5" s="3397"/>
      <c r="Q5" s="3398"/>
      <c r="R5" s="3403"/>
      <c r="S5" s="3404"/>
      <c r="T5" s="3403"/>
      <c r="U5" s="3404"/>
      <c r="V5" s="3414"/>
      <c r="W5" s="3414"/>
      <c r="X5" s="1554"/>
      <c r="Y5" s="3403"/>
      <c r="Z5" s="3404"/>
      <c r="AA5" s="3391"/>
      <c r="AB5" s="3391"/>
      <c r="AC5" s="3391"/>
    </row>
    <row r="6" spans="1:29" ht="15.75" thickBot="1">
      <c r="A6" s="517"/>
      <c r="B6" s="518"/>
      <c r="C6" s="3410" t="s">
        <v>2929</v>
      </c>
      <c r="D6" s="3411"/>
      <c r="E6" s="3511" t="s">
        <v>2990</v>
      </c>
      <c r="F6" s="3442"/>
      <c r="G6" s="3512" t="s">
        <v>2991</v>
      </c>
      <c r="H6" s="3411"/>
      <c r="I6" s="3512" t="s">
        <v>2995</v>
      </c>
      <c r="J6" s="3411"/>
      <c r="K6" s="854" t="s">
        <v>528</v>
      </c>
      <c r="L6" s="2119"/>
      <c r="M6" s="2120"/>
      <c r="N6" s="2120"/>
      <c r="O6" s="2120"/>
      <c r="P6" s="3399"/>
      <c r="Q6" s="3400"/>
      <c r="R6" s="3403"/>
      <c r="S6" s="3404"/>
      <c r="T6" s="3412"/>
      <c r="U6" s="3413"/>
      <c r="V6" s="3414"/>
      <c r="W6" s="3414"/>
      <c r="X6" s="1554"/>
      <c r="Y6" s="3412"/>
      <c r="Z6" s="3413"/>
      <c r="AA6" s="3392"/>
      <c r="AB6" s="3392"/>
      <c r="AC6" s="3392"/>
    </row>
    <row r="7" spans="1:29" s="1216" customFormat="1" ht="15.75" thickBot="1">
      <c r="A7" s="2868"/>
      <c r="B7" s="2875" t="s">
        <v>529</v>
      </c>
      <c r="C7" s="519">
        <f>'数据-取费表'!B2</f>
        <v>43607</v>
      </c>
      <c r="D7" s="520">
        <v>100</v>
      </c>
      <c r="E7" s="521">
        <v>42699</v>
      </c>
      <c r="F7" s="522">
        <f>SUMIF(58:58,YEAR(E7)&amp;"-"&amp;MONTH(E7),59:59)</f>
        <v>0</v>
      </c>
      <c r="G7" s="523">
        <v>42685</v>
      </c>
      <c r="H7" s="520">
        <f>SUMIF(58:58,YEAR(G7)&amp;"-"&amp;MONTH(G7),59:59)</f>
        <v>0</v>
      </c>
      <c r="I7" s="523">
        <v>43076</v>
      </c>
      <c r="J7" s="520">
        <f>SUMIF(58:58,YEAR(I7)&amp;"-"&amp;MONTH(I7),59:59)</f>
        <v>0</v>
      </c>
      <c r="K7" s="855"/>
      <c r="L7" s="2121"/>
      <c r="M7" s="2122"/>
      <c r="N7" s="2122"/>
      <c r="O7" s="2122"/>
      <c r="P7" s="3415" t="s">
        <v>530</v>
      </c>
      <c r="Q7" s="3416"/>
      <c r="R7" s="1555" t="s">
        <v>13</v>
      </c>
      <c r="S7" s="1556">
        <f t="shared" ref="S7:S15" si="0">F7</f>
        <v>0</v>
      </c>
      <c r="T7" s="1555" t="s">
        <v>13</v>
      </c>
      <c r="U7" s="1556">
        <f t="shared" ref="U7:U15" si="1">H7</f>
        <v>0</v>
      </c>
      <c r="V7" s="1555" t="s">
        <v>13</v>
      </c>
      <c r="W7" s="1556">
        <f t="shared" ref="W7:W15" si="2">J7</f>
        <v>0</v>
      </c>
      <c r="X7" s="1557"/>
      <c r="Y7" s="3415" t="s">
        <v>530</v>
      </c>
      <c r="Z7" s="341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t="s">
        <v>2996</v>
      </c>
      <c r="J8" s="520">
        <f>SUMIF(61:61,I8,62:62)-SUMIF(61:61,C8,62:62)+100</f>
        <v>100</v>
      </c>
      <c r="K8" s="855"/>
      <c r="L8" s="2121"/>
      <c r="M8" s="2122"/>
      <c r="N8" s="2122"/>
      <c r="O8" s="2122"/>
      <c r="P8" s="3415" t="s">
        <v>533</v>
      </c>
      <c r="Q8" s="3417"/>
      <c r="R8" s="1555" t="s">
        <v>13</v>
      </c>
      <c r="S8" s="1556">
        <f t="shared" si="0"/>
        <v>0</v>
      </c>
      <c r="T8" s="1555" t="s">
        <v>13</v>
      </c>
      <c r="U8" s="1556">
        <f t="shared" si="1"/>
        <v>0</v>
      </c>
      <c r="V8" s="1555" t="s">
        <v>13</v>
      </c>
      <c r="W8" s="1556">
        <f t="shared" si="2"/>
        <v>100</v>
      </c>
      <c r="X8" s="1557"/>
      <c r="Y8" s="3415" t="s">
        <v>533</v>
      </c>
      <c r="Z8" s="3417"/>
      <c r="AA8" s="1558" t="e">
        <f t="shared" ref="AA8:AA46" si="3">D8/F8</f>
        <v>#DIV/0!</v>
      </c>
      <c r="AB8" s="1558" t="e">
        <f t="shared" ref="AB8:AB46" si="4">D8/H8</f>
        <v>#DIV/0!</v>
      </c>
      <c r="AC8" s="1558">
        <f t="shared" ref="AC8:AC46" si="5">D8/J8</f>
        <v>1</v>
      </c>
    </row>
    <row r="9" spans="1:29" s="1216" customFormat="1" ht="15">
      <c r="A9" s="2870"/>
      <c r="B9" s="2877" t="s">
        <v>2752</v>
      </c>
      <c r="C9" s="857"/>
      <c r="D9" s="254">
        <v>100</v>
      </c>
      <c r="E9" s="858"/>
      <c r="F9" s="859">
        <f>SUMIF(63:63,E9,64:64)-SUMIF(63:63,C9,64:64)+100</f>
        <v>100</v>
      </c>
      <c r="G9" s="860"/>
      <c r="H9" s="254">
        <f>SUMIF(63:63,G9,64:64)-SUMIF(63:63,C9,64:64)+100</f>
        <v>100</v>
      </c>
      <c r="I9" s="3192"/>
      <c r="J9" s="254">
        <f>SUMIF(63:63,I9,64:64)-SUMIF(63:63,C9,64:64)+100</f>
        <v>100</v>
      </c>
      <c r="K9" s="855"/>
      <c r="L9" s="2121"/>
      <c r="M9" s="2122"/>
      <c r="N9" s="2122"/>
      <c r="O9" s="2123"/>
      <c r="P9" s="3418" t="s">
        <v>535</v>
      </c>
      <c r="Q9" s="1147" t="str">
        <f t="shared" ref="Q9:Q15" si="6">B9</f>
        <v>用途</v>
      </c>
      <c r="R9" s="1555" t="s">
        <v>8</v>
      </c>
      <c r="S9" s="1556">
        <f t="shared" si="0"/>
        <v>100</v>
      </c>
      <c r="T9" s="1555" t="s">
        <v>8</v>
      </c>
      <c r="U9" s="1556">
        <f t="shared" si="1"/>
        <v>100</v>
      </c>
      <c r="V9" s="1555" t="s">
        <v>8</v>
      </c>
      <c r="W9" s="1556">
        <f t="shared" si="2"/>
        <v>100</v>
      </c>
      <c r="X9" s="1557"/>
      <c r="Y9" s="3363"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8"/>
      <c r="Q10" s="1147" t="str">
        <f t="shared" si="6"/>
        <v>土地使用年限（年）</v>
      </c>
      <c r="R10" s="1555" t="s">
        <v>8</v>
      </c>
      <c r="S10" s="1556">
        <f t="shared" si="0"/>
        <v>100</v>
      </c>
      <c r="T10" s="1555" t="s">
        <v>8</v>
      </c>
      <c r="U10" s="1556">
        <f t="shared" si="1"/>
        <v>100</v>
      </c>
      <c r="V10" s="1555" t="s">
        <v>8</v>
      </c>
      <c r="W10" s="1556">
        <f t="shared" si="2"/>
        <v>100</v>
      </c>
      <c r="X10" s="1557"/>
      <c r="Y10" s="3363"/>
      <c r="Z10" s="1146" t="str">
        <f t="shared" si="7"/>
        <v>土地使用年限（年）</v>
      </c>
      <c r="AA10" s="1558">
        <f t="shared" si="3"/>
        <v>1</v>
      </c>
      <c r="AB10" s="1558">
        <f t="shared" si="4"/>
        <v>1</v>
      </c>
      <c r="AC10" s="1558">
        <f t="shared" si="5"/>
        <v>1</v>
      </c>
    </row>
    <row r="11" spans="1:29" ht="15">
      <c r="A11" s="2872"/>
      <c r="B11" s="2876" t="s">
        <v>2754</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418"/>
      <c r="Q11" s="1147" t="str">
        <f t="shared" si="6"/>
        <v>容积率</v>
      </c>
      <c r="R11" s="1555" t="s">
        <v>11</v>
      </c>
      <c r="S11" s="1556" t="e">
        <f t="shared" si="0"/>
        <v>#N/A</v>
      </c>
      <c r="T11" s="1555" t="s">
        <v>11</v>
      </c>
      <c r="U11" s="1556" t="e">
        <f t="shared" si="1"/>
        <v>#N/A</v>
      </c>
      <c r="V11" s="1555" t="s">
        <v>11</v>
      </c>
      <c r="W11" s="1556" t="e">
        <f t="shared" si="2"/>
        <v>#N/A</v>
      </c>
      <c r="X11" s="1557"/>
      <c r="Y11" s="336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8"/>
      <c r="Q12" s="1147">
        <f t="shared" si="6"/>
        <v>111</v>
      </c>
      <c r="R12" s="1555" t="s">
        <v>11</v>
      </c>
      <c r="S12" s="1556">
        <f t="shared" si="0"/>
        <v>100</v>
      </c>
      <c r="T12" s="1555" t="s">
        <v>11</v>
      </c>
      <c r="U12" s="1556">
        <f t="shared" si="1"/>
        <v>100</v>
      </c>
      <c r="V12" s="1555" t="s">
        <v>11</v>
      </c>
      <c r="W12" s="1556">
        <f t="shared" si="2"/>
        <v>100</v>
      </c>
      <c r="X12" s="1557"/>
      <c r="Y12" s="3363"/>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8"/>
      <c r="Q13" s="1147">
        <f t="shared" si="6"/>
        <v>111</v>
      </c>
      <c r="R13" s="1555" t="s">
        <v>11</v>
      </c>
      <c r="S13" s="1556">
        <f t="shared" si="0"/>
        <v>100</v>
      </c>
      <c r="T13" s="1555" t="s">
        <v>11</v>
      </c>
      <c r="U13" s="1556">
        <f t="shared" si="1"/>
        <v>100</v>
      </c>
      <c r="V13" s="1555" t="s">
        <v>11</v>
      </c>
      <c r="W13" s="1556">
        <f t="shared" si="2"/>
        <v>100</v>
      </c>
      <c r="X13" s="1557"/>
      <c r="Y13" s="3363"/>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8"/>
      <c r="Q14" s="1147">
        <f t="shared" si="6"/>
        <v>111</v>
      </c>
      <c r="R14" s="1555" t="s">
        <v>11</v>
      </c>
      <c r="S14" s="1556">
        <f t="shared" si="0"/>
        <v>100</v>
      </c>
      <c r="T14" s="1555" t="s">
        <v>11</v>
      </c>
      <c r="U14" s="1556">
        <f t="shared" si="1"/>
        <v>100</v>
      </c>
      <c r="V14" s="1555" t="s">
        <v>11</v>
      </c>
      <c r="W14" s="1556">
        <f t="shared" si="2"/>
        <v>100</v>
      </c>
      <c r="X14" s="1557"/>
      <c r="Y14" s="3363"/>
      <c r="Z14" s="1146">
        <f t="shared" si="7"/>
        <v>111</v>
      </c>
      <c r="AA14" s="1558">
        <f t="shared" si="3"/>
        <v>1</v>
      </c>
      <c r="AB14" s="1558">
        <f t="shared" si="4"/>
        <v>1</v>
      </c>
      <c r="AC14" s="1558">
        <f t="shared" si="5"/>
        <v>1</v>
      </c>
    </row>
    <row r="15" spans="1:29" ht="99.75">
      <c r="A15" s="2866" t="s">
        <v>2750</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419" t="s">
        <v>540</v>
      </c>
      <c r="Q15" s="1559" t="str">
        <f t="shared" si="6"/>
        <v>居住社区成熟度</v>
      </c>
      <c r="R15" s="1560" t="s">
        <v>11</v>
      </c>
      <c r="S15" s="1561">
        <f t="shared" si="0"/>
        <v>100</v>
      </c>
      <c r="T15" s="1560" t="s">
        <v>11</v>
      </c>
      <c r="U15" s="1561">
        <f t="shared" si="1"/>
        <v>100</v>
      </c>
      <c r="V15" s="1560" t="s">
        <v>11</v>
      </c>
      <c r="W15" s="1561">
        <f t="shared" si="2"/>
        <v>100</v>
      </c>
      <c r="X15" s="1554"/>
      <c r="Y15" s="3419"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420"/>
      <c r="Q16" s="1559"/>
      <c r="R16" s="1560"/>
      <c r="S16" s="1561"/>
      <c r="T16" s="1560"/>
      <c r="U16" s="1561"/>
      <c r="V16" s="1560"/>
      <c r="W16" s="1561"/>
      <c r="X16" s="1554"/>
      <c r="Y16" s="342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420"/>
      <c r="Q17" s="1559" t="str">
        <f>B17</f>
        <v>交通便捷度</v>
      </c>
      <c r="R17" s="1560" t="s">
        <v>11</v>
      </c>
      <c r="S17" s="1561">
        <f>F17</f>
        <v>100</v>
      </c>
      <c r="T17" s="1560" t="s">
        <v>11</v>
      </c>
      <c r="U17" s="1561">
        <f>H17</f>
        <v>100</v>
      </c>
      <c r="V17" s="1560" t="s">
        <v>11</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420"/>
      <c r="Q18" s="1559"/>
      <c r="R18" s="1560"/>
      <c r="S18" s="1561"/>
      <c r="T18" s="1560"/>
      <c r="U18" s="1561"/>
      <c r="V18" s="1560"/>
      <c r="W18" s="1561"/>
      <c r="X18" s="1554"/>
      <c r="Y18" s="3420"/>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420"/>
      <c r="Q19" s="1559" t="str">
        <f>B19</f>
        <v>公共配套设施</v>
      </c>
      <c r="R19" s="1560" t="s">
        <v>11</v>
      </c>
      <c r="S19" s="1561">
        <f>F19</f>
        <v>100</v>
      </c>
      <c r="T19" s="1560" t="s">
        <v>11</v>
      </c>
      <c r="U19" s="1561">
        <f>H19</f>
        <v>100</v>
      </c>
      <c r="V19" s="1560" t="s">
        <v>11</v>
      </c>
      <c r="W19" s="1561">
        <f>J19</f>
        <v>100</v>
      </c>
      <c r="X19" s="1554"/>
      <c r="Y19" s="342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420"/>
      <c r="Q21" s="2544" t="str">
        <f>B21</f>
        <v>基础设施水平</v>
      </c>
      <c r="R21" s="1560" t="s">
        <v>11</v>
      </c>
      <c r="S21" s="1561">
        <f>F21</f>
        <v>100</v>
      </c>
      <c r="T21" s="1560" t="s">
        <v>11</v>
      </c>
      <c r="U21" s="1561">
        <f>H21</f>
        <v>100</v>
      </c>
      <c r="V21" s="1560" t="s">
        <v>11</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420"/>
      <c r="Q22" s="2544"/>
      <c r="R22" s="1560"/>
      <c r="S22" s="1561"/>
      <c r="T22" s="1560"/>
      <c r="U22" s="1561"/>
      <c r="V22" s="1560"/>
      <c r="W22" s="1561"/>
      <c r="X22" s="2546"/>
      <c r="Y22" s="3420"/>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420"/>
      <c r="Q23" s="1559" t="str">
        <f>B23</f>
        <v>自然及人文环境</v>
      </c>
      <c r="R23" s="1560" t="s">
        <v>11</v>
      </c>
      <c r="S23" s="1561">
        <f>F23</f>
        <v>100</v>
      </c>
      <c r="T23" s="1560" t="s">
        <v>11</v>
      </c>
      <c r="U23" s="1561">
        <f>H23</f>
        <v>100</v>
      </c>
      <c r="V23" s="1560" t="s">
        <v>11</v>
      </c>
      <c r="W23" s="1561">
        <f>J23</f>
        <v>100</v>
      </c>
      <c r="X23" s="1554"/>
      <c r="Y23" s="342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420"/>
      <c r="Q24" s="1559"/>
      <c r="R24" s="1560"/>
      <c r="S24" s="1561"/>
      <c r="T24" s="1560"/>
      <c r="U24" s="1561"/>
      <c r="V24" s="1560"/>
      <c r="W24" s="1561"/>
      <c r="X24" s="1554"/>
      <c r="Y24" s="3420"/>
      <c r="Z24" s="1562"/>
      <c r="AA24" s="1563">
        <v>1</v>
      </c>
      <c r="AB24" s="1563">
        <v>1</v>
      </c>
      <c r="AC24" s="1563">
        <v>1</v>
      </c>
    </row>
    <row r="25" spans="1:29" ht="15">
      <c r="A25" s="532"/>
      <c r="B25" s="1881" t="s">
        <v>2254</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20"/>
      <c r="Q25" s="1559" t="str">
        <f t="shared" ref="Q25:Q46" si="11">B25</f>
        <v>楼层-1</v>
      </c>
      <c r="R25" s="1560" t="s">
        <v>11</v>
      </c>
      <c r="S25" s="1561">
        <f>F25</f>
        <v>100</v>
      </c>
      <c r="T25" s="1560" t="s">
        <v>11</v>
      </c>
      <c r="U25" s="1561">
        <f>H25</f>
        <v>100</v>
      </c>
      <c r="V25" s="1560" t="s">
        <v>11</v>
      </c>
      <c r="W25" s="1561">
        <f>J25</f>
        <v>100</v>
      </c>
      <c r="X25" s="1554"/>
      <c r="Y25" s="342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20"/>
      <c r="Q26" s="1559" t="str">
        <f t="shared" si="11"/>
        <v>朝向</v>
      </c>
      <c r="R26" s="1560" t="s">
        <v>11</v>
      </c>
      <c r="S26" s="1561">
        <f>F26</f>
        <v>100</v>
      </c>
      <c r="T26" s="1560" t="s">
        <v>11</v>
      </c>
      <c r="U26" s="1561">
        <f>H26</f>
        <v>100</v>
      </c>
      <c r="V26" s="1560" t="s">
        <v>11</v>
      </c>
      <c r="W26" s="1561">
        <f>J26</f>
        <v>100</v>
      </c>
      <c r="X26" s="1554"/>
      <c r="Y26" s="342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20"/>
      <c r="Q27" s="1147" t="str">
        <f t="shared" si="11"/>
        <v>道路级别</v>
      </c>
      <c r="R27" s="1555" t="s">
        <v>11</v>
      </c>
      <c r="S27" s="1556">
        <f>F27</f>
        <v>100</v>
      </c>
      <c r="T27" s="1555" t="s">
        <v>11</v>
      </c>
      <c r="U27" s="1556">
        <f>H27</f>
        <v>100</v>
      </c>
      <c r="V27" s="1555" t="s">
        <v>11</v>
      </c>
      <c r="W27" s="1556">
        <f>J27</f>
        <v>100</v>
      </c>
      <c r="X27" s="1557"/>
      <c r="Y27" s="342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2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2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20"/>
      <c r="Q29" s="1559">
        <f t="shared" si="11"/>
        <v>111</v>
      </c>
      <c r="R29" s="1560" t="s">
        <v>11</v>
      </c>
      <c r="S29" s="1561">
        <f t="shared" si="12"/>
        <v>100</v>
      </c>
      <c r="T29" s="1560" t="s">
        <v>11</v>
      </c>
      <c r="U29" s="1561">
        <f t="shared" si="13"/>
        <v>100</v>
      </c>
      <c r="V29" s="1560" t="s">
        <v>11</v>
      </c>
      <c r="W29" s="1561">
        <f t="shared" si="14"/>
        <v>100</v>
      </c>
      <c r="X29" s="1554"/>
      <c r="Y29" s="342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20"/>
      <c r="Q30" s="1559">
        <f t="shared" si="11"/>
        <v>111</v>
      </c>
      <c r="R30" s="1560" t="s">
        <v>11</v>
      </c>
      <c r="S30" s="1561">
        <f t="shared" si="12"/>
        <v>100</v>
      </c>
      <c r="T30" s="1560" t="s">
        <v>11</v>
      </c>
      <c r="U30" s="1561">
        <f t="shared" si="13"/>
        <v>100</v>
      </c>
      <c r="V30" s="1560" t="s">
        <v>11</v>
      </c>
      <c r="W30" s="1561">
        <f t="shared" si="14"/>
        <v>100</v>
      </c>
      <c r="X30" s="1554"/>
      <c r="Y30" s="342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20"/>
      <c r="Q31" s="1559">
        <f t="shared" si="11"/>
        <v>111</v>
      </c>
      <c r="R31" s="1560" t="s">
        <v>11</v>
      </c>
      <c r="S31" s="1561">
        <f t="shared" si="12"/>
        <v>100</v>
      </c>
      <c r="T31" s="1560" t="s">
        <v>11</v>
      </c>
      <c r="U31" s="1561">
        <f t="shared" si="13"/>
        <v>100</v>
      </c>
      <c r="V31" s="1560" t="s">
        <v>11</v>
      </c>
      <c r="W31" s="1561">
        <f t="shared" si="14"/>
        <v>100</v>
      </c>
      <c r="X31" s="1554"/>
      <c r="Y31" s="3420"/>
      <c r="Z31" s="1562">
        <f t="shared" si="15"/>
        <v>111</v>
      </c>
      <c r="AA31" s="1563">
        <f t="shared" si="3"/>
        <v>1</v>
      </c>
      <c r="AB31" s="1563">
        <f t="shared" si="4"/>
        <v>1</v>
      </c>
      <c r="AC31" s="1563">
        <f t="shared" si="5"/>
        <v>1</v>
      </c>
    </row>
    <row r="32" spans="1:29" ht="15">
      <c r="A32" s="2863" t="s">
        <v>2751</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425" t="s">
        <v>550</v>
      </c>
      <c r="Q32" s="1559" t="str">
        <f t="shared" si="11"/>
        <v>建筑类型</v>
      </c>
      <c r="R32" s="1560" t="s">
        <v>11</v>
      </c>
      <c r="S32" s="1561">
        <f t="shared" si="12"/>
        <v>100</v>
      </c>
      <c r="T32" s="1560" t="s">
        <v>11</v>
      </c>
      <c r="U32" s="1561">
        <f t="shared" si="13"/>
        <v>100</v>
      </c>
      <c r="V32" s="1560" t="s">
        <v>11</v>
      </c>
      <c r="W32" s="1561">
        <f t="shared" si="14"/>
        <v>100</v>
      </c>
      <c r="X32" s="1554"/>
      <c r="Y32" s="3426"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426"/>
      <c r="Q33" s="1591" t="str">
        <f t="shared" si="11"/>
        <v>项目建筑规模</v>
      </c>
      <c r="R33" s="1564" t="s">
        <v>11</v>
      </c>
      <c r="S33" s="1565" t="e">
        <f t="shared" si="12"/>
        <v>#N/A</v>
      </c>
      <c r="T33" s="1564" t="s">
        <v>11</v>
      </c>
      <c r="U33" s="1565" t="e">
        <f t="shared" si="13"/>
        <v>#N/A</v>
      </c>
      <c r="V33" s="1564" t="s">
        <v>11</v>
      </c>
      <c r="W33" s="1565" t="e">
        <f t="shared" si="14"/>
        <v>#N/A</v>
      </c>
      <c r="X33" s="1566"/>
      <c r="Y33" s="342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426"/>
      <c r="Q34" s="1559" t="str">
        <f t="shared" si="11"/>
        <v>建筑结构</v>
      </c>
      <c r="R34" s="1560" t="s">
        <v>11</v>
      </c>
      <c r="S34" s="1561">
        <f t="shared" si="12"/>
        <v>100</v>
      </c>
      <c r="T34" s="1560" t="s">
        <v>11</v>
      </c>
      <c r="U34" s="1561">
        <f t="shared" si="13"/>
        <v>100</v>
      </c>
      <c r="V34" s="1560" t="s">
        <v>11</v>
      </c>
      <c r="W34" s="1561">
        <f t="shared" si="14"/>
        <v>100</v>
      </c>
      <c r="X34" s="1554"/>
      <c r="Y34" s="3426"/>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426"/>
      <c r="Q35" s="1559" t="str">
        <f t="shared" si="11"/>
        <v>建筑品质</v>
      </c>
      <c r="R35" s="1560" t="s">
        <v>11</v>
      </c>
      <c r="S35" s="1561">
        <f t="shared" si="12"/>
        <v>100</v>
      </c>
      <c r="T35" s="1560" t="s">
        <v>11</v>
      </c>
      <c r="U35" s="1561">
        <f t="shared" si="13"/>
        <v>100</v>
      </c>
      <c r="V35" s="1560" t="s">
        <v>11</v>
      </c>
      <c r="W35" s="1561">
        <f t="shared" si="14"/>
        <v>100</v>
      </c>
      <c r="X35" s="1554"/>
      <c r="Y35" s="3426"/>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426"/>
      <c r="Q36" s="1559" t="str">
        <f t="shared" si="11"/>
        <v>公共部分装修</v>
      </c>
      <c r="R36" s="1560" t="s">
        <v>11</v>
      </c>
      <c r="S36" s="1561">
        <f t="shared" si="12"/>
        <v>100</v>
      </c>
      <c r="T36" s="1560" t="s">
        <v>11</v>
      </c>
      <c r="U36" s="1561">
        <f t="shared" si="13"/>
        <v>100</v>
      </c>
      <c r="V36" s="1560" t="s">
        <v>11</v>
      </c>
      <c r="W36" s="1561">
        <f t="shared" si="14"/>
        <v>100</v>
      </c>
      <c r="X36" s="1554"/>
      <c r="Y36" s="3426"/>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426"/>
      <c r="Q37" s="1147" t="str">
        <f t="shared" si="11"/>
        <v>成新度</v>
      </c>
      <c r="R37" s="1555" t="s">
        <v>11</v>
      </c>
      <c r="S37" s="1556" t="e">
        <f t="shared" si="12"/>
        <v>#N/A</v>
      </c>
      <c r="T37" s="1555" t="s">
        <v>11</v>
      </c>
      <c r="U37" s="1556" t="e">
        <f t="shared" si="13"/>
        <v>#N/A</v>
      </c>
      <c r="V37" s="1555" t="s">
        <v>11</v>
      </c>
      <c r="W37" s="1556" t="e">
        <f t="shared" si="14"/>
        <v>#N/A</v>
      </c>
      <c r="X37" s="1557"/>
      <c r="Y37" s="3426"/>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426" t="s">
        <v>550</v>
      </c>
      <c r="Q38" s="1559" t="str">
        <f t="shared" si="11"/>
        <v>物业管理</v>
      </c>
      <c r="R38" s="1560" t="s">
        <v>11</v>
      </c>
      <c r="S38" s="1561">
        <f t="shared" si="12"/>
        <v>100</v>
      </c>
      <c r="T38" s="1560" t="s">
        <v>11</v>
      </c>
      <c r="U38" s="1561">
        <f t="shared" si="13"/>
        <v>100</v>
      </c>
      <c r="V38" s="1560" t="s">
        <v>11</v>
      </c>
      <c r="W38" s="1561">
        <f t="shared" si="14"/>
        <v>100</v>
      </c>
      <c r="X38" s="1554"/>
      <c r="Y38" s="3426" t="s">
        <v>550</v>
      </c>
      <c r="Z38" s="1562" t="str">
        <f t="shared" si="15"/>
        <v>物业管理</v>
      </c>
      <c r="AA38" s="1563">
        <f t="shared" si="3"/>
        <v>1</v>
      </c>
      <c r="AB38" s="1563">
        <f t="shared" si="4"/>
        <v>1</v>
      </c>
      <c r="AC38" s="1563">
        <f t="shared" si="5"/>
        <v>1</v>
      </c>
    </row>
    <row r="39" spans="1:29" ht="15">
      <c r="A39" s="594"/>
      <c r="B39" s="1881"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426"/>
      <c r="Q39" s="1559" t="str">
        <f t="shared" si="11"/>
        <v>市政基础设施</v>
      </c>
      <c r="R39" s="1560" t="s">
        <v>11</v>
      </c>
      <c r="S39" s="1561">
        <f t="shared" si="12"/>
        <v>100</v>
      </c>
      <c r="T39" s="1560" t="s">
        <v>11</v>
      </c>
      <c r="U39" s="1561">
        <f t="shared" si="13"/>
        <v>100</v>
      </c>
      <c r="V39" s="1560" t="s">
        <v>11</v>
      </c>
      <c r="W39" s="1561">
        <f t="shared" si="14"/>
        <v>100</v>
      </c>
      <c r="X39" s="1554"/>
      <c r="Y39" s="3426"/>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26"/>
      <c r="Q40" s="1559" t="str">
        <f t="shared" si="11"/>
        <v>房型</v>
      </c>
      <c r="R40" s="1560" t="s">
        <v>11</v>
      </c>
      <c r="S40" s="1561">
        <f t="shared" si="12"/>
        <v>100</v>
      </c>
      <c r="T40" s="1560" t="s">
        <v>11</v>
      </c>
      <c r="U40" s="1561">
        <f t="shared" si="13"/>
        <v>100</v>
      </c>
      <c r="V40" s="1560" t="s">
        <v>11</v>
      </c>
      <c r="W40" s="1561">
        <f t="shared" si="14"/>
        <v>100</v>
      </c>
      <c r="X40" s="1554"/>
      <c r="Y40" s="3426"/>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26"/>
      <c r="Q41" s="1591" t="str">
        <f t="shared" si="11"/>
        <v>单套/主力户型建筑面积</v>
      </c>
      <c r="R41" s="1564" t="s">
        <v>11</v>
      </c>
      <c r="S41" s="1565">
        <f t="shared" si="12"/>
        <v>100</v>
      </c>
      <c r="T41" s="1564" t="s">
        <v>11</v>
      </c>
      <c r="U41" s="1565">
        <f t="shared" si="13"/>
        <v>100</v>
      </c>
      <c r="V41" s="1564" t="s">
        <v>11</v>
      </c>
      <c r="W41" s="1565">
        <f t="shared" si="14"/>
        <v>100</v>
      </c>
      <c r="X41" s="1566"/>
      <c r="Y41" s="3426"/>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426"/>
      <c r="Q42" s="1559" t="str">
        <f t="shared" si="11"/>
        <v>内部装修</v>
      </c>
      <c r="R42" s="1560" t="s">
        <v>11</v>
      </c>
      <c r="S42" s="1561">
        <f t="shared" si="12"/>
        <v>100</v>
      </c>
      <c r="T42" s="1560" t="s">
        <v>11</v>
      </c>
      <c r="U42" s="1561">
        <f t="shared" si="13"/>
        <v>100</v>
      </c>
      <c r="V42" s="1560" t="s">
        <v>11</v>
      </c>
      <c r="W42" s="1561">
        <f t="shared" si="14"/>
        <v>100</v>
      </c>
      <c r="X42" s="1554"/>
      <c r="Y42" s="3426"/>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426"/>
      <c r="Q43" s="1559" t="str">
        <f t="shared" si="11"/>
        <v>内部装修维护情况</v>
      </c>
      <c r="R43" s="1560" t="s">
        <v>11</v>
      </c>
      <c r="S43" s="1561">
        <f t="shared" si="12"/>
        <v>100</v>
      </c>
      <c r="T43" s="1560" t="s">
        <v>11</v>
      </c>
      <c r="U43" s="1561">
        <f t="shared" si="13"/>
        <v>100</v>
      </c>
      <c r="V43" s="1560" t="s">
        <v>11</v>
      </c>
      <c r="W43" s="1561">
        <f t="shared" si="14"/>
        <v>100</v>
      </c>
      <c r="X43" s="1554"/>
      <c r="Y43" s="342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426"/>
      <c r="Q44" s="1147">
        <f t="shared" si="11"/>
        <v>111</v>
      </c>
      <c r="R44" s="1555" t="s">
        <v>11</v>
      </c>
      <c r="S44" s="1556">
        <f t="shared" si="12"/>
        <v>100</v>
      </c>
      <c r="T44" s="1555" t="s">
        <v>11</v>
      </c>
      <c r="U44" s="1556">
        <f t="shared" si="13"/>
        <v>100</v>
      </c>
      <c r="V44" s="1555" t="s">
        <v>11</v>
      </c>
      <c r="W44" s="1556">
        <f t="shared" si="14"/>
        <v>100</v>
      </c>
      <c r="X44" s="1557"/>
      <c r="Y44" s="342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26"/>
      <c r="Q45" s="1559">
        <f t="shared" si="11"/>
        <v>111</v>
      </c>
      <c r="R45" s="1560" t="s">
        <v>11</v>
      </c>
      <c r="S45" s="1561">
        <f t="shared" si="12"/>
        <v>100</v>
      </c>
      <c r="T45" s="1560" t="s">
        <v>11</v>
      </c>
      <c r="U45" s="1561">
        <f t="shared" si="13"/>
        <v>100</v>
      </c>
      <c r="V45" s="1560" t="s">
        <v>11</v>
      </c>
      <c r="W45" s="1561">
        <f t="shared" si="14"/>
        <v>100</v>
      </c>
      <c r="X45" s="1554"/>
      <c r="Y45" s="3426"/>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15"/>
      <c r="Q46" s="1559">
        <f t="shared" si="11"/>
        <v>111</v>
      </c>
      <c r="R46" s="1560" t="s">
        <v>10</v>
      </c>
      <c r="S46" s="1561">
        <f t="shared" si="12"/>
        <v>100</v>
      </c>
      <c r="T46" s="1560" t="s">
        <v>10</v>
      </c>
      <c r="U46" s="1561">
        <f t="shared" si="13"/>
        <v>100</v>
      </c>
      <c r="V46" s="1560" t="s">
        <v>10</v>
      </c>
      <c r="W46" s="1561">
        <f t="shared" si="14"/>
        <v>100</v>
      </c>
      <c r="X46" s="1554"/>
      <c r="Y46" s="3515"/>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418" t="str">
        <f>A47</f>
        <v>成交单价（元/平方米）</v>
      </c>
      <c r="Q47" s="3418"/>
      <c r="R47" s="3514">
        <f>E47</f>
        <v>0</v>
      </c>
      <c r="S47" s="3514"/>
      <c r="T47" s="3514">
        <f>G47</f>
        <v>0</v>
      </c>
      <c r="U47" s="3514"/>
      <c r="V47" s="3514">
        <f>I47</f>
        <v>0</v>
      </c>
      <c r="W47" s="3514"/>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3"/>
      <c r="L48" s="2130"/>
      <c r="M48" s="2131"/>
      <c r="N48" s="2131"/>
      <c r="O48" s="2131"/>
      <c r="P48" s="3418" t="str">
        <f>A48</f>
        <v>比较价格（元/平方米）</v>
      </c>
      <c r="Q48" s="3418"/>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4"/>
      <c r="L49" s="2130"/>
      <c r="M49" s="2131"/>
      <c r="N49" s="2131"/>
      <c r="O49" s="2131"/>
      <c r="P49" s="3422" t="str">
        <f>A49</f>
        <v>估价对象XX用房的比较价格（楼面单价，元/平方米）</v>
      </c>
      <c r="Q49" s="3423"/>
      <c r="R49" s="3513" t="e">
        <f>IF(F1="售价",ROUND(AVERAGE(R48:V48),0),ROUND(AVERAGE(R48:V48),1))</f>
        <v>#DIV/0!</v>
      </c>
      <c r="S49" s="3513"/>
      <c r="T49" s="3513"/>
      <c r="U49" s="3513"/>
      <c r="V49" s="3513"/>
      <c r="W49" s="351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2255</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2552</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2256</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2257</v>
      </c>
      <c r="C137" s="1905"/>
      <c r="D137" s="1905"/>
      <c r="E137" s="1905"/>
      <c r="F137" s="1905"/>
      <c r="G137" s="1906"/>
      <c r="H137" s="1907"/>
      <c r="I137" s="1908" t="s">
        <v>2258</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2259</v>
      </c>
      <c r="D138" s="1911" t="s">
        <v>2260</v>
      </c>
      <c r="E138" s="1912" t="s">
        <v>2261</v>
      </c>
      <c r="F138" s="1913" t="s">
        <v>2262</v>
      </c>
      <c r="G138" s="1911" t="s">
        <v>2263</v>
      </c>
      <c r="H138" s="1914" t="s">
        <v>2264</v>
      </c>
      <c r="I138" s="1915"/>
      <c r="J138" s="1911" t="s">
        <v>2265</v>
      </c>
      <c r="K138" s="1914" t="s">
        <v>2266</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2267</v>
      </c>
      <c r="E139" s="1885">
        <v>100</v>
      </c>
      <c r="F139" s="1886">
        <v>102.5</v>
      </c>
      <c r="G139" s="1916" t="s">
        <v>2268</v>
      </c>
      <c r="H139" s="1887">
        <v>105</v>
      </c>
      <c r="I139" s="1917" t="s">
        <v>2269</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2270</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2271</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2272</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2273</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2274</v>
      </c>
      <c r="E144" s="1891">
        <v>102</v>
      </c>
      <c r="F144" s="1897">
        <v>100</v>
      </c>
      <c r="G144" s="1920" t="s">
        <v>2274</v>
      </c>
      <c r="H144" s="1893">
        <v>105</v>
      </c>
      <c r="I144" s="1919" t="s">
        <v>2273</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2275</v>
      </c>
      <c r="C145" s="1898">
        <f>ROUND(MAX(C139:C144)/MIN(C139:C144)-1,3)</f>
        <v>7.2999999999999995E-2</v>
      </c>
      <c r="D145" s="1922"/>
      <c r="E145" s="1922"/>
      <c r="F145" s="1923" t="s">
        <v>2276</v>
      </c>
      <c r="G145" s="1924"/>
      <c r="H145" s="1925"/>
      <c r="I145" s="1926" t="s">
        <v>2273</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2285</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2286</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8" zoomScale="80" zoomScaleNormal="80" workbookViewId="0">
      <selection activeCell="M17" sqref="M1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93" t="s">
        <v>522</v>
      </c>
      <c r="D4" s="3394"/>
      <c r="E4" s="3437" t="s">
        <v>523</v>
      </c>
      <c r="F4" s="3438"/>
      <c r="G4" s="3393" t="s">
        <v>524</v>
      </c>
      <c r="H4" s="3394"/>
      <c r="I4" s="3393" t="s">
        <v>525</v>
      </c>
      <c r="J4" s="3394"/>
      <c r="K4" s="514" t="s">
        <v>526</v>
      </c>
      <c r="L4" s="2119"/>
      <c r="M4" s="2120"/>
      <c r="N4" s="2120"/>
      <c r="O4" s="2120"/>
      <c r="P4" s="3395" t="s">
        <v>527</v>
      </c>
      <c r="Q4" s="3396"/>
      <c r="R4" s="3401" t="s">
        <v>523</v>
      </c>
      <c r="S4" s="3402"/>
      <c r="T4" s="3401" t="s">
        <v>524</v>
      </c>
      <c r="U4" s="3402"/>
      <c r="V4" s="3414" t="s">
        <v>525</v>
      </c>
      <c r="W4" s="3414"/>
      <c r="X4" s="1554"/>
      <c r="Y4" s="3401" t="s">
        <v>527</v>
      </c>
      <c r="Z4" s="3402"/>
      <c r="AA4" s="3390" t="s">
        <v>523</v>
      </c>
      <c r="AB4" s="3414" t="s">
        <v>524</v>
      </c>
      <c r="AC4" s="3390" t="s">
        <v>525</v>
      </c>
    </row>
    <row r="5" spans="1:29" ht="15">
      <c r="A5" s="515"/>
      <c r="B5" s="516"/>
      <c r="C5" s="3405" t="s">
        <v>2925</v>
      </c>
      <c r="D5" s="3406"/>
      <c r="E5" s="3439" t="s">
        <v>2926</v>
      </c>
      <c r="F5" s="3440"/>
      <c r="G5" s="3405" t="s">
        <v>2927</v>
      </c>
      <c r="H5" s="3406"/>
      <c r="I5" s="3405" t="s">
        <v>2928</v>
      </c>
      <c r="J5" s="3406"/>
      <c r="K5" s="514"/>
      <c r="L5" s="2119"/>
      <c r="M5" s="2120"/>
      <c r="N5" s="2120"/>
      <c r="O5" s="2120"/>
      <c r="P5" s="3397"/>
      <c r="Q5" s="3398"/>
      <c r="R5" s="3403"/>
      <c r="S5" s="3404"/>
      <c r="T5" s="3403"/>
      <c r="U5" s="3404"/>
      <c r="V5" s="3414"/>
      <c r="W5" s="3414"/>
      <c r="X5" s="1554"/>
      <c r="Y5" s="3403"/>
      <c r="Z5" s="3404"/>
      <c r="AA5" s="3391"/>
      <c r="AB5" s="3414"/>
      <c r="AC5" s="3391"/>
    </row>
    <row r="6" spans="1:29" ht="15.75" thickBot="1">
      <c r="A6" s="517"/>
      <c r="B6" s="518"/>
      <c r="C6" s="3410" t="s">
        <v>2929</v>
      </c>
      <c r="D6" s="3411"/>
      <c r="E6" s="3441" t="s">
        <v>2929</v>
      </c>
      <c r="F6" s="3442"/>
      <c r="G6" s="3410" t="s">
        <v>2929</v>
      </c>
      <c r="H6" s="3411"/>
      <c r="I6" s="3410" t="s">
        <v>2929</v>
      </c>
      <c r="J6" s="3411"/>
      <c r="K6" s="514" t="s">
        <v>528</v>
      </c>
      <c r="L6" s="2119"/>
      <c r="M6" s="2120"/>
      <c r="N6" s="2120"/>
      <c r="O6" s="2120"/>
      <c r="P6" s="3399"/>
      <c r="Q6" s="3400"/>
      <c r="R6" s="3403"/>
      <c r="S6" s="3404"/>
      <c r="T6" s="3412"/>
      <c r="U6" s="3413"/>
      <c r="V6" s="3414"/>
      <c r="W6" s="3414"/>
      <c r="X6" s="1554"/>
      <c r="Y6" s="3412"/>
      <c r="Z6" s="3413"/>
      <c r="AA6" s="3392"/>
      <c r="AB6" s="3414"/>
      <c r="AC6" s="3392"/>
    </row>
    <row r="7" spans="1:29" s="1216" customFormat="1" ht="15.75" thickBot="1">
      <c r="A7" s="2868"/>
      <c r="B7" s="2875" t="s">
        <v>529</v>
      </c>
      <c r="C7" s="519">
        <f>'数据-取费表'!B2</f>
        <v>43607</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15" t="s">
        <v>530</v>
      </c>
      <c r="Q7" s="3416"/>
      <c r="R7" s="1555" t="s">
        <v>8</v>
      </c>
      <c r="S7" s="1556">
        <f t="shared" ref="S7:S15" si="0">F7</f>
        <v>0</v>
      </c>
      <c r="T7" s="1555" t="s">
        <v>8</v>
      </c>
      <c r="U7" s="1556">
        <f t="shared" ref="U7:U15" si="1">H7</f>
        <v>0</v>
      </c>
      <c r="V7" s="1555" t="s">
        <v>8</v>
      </c>
      <c r="W7" s="1556">
        <f t="shared" ref="W7:W15" si="2">J7</f>
        <v>0</v>
      </c>
      <c r="X7" s="1557"/>
      <c r="Y7" s="3415"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15" t="s">
        <v>533</v>
      </c>
      <c r="Q8" s="3417"/>
      <c r="R8" s="1555" t="s">
        <v>8</v>
      </c>
      <c r="S8" s="1556">
        <f t="shared" si="0"/>
        <v>0</v>
      </c>
      <c r="T8" s="1555" t="s">
        <v>8</v>
      </c>
      <c r="U8" s="1556">
        <f t="shared" si="1"/>
        <v>0</v>
      </c>
      <c r="V8" s="1555" t="s">
        <v>8</v>
      </c>
      <c r="W8" s="1556">
        <f t="shared" si="2"/>
        <v>0</v>
      </c>
      <c r="X8" s="1557"/>
      <c r="Y8" s="3415" t="s">
        <v>533</v>
      </c>
      <c r="Z8" s="3417"/>
      <c r="AA8" s="1558" t="e">
        <f t="shared" ref="AA8:AA46" si="3">D8/F8</f>
        <v>#DIV/0!</v>
      </c>
      <c r="AB8" s="1558" t="e">
        <f t="shared" ref="AB8:AB46" si="4">D8/H8</f>
        <v>#DIV/0!</v>
      </c>
      <c r="AC8" s="1558" t="e">
        <f t="shared" ref="AC8:AC46" si="5">D8/J8</f>
        <v>#DIV/0!</v>
      </c>
    </row>
    <row r="9" spans="1:29" s="1216" customFormat="1" ht="15">
      <c r="A9" s="2870"/>
      <c r="B9" s="2877" t="s">
        <v>2752</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8" t="s">
        <v>535</v>
      </c>
      <c r="Q9" s="1147" t="str">
        <f t="shared" ref="Q9:Q15" si="6">B9</f>
        <v>用途</v>
      </c>
      <c r="R9" s="1555" t="s">
        <v>8</v>
      </c>
      <c r="S9" s="1556">
        <f t="shared" si="0"/>
        <v>100</v>
      </c>
      <c r="T9" s="1555" t="s">
        <v>8</v>
      </c>
      <c r="U9" s="1556">
        <f t="shared" si="1"/>
        <v>100</v>
      </c>
      <c r="V9" s="1555" t="s">
        <v>8</v>
      </c>
      <c r="W9" s="1556">
        <f t="shared" si="2"/>
        <v>100</v>
      </c>
      <c r="X9" s="1557"/>
      <c r="Y9" s="3363"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8"/>
      <c r="Q10" s="1147" t="str">
        <f t="shared" si="6"/>
        <v>土地使用年限（年）</v>
      </c>
      <c r="R10" s="1555" t="s">
        <v>8</v>
      </c>
      <c r="S10" s="1556">
        <f t="shared" si="0"/>
        <v>100</v>
      </c>
      <c r="T10" s="1555" t="s">
        <v>8</v>
      </c>
      <c r="U10" s="1556">
        <f t="shared" si="1"/>
        <v>100</v>
      </c>
      <c r="V10" s="1555" t="s">
        <v>8</v>
      </c>
      <c r="W10" s="1556">
        <f t="shared" si="2"/>
        <v>100</v>
      </c>
      <c r="X10" s="1557"/>
      <c r="Y10" s="3363"/>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8"/>
      <c r="Q11" s="1147" t="str">
        <f t="shared" si="6"/>
        <v>容积率</v>
      </c>
      <c r="R11" s="1555" t="s">
        <v>8</v>
      </c>
      <c r="S11" s="1556" t="e">
        <f t="shared" si="0"/>
        <v>#N/A</v>
      </c>
      <c r="T11" s="1555" t="s">
        <v>8</v>
      </c>
      <c r="U11" s="1556" t="e">
        <f t="shared" si="1"/>
        <v>#N/A</v>
      </c>
      <c r="V11" s="1555" t="s">
        <v>8</v>
      </c>
      <c r="W11" s="1556" t="e">
        <f t="shared" si="2"/>
        <v>#N/A</v>
      </c>
      <c r="X11" s="1557"/>
      <c r="Y11" s="336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8"/>
      <c r="Q12" s="1147">
        <f t="shared" si="6"/>
        <v>111</v>
      </c>
      <c r="R12" s="1555" t="s">
        <v>8</v>
      </c>
      <c r="S12" s="1556">
        <f t="shared" si="0"/>
        <v>100</v>
      </c>
      <c r="T12" s="1555" t="s">
        <v>8</v>
      </c>
      <c r="U12" s="1556">
        <f t="shared" si="1"/>
        <v>100</v>
      </c>
      <c r="V12" s="1555" t="s">
        <v>8</v>
      </c>
      <c r="W12" s="1556">
        <f t="shared" si="2"/>
        <v>100</v>
      </c>
      <c r="X12" s="1557"/>
      <c r="Y12" s="3363"/>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8"/>
      <c r="Q13" s="1147">
        <f t="shared" si="6"/>
        <v>111</v>
      </c>
      <c r="R13" s="1555" t="s">
        <v>8</v>
      </c>
      <c r="S13" s="1556">
        <f t="shared" si="0"/>
        <v>100</v>
      </c>
      <c r="T13" s="1555" t="s">
        <v>8</v>
      </c>
      <c r="U13" s="1556">
        <f t="shared" si="1"/>
        <v>100</v>
      </c>
      <c r="V13" s="1555" t="s">
        <v>8</v>
      </c>
      <c r="W13" s="1556">
        <f t="shared" si="2"/>
        <v>100</v>
      </c>
      <c r="X13" s="1557"/>
      <c r="Y13" s="3363"/>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8"/>
      <c r="Q14" s="1147">
        <f t="shared" si="6"/>
        <v>111</v>
      </c>
      <c r="R14" s="1555" t="s">
        <v>8</v>
      </c>
      <c r="S14" s="1556">
        <f t="shared" si="0"/>
        <v>100</v>
      </c>
      <c r="T14" s="1555" t="s">
        <v>8</v>
      </c>
      <c r="U14" s="1556">
        <f t="shared" si="1"/>
        <v>100</v>
      </c>
      <c r="V14" s="1555" t="s">
        <v>8</v>
      </c>
      <c r="W14" s="1556">
        <f t="shared" si="2"/>
        <v>100</v>
      </c>
      <c r="X14" s="1557"/>
      <c r="Y14" s="3363"/>
      <c r="Z14" s="1146">
        <f t="shared" si="7"/>
        <v>111</v>
      </c>
      <c r="AA14" s="1558">
        <f t="shared" si="3"/>
        <v>1</v>
      </c>
      <c r="AB14" s="1558">
        <f t="shared" si="4"/>
        <v>1</v>
      </c>
      <c r="AC14" s="1558">
        <f t="shared" si="5"/>
        <v>1</v>
      </c>
    </row>
    <row r="15" spans="1:29" ht="71.25">
      <c r="A15" s="2866" t="s">
        <v>2750</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19" t="s">
        <v>540</v>
      </c>
      <c r="Q15" s="1559" t="str">
        <f t="shared" si="6"/>
        <v>商业繁华度</v>
      </c>
      <c r="R15" s="1560" t="s">
        <v>8</v>
      </c>
      <c r="S15" s="1561">
        <f t="shared" si="0"/>
        <v>100</v>
      </c>
      <c r="T15" s="1560" t="s">
        <v>8</v>
      </c>
      <c r="U15" s="1561">
        <f t="shared" si="1"/>
        <v>100</v>
      </c>
      <c r="V15" s="1560" t="s">
        <v>8</v>
      </c>
      <c r="W15" s="1561">
        <f t="shared" si="2"/>
        <v>100</v>
      </c>
      <c r="X15" s="1554"/>
      <c r="Y15" s="3419"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0"/>
      <c r="Q16" s="1559"/>
      <c r="R16" s="1560"/>
      <c r="S16" s="1561"/>
      <c r="T16" s="1560"/>
      <c r="U16" s="1561"/>
      <c r="V16" s="1560"/>
      <c r="W16" s="1561"/>
      <c r="X16" s="1554"/>
      <c r="Y16" s="3420"/>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0"/>
      <c r="Q18" s="1559"/>
      <c r="R18" s="1560"/>
      <c r="S18" s="1561"/>
      <c r="T18" s="1560"/>
      <c r="U18" s="1561"/>
      <c r="V18" s="1560"/>
      <c r="W18" s="1561"/>
      <c r="X18" s="1554"/>
      <c r="Y18" s="3420"/>
      <c r="Z18" s="1562"/>
      <c r="AA18" s="1563">
        <v>1</v>
      </c>
      <c r="AB18" s="1563">
        <v>1</v>
      </c>
      <c r="AC18" s="1563">
        <v>1</v>
      </c>
    </row>
    <row r="19" spans="1:29" ht="42.75">
      <c r="A19" s="532"/>
      <c r="B19" s="2565"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8.5">
      <c r="A21" s="532"/>
      <c r="B21" s="2558"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20"/>
      <c r="Q21" s="2544" t="str">
        <f>B21</f>
        <v>基础设施水平</v>
      </c>
      <c r="R21" s="1560" t="s">
        <v>8</v>
      </c>
      <c r="S21" s="1561">
        <f>F21</f>
        <v>100</v>
      </c>
      <c r="T21" s="1560" t="s">
        <v>8</v>
      </c>
      <c r="U21" s="1561">
        <f>H21</f>
        <v>100</v>
      </c>
      <c r="V21" s="1560" t="s">
        <v>8</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20"/>
      <c r="Q22" s="2544"/>
      <c r="R22" s="1560"/>
      <c r="S22" s="1561"/>
      <c r="T22" s="1560"/>
      <c r="U22" s="1561"/>
      <c r="V22" s="1560"/>
      <c r="W22" s="1561"/>
      <c r="X22" s="2546"/>
      <c r="Y22" s="3420"/>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20"/>
      <c r="Q23" s="1559" t="str">
        <f>B23</f>
        <v>自然及人文环境</v>
      </c>
      <c r="R23" s="1560" t="s">
        <v>8</v>
      </c>
      <c r="S23" s="1561">
        <f>F23</f>
        <v>100</v>
      </c>
      <c r="T23" s="1560" t="s">
        <v>8</v>
      </c>
      <c r="U23" s="1561">
        <f>H23</f>
        <v>100</v>
      </c>
      <c r="V23" s="1560" t="s">
        <v>8</v>
      </c>
      <c r="W23" s="1561">
        <f>J23</f>
        <v>100</v>
      </c>
      <c r="X23" s="1554"/>
      <c r="Y23" s="3420"/>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20"/>
      <c r="Q24" s="1559"/>
      <c r="R24" s="1560"/>
      <c r="S24" s="1561"/>
      <c r="T24" s="1560"/>
      <c r="U24" s="1561"/>
      <c r="V24" s="1560"/>
      <c r="W24" s="1561"/>
      <c r="X24" s="1554"/>
      <c r="Y24" s="3420"/>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20"/>
      <c r="Q25" s="1559" t="str">
        <f t="shared" ref="Q25:Q46" si="11">B25</f>
        <v>临街状况</v>
      </c>
      <c r="R25" s="1560" t="s">
        <v>8</v>
      </c>
      <c r="S25" s="1561">
        <f>F25</f>
        <v>100</v>
      </c>
      <c r="T25" s="1560" t="s">
        <v>8</v>
      </c>
      <c r="U25" s="1561">
        <f>H25</f>
        <v>100</v>
      </c>
      <c r="V25" s="1560" t="s">
        <v>8</v>
      </c>
      <c r="W25" s="1561">
        <f>J25</f>
        <v>100</v>
      </c>
      <c r="X25" s="1554"/>
      <c r="Y25" s="3420"/>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20"/>
      <c r="Q26" s="1559" t="str">
        <f t="shared" si="11"/>
        <v>平面位置/可视性</v>
      </c>
      <c r="R26" s="1560" t="s">
        <v>8</v>
      </c>
      <c r="S26" s="1561">
        <f>F26</f>
        <v>100</v>
      </c>
      <c r="T26" s="1560" t="s">
        <v>8</v>
      </c>
      <c r="U26" s="1561">
        <f>H26</f>
        <v>100</v>
      </c>
      <c r="V26" s="1560" t="s">
        <v>8</v>
      </c>
      <c r="W26" s="1561">
        <f>J26</f>
        <v>100</v>
      </c>
      <c r="X26" s="1554"/>
      <c r="Y26" s="3420"/>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20"/>
      <c r="Q27" s="1147" t="str">
        <f t="shared" si="11"/>
        <v>人流量</v>
      </c>
      <c r="R27" s="1555" t="s">
        <v>8</v>
      </c>
      <c r="S27" s="1556">
        <f>F27</f>
        <v>100</v>
      </c>
      <c r="T27" s="1555" t="s">
        <v>8</v>
      </c>
      <c r="U27" s="1556">
        <f>H27</f>
        <v>100</v>
      </c>
      <c r="V27" s="1555" t="s">
        <v>8</v>
      </c>
      <c r="W27" s="1556">
        <f>J27</f>
        <v>100</v>
      </c>
      <c r="X27" s="1557"/>
      <c r="Y27" s="3420"/>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2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2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20"/>
      <c r="Q29" s="1559">
        <f t="shared" si="11"/>
        <v>111</v>
      </c>
      <c r="R29" s="1560" t="s">
        <v>8</v>
      </c>
      <c r="S29" s="1561">
        <f t="shared" si="12"/>
        <v>100</v>
      </c>
      <c r="T29" s="1560" t="s">
        <v>8</v>
      </c>
      <c r="U29" s="1561">
        <f t="shared" si="13"/>
        <v>100</v>
      </c>
      <c r="V29" s="1560" t="s">
        <v>8</v>
      </c>
      <c r="W29" s="1561">
        <f t="shared" si="14"/>
        <v>100</v>
      </c>
      <c r="X29" s="1554"/>
      <c r="Y29" s="342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20"/>
      <c r="Q30" s="1559">
        <f t="shared" si="11"/>
        <v>111</v>
      </c>
      <c r="R30" s="1560" t="s">
        <v>8</v>
      </c>
      <c r="S30" s="1561">
        <f t="shared" si="12"/>
        <v>100</v>
      </c>
      <c r="T30" s="1560" t="s">
        <v>8</v>
      </c>
      <c r="U30" s="1561">
        <f t="shared" si="13"/>
        <v>100</v>
      </c>
      <c r="V30" s="1560" t="s">
        <v>8</v>
      </c>
      <c r="W30" s="1561">
        <f t="shared" si="14"/>
        <v>100</v>
      </c>
      <c r="X30" s="1554"/>
      <c r="Y30" s="342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20"/>
      <c r="Q31" s="1559">
        <f t="shared" si="11"/>
        <v>111</v>
      </c>
      <c r="R31" s="1560" t="s">
        <v>8</v>
      </c>
      <c r="S31" s="1561">
        <f t="shared" si="12"/>
        <v>100</v>
      </c>
      <c r="T31" s="1560" t="s">
        <v>8</v>
      </c>
      <c r="U31" s="1561">
        <f t="shared" si="13"/>
        <v>100</v>
      </c>
      <c r="V31" s="1560" t="s">
        <v>8</v>
      </c>
      <c r="W31" s="1561">
        <f t="shared" si="14"/>
        <v>100</v>
      </c>
      <c r="X31" s="1554"/>
      <c r="Y31" s="3420"/>
      <c r="Z31" s="1562">
        <f t="shared" si="15"/>
        <v>111</v>
      </c>
      <c r="AA31" s="1563">
        <f t="shared" si="3"/>
        <v>1</v>
      </c>
      <c r="AB31" s="1563">
        <f t="shared" si="4"/>
        <v>1</v>
      </c>
      <c r="AC31" s="1563">
        <f t="shared" si="5"/>
        <v>1</v>
      </c>
    </row>
    <row r="32" spans="1:29" ht="15">
      <c r="A32" s="2863" t="s">
        <v>2751</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25" t="s">
        <v>550</v>
      </c>
      <c r="Q32" s="1559" t="str">
        <f t="shared" si="11"/>
        <v>商业类型</v>
      </c>
      <c r="R32" s="1560" t="s">
        <v>8</v>
      </c>
      <c r="S32" s="1561">
        <f t="shared" si="12"/>
        <v>100</v>
      </c>
      <c r="T32" s="1560" t="s">
        <v>8</v>
      </c>
      <c r="U32" s="1561">
        <f t="shared" si="13"/>
        <v>100</v>
      </c>
      <c r="V32" s="1560" t="s">
        <v>8</v>
      </c>
      <c r="W32" s="1561">
        <f t="shared" si="14"/>
        <v>100</v>
      </c>
      <c r="X32" s="1554"/>
      <c r="Y32" s="3426"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26"/>
      <c r="Q33" s="1591" t="str">
        <f t="shared" si="11"/>
        <v>项目建筑规模</v>
      </c>
      <c r="R33" s="1564" t="s">
        <v>8</v>
      </c>
      <c r="S33" s="1565" t="e">
        <f t="shared" si="12"/>
        <v>#N/A</v>
      </c>
      <c r="T33" s="1564" t="s">
        <v>8</v>
      </c>
      <c r="U33" s="1565" t="e">
        <f t="shared" si="13"/>
        <v>#N/A</v>
      </c>
      <c r="V33" s="1564" t="s">
        <v>8</v>
      </c>
      <c r="W33" s="1565" t="e">
        <f t="shared" si="14"/>
        <v>#N/A</v>
      </c>
      <c r="X33" s="1566"/>
      <c r="Y33" s="3426"/>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26"/>
      <c r="Q34" s="1559" t="str">
        <f t="shared" si="11"/>
        <v>建筑结构</v>
      </c>
      <c r="R34" s="1560" t="s">
        <v>8</v>
      </c>
      <c r="S34" s="1561">
        <f t="shared" si="12"/>
        <v>100</v>
      </c>
      <c r="T34" s="1560" t="s">
        <v>8</v>
      </c>
      <c r="U34" s="1561">
        <f t="shared" si="13"/>
        <v>100</v>
      </c>
      <c r="V34" s="1560" t="s">
        <v>8</v>
      </c>
      <c r="W34" s="1561">
        <f t="shared" si="14"/>
        <v>100</v>
      </c>
      <c r="X34" s="1554"/>
      <c r="Y34" s="3426"/>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26"/>
      <c r="Q35" s="1559" t="str">
        <f t="shared" si="11"/>
        <v>公共部分装修</v>
      </c>
      <c r="R35" s="1560" t="s">
        <v>8</v>
      </c>
      <c r="S35" s="1561">
        <f t="shared" si="12"/>
        <v>100</v>
      </c>
      <c r="T35" s="1560" t="s">
        <v>8</v>
      </c>
      <c r="U35" s="1561">
        <f t="shared" si="13"/>
        <v>100</v>
      </c>
      <c r="V35" s="1560" t="s">
        <v>8</v>
      </c>
      <c r="W35" s="1561">
        <f t="shared" si="14"/>
        <v>100</v>
      </c>
      <c r="X35" s="1554"/>
      <c r="Y35" s="3426"/>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26"/>
      <c r="Q36" s="1559" t="str">
        <f t="shared" si="11"/>
        <v>成新度</v>
      </c>
      <c r="R36" s="1560" t="s">
        <v>8</v>
      </c>
      <c r="S36" s="1561" t="e">
        <f t="shared" si="12"/>
        <v>#N/A</v>
      </c>
      <c r="T36" s="1560" t="s">
        <v>8</v>
      </c>
      <c r="U36" s="1561" t="e">
        <f t="shared" si="13"/>
        <v>#N/A</v>
      </c>
      <c r="V36" s="1560" t="s">
        <v>8</v>
      </c>
      <c r="W36" s="1561" t="e">
        <f t="shared" si="14"/>
        <v>#N/A</v>
      </c>
      <c r="X36" s="1554"/>
      <c r="Y36" s="3426"/>
      <c r="Z36" s="1562" t="str">
        <f t="shared" si="15"/>
        <v>成新度</v>
      </c>
      <c r="AA36" s="1563" t="e">
        <f t="shared" si="3"/>
        <v>#N/A</v>
      </c>
      <c r="AB36" s="1563" t="e">
        <f t="shared" si="4"/>
        <v>#N/A</v>
      </c>
      <c r="AC36" s="1563" t="e">
        <f t="shared" si="5"/>
        <v>#N/A</v>
      </c>
    </row>
    <row r="37" spans="1:29" s="1216" customFormat="1" ht="15">
      <c r="A37" s="600"/>
      <c r="B37" s="1881"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26"/>
      <c r="Q37" s="1147" t="str">
        <f t="shared" si="11"/>
        <v>市政基础设施</v>
      </c>
      <c r="R37" s="1555" t="s">
        <v>8</v>
      </c>
      <c r="S37" s="1556">
        <f t="shared" si="12"/>
        <v>100</v>
      </c>
      <c r="T37" s="1555" t="s">
        <v>8</v>
      </c>
      <c r="U37" s="1556">
        <f t="shared" si="13"/>
        <v>100</v>
      </c>
      <c r="V37" s="1555" t="s">
        <v>8</v>
      </c>
      <c r="W37" s="1556">
        <f t="shared" si="14"/>
        <v>100</v>
      </c>
      <c r="X37" s="1557"/>
      <c r="Y37" s="3426"/>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26" t="s">
        <v>766</v>
      </c>
      <c r="Q38" s="1559" t="str">
        <f t="shared" si="11"/>
        <v>业态</v>
      </c>
      <c r="R38" s="1560" t="s">
        <v>8</v>
      </c>
      <c r="S38" s="1561">
        <f t="shared" si="12"/>
        <v>100</v>
      </c>
      <c r="T38" s="1560" t="s">
        <v>8</v>
      </c>
      <c r="U38" s="1561">
        <f t="shared" si="13"/>
        <v>100</v>
      </c>
      <c r="V38" s="1560" t="s">
        <v>8</v>
      </c>
      <c r="W38" s="1561">
        <f t="shared" si="14"/>
        <v>100</v>
      </c>
      <c r="X38" s="1554"/>
      <c r="Y38" s="3426"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26"/>
      <c r="Q39" s="1559" t="str">
        <f t="shared" si="11"/>
        <v>层高</v>
      </c>
      <c r="R39" s="1560" t="s">
        <v>8</v>
      </c>
      <c r="S39" s="1561">
        <f t="shared" si="12"/>
        <v>100</v>
      </c>
      <c r="T39" s="1560" t="s">
        <v>8</v>
      </c>
      <c r="U39" s="1561">
        <f t="shared" si="13"/>
        <v>100</v>
      </c>
      <c r="V39" s="1560" t="s">
        <v>8</v>
      </c>
      <c r="W39" s="1561">
        <f t="shared" si="14"/>
        <v>100</v>
      </c>
      <c r="X39" s="1554"/>
      <c r="Y39" s="3426"/>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26"/>
      <c r="Q40" s="1559" t="str">
        <f t="shared" si="11"/>
        <v>单套建筑面积</v>
      </c>
      <c r="R40" s="1560" t="s">
        <v>8</v>
      </c>
      <c r="S40" s="1561">
        <f t="shared" si="12"/>
        <v>100</v>
      </c>
      <c r="T40" s="1560" t="s">
        <v>8</v>
      </c>
      <c r="U40" s="1561">
        <f t="shared" si="13"/>
        <v>100</v>
      </c>
      <c r="V40" s="1560" t="s">
        <v>8</v>
      </c>
      <c r="W40" s="1561">
        <f t="shared" si="14"/>
        <v>100</v>
      </c>
      <c r="X40" s="1554"/>
      <c r="Y40" s="3426"/>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26"/>
      <c r="Q41" s="1591" t="str">
        <f t="shared" si="11"/>
        <v>进深比</v>
      </c>
      <c r="R41" s="1564" t="s">
        <v>8</v>
      </c>
      <c r="S41" s="1565">
        <f t="shared" si="12"/>
        <v>100</v>
      </c>
      <c r="T41" s="1564" t="s">
        <v>8</v>
      </c>
      <c r="U41" s="1565">
        <f t="shared" si="13"/>
        <v>100</v>
      </c>
      <c r="V41" s="1564" t="s">
        <v>8</v>
      </c>
      <c r="W41" s="1565">
        <f t="shared" si="14"/>
        <v>100</v>
      </c>
      <c r="X41" s="1566"/>
      <c r="Y41" s="3426"/>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26"/>
      <c r="Q42" s="1559" t="str">
        <f t="shared" si="11"/>
        <v>内部装修</v>
      </c>
      <c r="R42" s="1560" t="s">
        <v>8</v>
      </c>
      <c r="S42" s="1561">
        <f t="shared" si="12"/>
        <v>100</v>
      </c>
      <c r="T42" s="1560" t="s">
        <v>8</v>
      </c>
      <c r="U42" s="1561">
        <f t="shared" si="13"/>
        <v>100</v>
      </c>
      <c r="V42" s="1560" t="s">
        <v>8</v>
      </c>
      <c r="W42" s="1561">
        <f t="shared" si="14"/>
        <v>100</v>
      </c>
      <c r="X42" s="1554"/>
      <c r="Y42" s="3426"/>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26"/>
      <c r="Q43" s="1559" t="str">
        <f t="shared" si="11"/>
        <v>内部装修维护情况</v>
      </c>
      <c r="R43" s="1560" t="s">
        <v>8</v>
      </c>
      <c r="S43" s="1561">
        <f t="shared" si="12"/>
        <v>100</v>
      </c>
      <c r="T43" s="1560" t="s">
        <v>8</v>
      </c>
      <c r="U43" s="1561">
        <f t="shared" si="13"/>
        <v>100</v>
      </c>
      <c r="V43" s="1560" t="s">
        <v>8</v>
      </c>
      <c r="W43" s="1561">
        <f t="shared" si="14"/>
        <v>100</v>
      </c>
      <c r="X43" s="1554"/>
      <c r="Y43" s="3426"/>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26"/>
      <c r="Q44" s="1147">
        <f t="shared" si="11"/>
        <v>111</v>
      </c>
      <c r="R44" s="1555" t="s">
        <v>8</v>
      </c>
      <c r="S44" s="1556">
        <f t="shared" si="12"/>
        <v>100</v>
      </c>
      <c r="T44" s="1555" t="s">
        <v>8</v>
      </c>
      <c r="U44" s="1556">
        <f t="shared" si="13"/>
        <v>100</v>
      </c>
      <c r="V44" s="1555" t="s">
        <v>8</v>
      </c>
      <c r="W44" s="1556">
        <f t="shared" si="14"/>
        <v>100</v>
      </c>
      <c r="X44" s="1557"/>
      <c r="Y44" s="3426"/>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26"/>
      <c r="Q45" s="1559">
        <f t="shared" si="11"/>
        <v>111</v>
      </c>
      <c r="R45" s="1560" t="s">
        <v>8</v>
      </c>
      <c r="S45" s="1561">
        <f t="shared" si="12"/>
        <v>100</v>
      </c>
      <c r="T45" s="1560" t="s">
        <v>8</v>
      </c>
      <c r="U45" s="1561">
        <f t="shared" si="13"/>
        <v>100</v>
      </c>
      <c r="V45" s="1560" t="s">
        <v>8</v>
      </c>
      <c r="W45" s="1561">
        <f t="shared" si="14"/>
        <v>100</v>
      </c>
      <c r="X45" s="1554"/>
      <c r="Y45" s="3426"/>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15"/>
      <c r="Q46" s="1559">
        <f t="shared" si="11"/>
        <v>111</v>
      </c>
      <c r="R46" s="1560" t="s">
        <v>8</v>
      </c>
      <c r="S46" s="1561">
        <f t="shared" si="12"/>
        <v>100</v>
      </c>
      <c r="T46" s="1560" t="s">
        <v>8</v>
      </c>
      <c r="U46" s="1561">
        <f t="shared" si="13"/>
        <v>100</v>
      </c>
      <c r="V46" s="1560" t="s">
        <v>8</v>
      </c>
      <c r="W46" s="1561">
        <f t="shared" si="14"/>
        <v>100</v>
      </c>
      <c r="X46" s="1554"/>
      <c r="Y46" s="3515"/>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8" t="str">
        <f>A47</f>
        <v>成交单价（元/平方米）</v>
      </c>
      <c r="Q47" s="3418"/>
      <c r="R47" s="3514">
        <f>E47</f>
        <v>0</v>
      </c>
      <c r="S47" s="3514"/>
      <c r="T47" s="3514">
        <f>G47</f>
        <v>0</v>
      </c>
      <c r="U47" s="3514"/>
      <c r="V47" s="3514">
        <f>I47</f>
        <v>0</v>
      </c>
      <c r="W47" s="3514"/>
      <c r="X47" s="1546"/>
      <c r="Y47" s="1568"/>
      <c r="Z47" s="1546"/>
      <c r="AA47" s="1546"/>
      <c r="AB47" s="1546"/>
      <c r="AC47" s="1546"/>
    </row>
    <row r="48" spans="1:29" ht="15.75" thickBot="1">
      <c r="A48" s="615" t="s">
        <v>2756</v>
      </c>
      <c r="B48" s="888"/>
      <c r="C48" s="2598" t="e">
        <f>R49</f>
        <v>#DIV/0!</v>
      </c>
      <c r="D48" s="2599"/>
      <c r="E48" s="2600" t="e">
        <f>R48</f>
        <v>#DIV/0!</v>
      </c>
      <c r="F48" s="2600"/>
      <c r="G48" s="2598" t="e">
        <f>T48</f>
        <v>#DIV/0!</v>
      </c>
      <c r="H48" s="2599"/>
      <c r="I48" s="2600" t="e">
        <f>V48</f>
        <v>#DIV/0!</v>
      </c>
      <c r="J48" s="2599"/>
      <c r="K48" s="1598"/>
      <c r="L48" s="2130"/>
      <c r="M48" s="2131"/>
      <c r="N48" s="2120"/>
      <c r="O48" s="2131"/>
      <c r="P48" s="3418" t="str">
        <f>A48</f>
        <v>比较价格（元/平方米）</v>
      </c>
      <c r="Q48" s="3418"/>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46"/>
      <c r="Y48" s="1546"/>
      <c r="Z48" s="1546"/>
      <c r="AA48" s="1546"/>
      <c r="AB48" s="1546"/>
      <c r="AC48" s="1546"/>
    </row>
    <row r="49" spans="1:29" ht="15.75" thickBot="1">
      <c r="A49" s="621" t="s">
        <v>2931</v>
      </c>
      <c r="B49" s="622"/>
      <c r="C49" s="2601" t="e">
        <f>R49</f>
        <v>#DIV/0!</v>
      </c>
      <c r="D49" s="2601"/>
      <c r="E49" s="2601"/>
      <c r="F49" s="2601"/>
      <c r="G49" s="2601"/>
      <c r="H49" s="2601"/>
      <c r="I49" s="2601"/>
      <c r="J49" s="2601"/>
      <c r="K49" s="1599"/>
      <c r="L49" s="2130"/>
      <c r="M49" s="2131"/>
      <c r="N49" s="2120"/>
      <c r="O49" s="2131"/>
      <c r="P49" s="3422" t="str">
        <f>A49</f>
        <v>估价对象XX用房的比较价格（楼面单价，元/平方米）</v>
      </c>
      <c r="Q49" s="3423"/>
      <c r="R49" s="3513" t="e">
        <f>IF(F1="售价",ROUND(AVERAGE(R48:V48),0),ROUND(AVERAGE(R48:V48),1))</f>
        <v>#DIV/0!</v>
      </c>
      <c r="S49" s="3513"/>
      <c r="T49" s="3513"/>
      <c r="U49" s="3513"/>
      <c r="V49" s="3513"/>
      <c r="W49" s="3513"/>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2019-5</v>
      </c>
      <c r="D58" s="2760">
        <f>EDATE(C58,-1)</f>
        <v>43556</v>
      </c>
      <c r="E58" s="2760">
        <f t="shared" ref="E58:O58" si="16">EDATE(D58,-1)</f>
        <v>43525</v>
      </c>
      <c r="F58" s="2760">
        <f t="shared" si="16"/>
        <v>43497</v>
      </c>
      <c r="G58" s="2760">
        <f t="shared" si="16"/>
        <v>43466</v>
      </c>
      <c r="H58" s="2760">
        <f t="shared" si="16"/>
        <v>43435</v>
      </c>
      <c r="I58" s="2760">
        <f t="shared" si="16"/>
        <v>43405</v>
      </c>
      <c r="J58" s="2760">
        <f t="shared" si="16"/>
        <v>43374</v>
      </c>
      <c r="K58" s="2760">
        <f t="shared" si="16"/>
        <v>43344</v>
      </c>
      <c r="L58" s="2760">
        <f t="shared" si="16"/>
        <v>43313</v>
      </c>
      <c r="M58" s="2760">
        <f t="shared" si="16"/>
        <v>43282</v>
      </c>
      <c r="N58" s="2760">
        <f t="shared" si="16"/>
        <v>43252</v>
      </c>
      <c r="O58" s="2760">
        <f t="shared" si="16"/>
        <v>43221</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2553</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2554</v>
      </c>
      <c r="C82" s="2563" t="s">
        <v>2555</v>
      </c>
      <c r="D82" s="2563" t="s">
        <v>2556</v>
      </c>
      <c r="E82" s="2563" t="s">
        <v>2557</v>
      </c>
      <c r="F82" s="2563" t="s">
        <v>2558</v>
      </c>
      <c r="G82" s="2563" t="s">
        <v>2559</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2552</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93" t="s">
        <v>522</v>
      </c>
      <c r="D4" s="3394"/>
      <c r="E4" s="3437" t="s">
        <v>523</v>
      </c>
      <c r="F4" s="3438"/>
      <c r="G4" s="3393" t="s">
        <v>524</v>
      </c>
      <c r="H4" s="3394"/>
      <c r="I4" s="3393" t="s">
        <v>525</v>
      </c>
      <c r="J4" s="3394"/>
      <c r="K4" s="514" t="s">
        <v>526</v>
      </c>
      <c r="L4" s="2119"/>
      <c r="M4" s="2120"/>
      <c r="N4" s="2120"/>
      <c r="O4" s="2120"/>
      <c r="P4" s="3516" t="s">
        <v>527</v>
      </c>
      <c r="Q4" s="3396"/>
      <c r="R4" s="3401" t="s">
        <v>523</v>
      </c>
      <c r="S4" s="3402"/>
      <c r="T4" s="3401" t="s">
        <v>524</v>
      </c>
      <c r="U4" s="3402"/>
      <c r="V4" s="3414" t="s">
        <v>525</v>
      </c>
      <c r="W4" s="3414"/>
      <c r="X4" s="1554"/>
      <c r="Y4" s="3401" t="s">
        <v>527</v>
      </c>
      <c r="Z4" s="3402"/>
      <c r="AA4" s="3390" t="s">
        <v>523</v>
      </c>
      <c r="AB4" s="3390" t="s">
        <v>524</v>
      </c>
      <c r="AC4" s="3390" t="s">
        <v>525</v>
      </c>
    </row>
    <row r="5" spans="1:29" ht="15">
      <c r="A5" s="515"/>
      <c r="B5" s="516"/>
      <c r="C5" s="3405" t="s">
        <v>2925</v>
      </c>
      <c r="D5" s="3406"/>
      <c r="E5" s="3439" t="s">
        <v>2926</v>
      </c>
      <c r="F5" s="3440"/>
      <c r="G5" s="3405" t="s">
        <v>2927</v>
      </c>
      <c r="H5" s="3406"/>
      <c r="I5" s="3405" t="s">
        <v>2928</v>
      </c>
      <c r="J5" s="3406"/>
      <c r="K5" s="514"/>
      <c r="L5" s="2119"/>
      <c r="M5" s="2120"/>
      <c r="N5" s="2120"/>
      <c r="O5" s="2120"/>
      <c r="P5" s="3517"/>
      <c r="Q5" s="3398"/>
      <c r="R5" s="3403"/>
      <c r="S5" s="3404"/>
      <c r="T5" s="3403"/>
      <c r="U5" s="3404"/>
      <c r="V5" s="3414"/>
      <c r="W5" s="3414"/>
      <c r="X5" s="1554"/>
      <c r="Y5" s="3403"/>
      <c r="Z5" s="3404"/>
      <c r="AA5" s="3391"/>
      <c r="AB5" s="3391"/>
      <c r="AC5" s="3391"/>
    </row>
    <row r="6" spans="1:29" ht="15.75" thickBot="1">
      <c r="A6" s="517"/>
      <c r="B6" s="518"/>
      <c r="C6" s="3410" t="s">
        <v>2929</v>
      </c>
      <c r="D6" s="3411"/>
      <c r="E6" s="3441" t="s">
        <v>2929</v>
      </c>
      <c r="F6" s="3442"/>
      <c r="G6" s="3410" t="s">
        <v>2929</v>
      </c>
      <c r="H6" s="3411"/>
      <c r="I6" s="3410" t="s">
        <v>2929</v>
      </c>
      <c r="J6" s="3411"/>
      <c r="K6" s="514" t="s">
        <v>528</v>
      </c>
      <c r="L6" s="2119"/>
      <c r="M6" s="2120"/>
      <c r="N6" s="2120"/>
      <c r="O6" s="2120"/>
      <c r="P6" s="3518"/>
      <c r="Q6" s="3400"/>
      <c r="R6" s="3403"/>
      <c r="S6" s="3404"/>
      <c r="T6" s="3412"/>
      <c r="U6" s="3413"/>
      <c r="V6" s="3414"/>
      <c r="W6" s="3414"/>
      <c r="X6" s="1554"/>
      <c r="Y6" s="3412"/>
      <c r="Z6" s="3413"/>
      <c r="AA6" s="3392"/>
      <c r="AB6" s="3392"/>
      <c r="AC6" s="3392"/>
    </row>
    <row r="7" spans="1:29" s="1216" customFormat="1" ht="15.75" thickBot="1">
      <c r="A7" s="2868"/>
      <c r="B7" s="2875" t="s">
        <v>529</v>
      </c>
      <c r="C7" s="519">
        <f>'数据-取费表'!B2</f>
        <v>43607</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16" t="s">
        <v>530</v>
      </c>
      <c r="Q7" s="3416"/>
      <c r="R7" s="1555" t="s">
        <v>8</v>
      </c>
      <c r="S7" s="1556">
        <f t="shared" ref="S7:S15" si="0">F7</f>
        <v>0</v>
      </c>
      <c r="T7" s="1555" t="s">
        <v>8</v>
      </c>
      <c r="U7" s="1556">
        <f t="shared" ref="U7:U15" si="1">H7</f>
        <v>0</v>
      </c>
      <c r="V7" s="1555" t="s">
        <v>8</v>
      </c>
      <c r="W7" s="1556">
        <f t="shared" ref="W7:W15" si="2">J7</f>
        <v>0</v>
      </c>
      <c r="X7" s="1557"/>
      <c r="Y7" s="3415"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16" t="s">
        <v>533</v>
      </c>
      <c r="Q8" s="3417"/>
      <c r="R8" s="1555" t="s">
        <v>8</v>
      </c>
      <c r="S8" s="1556">
        <f t="shared" si="0"/>
        <v>0</v>
      </c>
      <c r="T8" s="1555" t="s">
        <v>8</v>
      </c>
      <c r="U8" s="1556">
        <f t="shared" si="1"/>
        <v>0</v>
      </c>
      <c r="V8" s="1555" t="s">
        <v>8</v>
      </c>
      <c r="W8" s="1556">
        <f t="shared" si="2"/>
        <v>0</v>
      </c>
      <c r="X8" s="1557"/>
      <c r="Y8" s="3415" t="s">
        <v>533</v>
      </c>
      <c r="Z8" s="3417"/>
      <c r="AA8" s="1558" t="e">
        <f t="shared" ref="AA8:AA47" si="3">D8/F8</f>
        <v>#DIV/0!</v>
      </c>
      <c r="AB8" s="1558" t="e">
        <f t="shared" ref="AB8:AB47" si="4">D8/H8</f>
        <v>#DIV/0!</v>
      </c>
      <c r="AC8" s="1558" t="e">
        <f t="shared" ref="AC8:AC47" si="5">D8/J8</f>
        <v>#DIV/0!</v>
      </c>
    </row>
    <row r="9" spans="1:29" s="1216" customFormat="1" ht="15">
      <c r="A9" s="2870"/>
      <c r="B9" s="2877" t="s">
        <v>2752</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8" t="s">
        <v>535</v>
      </c>
      <c r="Q9" s="1147" t="str">
        <f t="shared" ref="Q9:Q15" si="6">B9</f>
        <v>用途</v>
      </c>
      <c r="R9" s="1555" t="s">
        <v>8</v>
      </c>
      <c r="S9" s="1556">
        <f t="shared" si="0"/>
        <v>100</v>
      </c>
      <c r="T9" s="1555" t="s">
        <v>8</v>
      </c>
      <c r="U9" s="1556">
        <f t="shared" si="1"/>
        <v>100</v>
      </c>
      <c r="V9" s="1555" t="s">
        <v>8</v>
      </c>
      <c r="W9" s="1556">
        <f t="shared" si="2"/>
        <v>100</v>
      </c>
      <c r="X9" s="1557"/>
      <c r="Y9" s="3363"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8"/>
      <c r="Q10" s="1147" t="str">
        <f t="shared" si="6"/>
        <v>土地使用年限（年）</v>
      </c>
      <c r="R10" s="1555" t="s">
        <v>8</v>
      </c>
      <c r="S10" s="1556">
        <f t="shared" si="0"/>
        <v>100</v>
      </c>
      <c r="T10" s="1555" t="s">
        <v>8</v>
      </c>
      <c r="U10" s="1556">
        <f t="shared" si="1"/>
        <v>100</v>
      </c>
      <c r="V10" s="1555" t="s">
        <v>8</v>
      </c>
      <c r="W10" s="1556">
        <f t="shared" si="2"/>
        <v>100</v>
      </c>
      <c r="X10" s="1557"/>
      <c r="Y10" s="3363"/>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8"/>
      <c r="Q11" s="1147" t="str">
        <f t="shared" si="6"/>
        <v>容积率</v>
      </c>
      <c r="R11" s="1555" t="s">
        <v>8</v>
      </c>
      <c r="S11" s="1556" t="e">
        <f t="shared" si="0"/>
        <v>#N/A</v>
      </c>
      <c r="T11" s="1555" t="s">
        <v>8</v>
      </c>
      <c r="U11" s="1556" t="e">
        <f t="shared" si="1"/>
        <v>#N/A</v>
      </c>
      <c r="V11" s="1555" t="s">
        <v>8</v>
      </c>
      <c r="W11" s="1556" t="e">
        <f t="shared" si="2"/>
        <v>#N/A</v>
      </c>
      <c r="X11" s="1557"/>
      <c r="Y11" s="336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8"/>
      <c r="Q12" s="1147">
        <f t="shared" si="6"/>
        <v>111</v>
      </c>
      <c r="R12" s="1555" t="s">
        <v>8</v>
      </c>
      <c r="S12" s="1556">
        <f t="shared" si="0"/>
        <v>100</v>
      </c>
      <c r="T12" s="1555" t="s">
        <v>8</v>
      </c>
      <c r="U12" s="1556">
        <f t="shared" si="1"/>
        <v>100</v>
      </c>
      <c r="V12" s="1555" t="s">
        <v>8</v>
      </c>
      <c r="W12" s="1556">
        <f t="shared" si="2"/>
        <v>100</v>
      </c>
      <c r="X12" s="1557"/>
      <c r="Y12" s="3363"/>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8"/>
      <c r="Q13" s="1147">
        <f t="shared" si="6"/>
        <v>111</v>
      </c>
      <c r="R13" s="1555" t="s">
        <v>8</v>
      </c>
      <c r="S13" s="1556">
        <f t="shared" si="0"/>
        <v>100</v>
      </c>
      <c r="T13" s="1555" t="s">
        <v>8</v>
      </c>
      <c r="U13" s="1556">
        <f t="shared" si="1"/>
        <v>100</v>
      </c>
      <c r="V13" s="1555" t="s">
        <v>8</v>
      </c>
      <c r="W13" s="1556">
        <f t="shared" si="2"/>
        <v>100</v>
      </c>
      <c r="X13" s="1557"/>
      <c r="Y13" s="3363"/>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8"/>
      <c r="Q14" s="1147">
        <f t="shared" si="6"/>
        <v>111</v>
      </c>
      <c r="R14" s="1555" t="s">
        <v>8</v>
      </c>
      <c r="S14" s="1556">
        <f t="shared" si="0"/>
        <v>100</v>
      </c>
      <c r="T14" s="1555" t="s">
        <v>8</v>
      </c>
      <c r="U14" s="1556">
        <f t="shared" si="1"/>
        <v>100</v>
      </c>
      <c r="V14" s="1555" t="s">
        <v>8</v>
      </c>
      <c r="W14" s="1556">
        <f t="shared" si="2"/>
        <v>100</v>
      </c>
      <c r="X14" s="1557"/>
      <c r="Y14" s="3363"/>
      <c r="Z14" s="1146">
        <f t="shared" si="7"/>
        <v>111</v>
      </c>
      <c r="AA14" s="1558">
        <f t="shared" si="3"/>
        <v>1</v>
      </c>
      <c r="AB14" s="1558">
        <f t="shared" si="4"/>
        <v>1</v>
      </c>
      <c r="AC14" s="1558">
        <f t="shared" si="5"/>
        <v>1</v>
      </c>
    </row>
    <row r="15" spans="1:29" ht="71.25">
      <c r="A15" s="2866" t="s">
        <v>2750</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19" t="s">
        <v>540</v>
      </c>
      <c r="Q15" s="1559" t="str">
        <f t="shared" si="6"/>
        <v>办公集聚程度</v>
      </c>
      <c r="R15" s="1560" t="s">
        <v>8</v>
      </c>
      <c r="S15" s="1561">
        <f t="shared" si="0"/>
        <v>100</v>
      </c>
      <c r="T15" s="1560" t="s">
        <v>8</v>
      </c>
      <c r="U15" s="1561">
        <f t="shared" si="1"/>
        <v>100</v>
      </c>
      <c r="V15" s="1560" t="s">
        <v>8</v>
      </c>
      <c r="W15" s="1561">
        <f t="shared" si="2"/>
        <v>100</v>
      </c>
      <c r="X15" s="1554"/>
      <c r="Y15" s="341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20"/>
      <c r="Q16" s="1559"/>
      <c r="R16" s="1560"/>
      <c r="S16" s="1561"/>
      <c r="T16" s="1560"/>
      <c r="U16" s="1561"/>
      <c r="V16" s="1560"/>
      <c r="W16" s="1561"/>
      <c r="X16" s="1554"/>
      <c r="Y16" s="3420"/>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20"/>
      <c r="Q18" s="1559"/>
      <c r="R18" s="1560"/>
      <c r="S18" s="1561"/>
      <c r="T18" s="1560"/>
      <c r="U18" s="1561"/>
      <c r="V18" s="1560"/>
      <c r="W18" s="1561"/>
      <c r="X18" s="1554"/>
      <c r="Y18" s="3420"/>
      <c r="Z18" s="1562"/>
      <c r="AA18" s="1563">
        <v>1</v>
      </c>
      <c r="AB18" s="1563">
        <v>1</v>
      </c>
      <c r="AC18" s="1563">
        <v>1</v>
      </c>
    </row>
    <row r="19" spans="1:29" ht="42.75">
      <c r="A19" s="532"/>
      <c r="B19" s="2568"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20"/>
      <c r="Q20" s="1559"/>
      <c r="R20" s="1560"/>
      <c r="S20" s="1561"/>
      <c r="T20" s="1560"/>
      <c r="U20" s="1561"/>
      <c r="V20" s="1560"/>
      <c r="W20" s="1561"/>
      <c r="X20" s="1554"/>
      <c r="Y20" s="3420"/>
      <c r="Z20" s="1562"/>
      <c r="AA20" s="1563">
        <v>1</v>
      </c>
      <c r="AB20" s="1563">
        <v>1</v>
      </c>
      <c r="AC20" s="1563">
        <v>1</v>
      </c>
    </row>
    <row r="21" spans="1:29" ht="28.5">
      <c r="A21" s="532"/>
      <c r="B21" s="2556"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20"/>
      <c r="Q21" s="2544" t="str">
        <f>B21</f>
        <v>基础设施水平</v>
      </c>
      <c r="R21" s="1560" t="s">
        <v>8</v>
      </c>
      <c r="S21" s="1561">
        <f>F21</f>
        <v>100</v>
      </c>
      <c r="T21" s="1560" t="s">
        <v>8</v>
      </c>
      <c r="U21" s="1561">
        <f>H21</f>
        <v>100</v>
      </c>
      <c r="V21" s="1560" t="s">
        <v>8</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20"/>
      <c r="Q22" s="2544"/>
      <c r="R22" s="1560"/>
      <c r="S22" s="1561"/>
      <c r="T22" s="1560"/>
      <c r="U22" s="1561"/>
      <c r="V22" s="1560"/>
      <c r="W22" s="1561"/>
      <c r="X22" s="2546"/>
      <c r="Y22" s="3420"/>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20"/>
      <c r="Q23" s="1559" t="str">
        <f>B23</f>
        <v>环境质量</v>
      </c>
      <c r="R23" s="1560" t="s">
        <v>8</v>
      </c>
      <c r="S23" s="1561">
        <f>F23</f>
        <v>100</v>
      </c>
      <c r="T23" s="1560" t="s">
        <v>8</v>
      </c>
      <c r="U23" s="1561">
        <f>H23</f>
        <v>100</v>
      </c>
      <c r="V23" s="1560" t="s">
        <v>8</v>
      </c>
      <c r="W23" s="1561">
        <f>J23</f>
        <v>100</v>
      </c>
      <c r="X23" s="1554"/>
      <c r="Y23" s="342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20"/>
      <c r="Q24" s="1559"/>
      <c r="R24" s="1560"/>
      <c r="S24" s="1561"/>
      <c r="T24" s="1560"/>
      <c r="U24" s="1561"/>
      <c r="V24" s="1560"/>
      <c r="W24" s="1561"/>
      <c r="X24" s="1554"/>
      <c r="Y24" s="342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20"/>
      <c r="Q25" s="1559" t="str">
        <f>B25</f>
        <v>毗邻道路的类型与等级</v>
      </c>
      <c r="R25" s="1560" t="s">
        <v>8</v>
      </c>
      <c r="S25" s="1561">
        <f>F25</f>
        <v>100</v>
      </c>
      <c r="T25" s="1560" t="s">
        <v>8</v>
      </c>
      <c r="U25" s="1561">
        <f>H25</f>
        <v>100</v>
      </c>
      <c r="V25" s="1560" t="s">
        <v>8</v>
      </c>
      <c r="W25" s="1561">
        <f>J25</f>
        <v>100</v>
      </c>
      <c r="X25" s="1554"/>
      <c r="Y25" s="342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20"/>
      <c r="Q26" s="1559"/>
      <c r="R26" s="1560"/>
      <c r="S26" s="1561"/>
      <c r="T26" s="1560"/>
      <c r="U26" s="1561"/>
      <c r="V26" s="1560"/>
      <c r="W26" s="1561"/>
      <c r="X26" s="1554"/>
      <c r="Y26" s="342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20"/>
      <c r="Q27" s="1559" t="str">
        <f t="shared" ref="Q27:Q47" si="11">B27</f>
        <v>楼层</v>
      </c>
      <c r="R27" s="1560" t="s">
        <v>8</v>
      </c>
      <c r="S27" s="1561">
        <f>F27</f>
        <v>100</v>
      </c>
      <c r="T27" s="1560" t="s">
        <v>8</v>
      </c>
      <c r="U27" s="1561">
        <f>H27</f>
        <v>100</v>
      </c>
      <c r="V27" s="1560" t="s">
        <v>8</v>
      </c>
      <c r="W27" s="1561">
        <f>J27</f>
        <v>100</v>
      </c>
      <c r="X27" s="1554"/>
      <c r="Y27" s="342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20"/>
      <c r="Q28" s="1147" t="str">
        <f t="shared" si="11"/>
        <v>朝向</v>
      </c>
      <c r="R28" s="1555" t="s">
        <v>8</v>
      </c>
      <c r="S28" s="1556">
        <f>F28</f>
        <v>100</v>
      </c>
      <c r="T28" s="1555" t="s">
        <v>8</v>
      </c>
      <c r="U28" s="1556">
        <f>H28</f>
        <v>100</v>
      </c>
      <c r="V28" s="1555" t="s">
        <v>8</v>
      </c>
      <c r="W28" s="1556">
        <f>J28</f>
        <v>100</v>
      </c>
      <c r="X28" s="1557"/>
      <c r="Y28" s="342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20"/>
      <c r="Q29" s="1559">
        <f t="shared" si="11"/>
        <v>111</v>
      </c>
      <c r="R29" s="1560" t="s">
        <v>8</v>
      </c>
      <c r="S29" s="1561">
        <f t="shared" ref="S29:S47" si="12">F29</f>
        <v>100</v>
      </c>
      <c r="T29" s="1560" t="s">
        <v>8</v>
      </c>
      <c r="U29" s="1561">
        <f t="shared" ref="U29:U47" si="13">H29</f>
        <v>100</v>
      </c>
      <c r="V29" s="1560" t="s">
        <v>8</v>
      </c>
      <c r="W29" s="1561">
        <f t="shared" ref="W29:W47" si="14">J29</f>
        <v>100</v>
      </c>
      <c r="X29" s="1554"/>
      <c r="Y29" s="342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20"/>
      <c r="Q30" s="1559">
        <f t="shared" si="11"/>
        <v>111</v>
      </c>
      <c r="R30" s="1560" t="s">
        <v>8</v>
      </c>
      <c r="S30" s="1561">
        <f t="shared" si="12"/>
        <v>100</v>
      </c>
      <c r="T30" s="1560" t="s">
        <v>8</v>
      </c>
      <c r="U30" s="1561">
        <f t="shared" si="13"/>
        <v>100</v>
      </c>
      <c r="V30" s="1560" t="s">
        <v>8</v>
      </c>
      <c r="W30" s="1561">
        <f t="shared" si="14"/>
        <v>100</v>
      </c>
      <c r="X30" s="1554"/>
      <c r="Y30" s="342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20"/>
      <c r="Q31" s="1559">
        <f t="shared" si="11"/>
        <v>111</v>
      </c>
      <c r="R31" s="1560" t="s">
        <v>8</v>
      </c>
      <c r="S31" s="1561">
        <f t="shared" si="12"/>
        <v>100</v>
      </c>
      <c r="T31" s="1560" t="s">
        <v>8</v>
      </c>
      <c r="U31" s="1561">
        <f t="shared" si="13"/>
        <v>100</v>
      </c>
      <c r="V31" s="1560" t="s">
        <v>8</v>
      </c>
      <c r="W31" s="1561">
        <f t="shared" si="14"/>
        <v>100</v>
      </c>
      <c r="X31" s="1554"/>
      <c r="Y31" s="342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20"/>
      <c r="Q32" s="1559">
        <f t="shared" si="11"/>
        <v>111</v>
      </c>
      <c r="R32" s="1560" t="s">
        <v>8</v>
      </c>
      <c r="S32" s="1561">
        <f t="shared" si="12"/>
        <v>100</v>
      </c>
      <c r="T32" s="1560" t="s">
        <v>8</v>
      </c>
      <c r="U32" s="1561">
        <f t="shared" si="13"/>
        <v>100</v>
      </c>
      <c r="V32" s="1560" t="s">
        <v>8</v>
      </c>
      <c r="W32" s="1561">
        <f t="shared" si="14"/>
        <v>100</v>
      </c>
      <c r="X32" s="1554"/>
      <c r="Y32" s="3420"/>
      <c r="Z32" s="1562">
        <f t="shared" si="15"/>
        <v>111</v>
      </c>
      <c r="AA32" s="1563">
        <f t="shared" si="3"/>
        <v>1</v>
      </c>
      <c r="AB32" s="1563">
        <f t="shared" si="4"/>
        <v>1</v>
      </c>
      <c r="AC32" s="1563">
        <f t="shared" si="5"/>
        <v>1</v>
      </c>
    </row>
    <row r="33" spans="1:29" ht="15">
      <c r="A33" s="2863" t="s">
        <v>2751</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25" t="s">
        <v>550</v>
      </c>
      <c r="Q33" s="1559" t="str">
        <f t="shared" si="11"/>
        <v>建筑类型</v>
      </c>
      <c r="R33" s="1560" t="s">
        <v>8</v>
      </c>
      <c r="S33" s="1561">
        <f t="shared" si="12"/>
        <v>100</v>
      </c>
      <c r="T33" s="1560" t="s">
        <v>8</v>
      </c>
      <c r="U33" s="1561">
        <f t="shared" si="13"/>
        <v>100</v>
      </c>
      <c r="V33" s="1560" t="s">
        <v>8</v>
      </c>
      <c r="W33" s="1561">
        <f t="shared" si="14"/>
        <v>100</v>
      </c>
      <c r="X33" s="1554"/>
      <c r="Y33" s="3426"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26"/>
      <c r="Q34" s="1591" t="str">
        <f t="shared" si="11"/>
        <v>项目建筑规模</v>
      </c>
      <c r="R34" s="1564" t="s">
        <v>8</v>
      </c>
      <c r="S34" s="1565" t="e">
        <f t="shared" si="12"/>
        <v>#N/A</v>
      </c>
      <c r="T34" s="1564" t="s">
        <v>8</v>
      </c>
      <c r="U34" s="1565" t="e">
        <f t="shared" si="13"/>
        <v>#N/A</v>
      </c>
      <c r="V34" s="1564" t="s">
        <v>8</v>
      </c>
      <c r="W34" s="1565" t="e">
        <f t="shared" si="14"/>
        <v>#N/A</v>
      </c>
      <c r="X34" s="1566"/>
      <c r="Y34" s="3426"/>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26"/>
      <c r="Q35" s="1559" t="str">
        <f t="shared" si="11"/>
        <v>建筑结构</v>
      </c>
      <c r="R35" s="1560" t="s">
        <v>8</v>
      </c>
      <c r="S35" s="1561">
        <f t="shared" si="12"/>
        <v>100</v>
      </c>
      <c r="T35" s="1560" t="s">
        <v>8</v>
      </c>
      <c r="U35" s="1561">
        <f t="shared" si="13"/>
        <v>100</v>
      </c>
      <c r="V35" s="1560" t="s">
        <v>8</v>
      </c>
      <c r="W35" s="1561">
        <f t="shared" si="14"/>
        <v>100</v>
      </c>
      <c r="X35" s="1554"/>
      <c r="Y35" s="3426"/>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26"/>
      <c r="Q36" s="1559" t="str">
        <f t="shared" si="11"/>
        <v>公共部分装修</v>
      </c>
      <c r="R36" s="1560" t="s">
        <v>8</v>
      </c>
      <c r="S36" s="1561">
        <f t="shared" si="12"/>
        <v>100</v>
      </c>
      <c r="T36" s="1560" t="s">
        <v>8</v>
      </c>
      <c r="U36" s="1561">
        <f t="shared" si="13"/>
        <v>100</v>
      </c>
      <c r="V36" s="1560" t="s">
        <v>8</v>
      </c>
      <c r="W36" s="1561">
        <f t="shared" si="14"/>
        <v>100</v>
      </c>
      <c r="X36" s="1554"/>
      <c r="Y36" s="3426"/>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26"/>
      <c r="Q37" s="1559" t="str">
        <f t="shared" si="11"/>
        <v>成新度</v>
      </c>
      <c r="R37" s="1560" t="s">
        <v>8</v>
      </c>
      <c r="S37" s="1561" t="e">
        <f t="shared" si="12"/>
        <v>#N/A</v>
      </c>
      <c r="T37" s="1560" t="s">
        <v>8</v>
      </c>
      <c r="U37" s="1561" t="e">
        <f t="shared" si="13"/>
        <v>#N/A</v>
      </c>
      <c r="V37" s="1560" t="s">
        <v>8</v>
      </c>
      <c r="W37" s="1561" t="e">
        <f t="shared" si="14"/>
        <v>#N/A</v>
      </c>
      <c r="X37" s="1554"/>
      <c r="Y37" s="3426"/>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26"/>
      <c r="Q38" s="1147" t="str">
        <f t="shared" si="11"/>
        <v>写字楼等级</v>
      </c>
      <c r="R38" s="1555" t="s">
        <v>8</v>
      </c>
      <c r="S38" s="1556">
        <f t="shared" si="12"/>
        <v>100</v>
      </c>
      <c r="T38" s="1555" t="s">
        <v>8</v>
      </c>
      <c r="U38" s="1556">
        <f t="shared" si="13"/>
        <v>100</v>
      </c>
      <c r="V38" s="1555" t="s">
        <v>8</v>
      </c>
      <c r="W38" s="1556">
        <f t="shared" si="14"/>
        <v>100</v>
      </c>
      <c r="X38" s="1557"/>
      <c r="Y38" s="3426"/>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26" t="s">
        <v>550</v>
      </c>
      <c r="Q39" s="1559" t="str">
        <f t="shared" si="11"/>
        <v>物业管理</v>
      </c>
      <c r="R39" s="1560" t="s">
        <v>8</v>
      </c>
      <c r="S39" s="1561">
        <f t="shared" si="12"/>
        <v>100</v>
      </c>
      <c r="T39" s="1560" t="s">
        <v>8</v>
      </c>
      <c r="U39" s="1561">
        <f t="shared" si="13"/>
        <v>100</v>
      </c>
      <c r="V39" s="1560" t="s">
        <v>8</v>
      </c>
      <c r="W39" s="1561">
        <f t="shared" si="14"/>
        <v>100</v>
      </c>
      <c r="X39" s="1554"/>
      <c r="Y39" s="3426" t="s">
        <v>550</v>
      </c>
      <c r="Z39" s="1562" t="str">
        <f t="shared" si="15"/>
        <v>物业管理</v>
      </c>
      <c r="AA39" s="1563">
        <f t="shared" si="3"/>
        <v>1</v>
      </c>
      <c r="AB39" s="1563">
        <f t="shared" si="4"/>
        <v>1</v>
      </c>
      <c r="AC39" s="1563">
        <f t="shared" si="5"/>
        <v>1</v>
      </c>
    </row>
    <row r="40" spans="1:29" ht="15">
      <c r="A40" s="594"/>
      <c r="B40" s="1881"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26"/>
      <c r="Q40" s="1559" t="str">
        <f t="shared" si="11"/>
        <v>市政基础设施</v>
      </c>
      <c r="R40" s="1560" t="s">
        <v>8</v>
      </c>
      <c r="S40" s="1561">
        <f t="shared" si="12"/>
        <v>100</v>
      </c>
      <c r="T40" s="1560" t="s">
        <v>8</v>
      </c>
      <c r="U40" s="1561">
        <f t="shared" si="13"/>
        <v>100</v>
      </c>
      <c r="V40" s="1560" t="s">
        <v>8</v>
      </c>
      <c r="W40" s="1561">
        <f t="shared" si="14"/>
        <v>100</v>
      </c>
      <c r="X40" s="1554"/>
      <c r="Y40" s="3426"/>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26"/>
      <c r="Q41" s="1559" t="str">
        <f t="shared" si="11"/>
        <v>层高</v>
      </c>
      <c r="R41" s="1560" t="s">
        <v>8</v>
      </c>
      <c r="S41" s="1561">
        <f t="shared" si="12"/>
        <v>100</v>
      </c>
      <c r="T41" s="1560" t="s">
        <v>8</v>
      </c>
      <c r="U41" s="1561">
        <f t="shared" si="13"/>
        <v>100</v>
      </c>
      <c r="V41" s="1560" t="s">
        <v>8</v>
      </c>
      <c r="W41" s="1561">
        <f t="shared" si="14"/>
        <v>100</v>
      </c>
      <c r="X41" s="1554"/>
      <c r="Y41" s="3426"/>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26"/>
      <c r="Q42" s="1591" t="str">
        <f t="shared" si="11"/>
        <v>单套建筑面积</v>
      </c>
      <c r="R42" s="1564" t="s">
        <v>8</v>
      </c>
      <c r="S42" s="1565">
        <f t="shared" si="12"/>
        <v>100</v>
      </c>
      <c r="T42" s="1564" t="s">
        <v>8</v>
      </c>
      <c r="U42" s="1565">
        <f t="shared" si="13"/>
        <v>100</v>
      </c>
      <c r="V42" s="1564" t="s">
        <v>8</v>
      </c>
      <c r="W42" s="1565">
        <f t="shared" si="14"/>
        <v>100</v>
      </c>
      <c r="X42" s="1566"/>
      <c r="Y42" s="3426"/>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26"/>
      <c r="Q43" s="1559" t="str">
        <f t="shared" si="11"/>
        <v>内部装修</v>
      </c>
      <c r="R43" s="1560" t="s">
        <v>8</v>
      </c>
      <c r="S43" s="1561">
        <f t="shared" si="12"/>
        <v>100</v>
      </c>
      <c r="T43" s="1560" t="s">
        <v>8</v>
      </c>
      <c r="U43" s="1561">
        <f t="shared" si="13"/>
        <v>100</v>
      </c>
      <c r="V43" s="1560" t="s">
        <v>8</v>
      </c>
      <c r="W43" s="1561">
        <f t="shared" si="14"/>
        <v>100</v>
      </c>
      <c r="X43" s="1554"/>
      <c r="Y43" s="3426"/>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26"/>
      <c r="Q44" s="1559" t="str">
        <f t="shared" si="11"/>
        <v>内部装修维护情况</v>
      </c>
      <c r="R44" s="1560" t="s">
        <v>8</v>
      </c>
      <c r="S44" s="1561">
        <f t="shared" si="12"/>
        <v>100</v>
      </c>
      <c r="T44" s="1560" t="s">
        <v>8</v>
      </c>
      <c r="U44" s="1561">
        <f t="shared" si="13"/>
        <v>100</v>
      </c>
      <c r="V44" s="1560" t="s">
        <v>8</v>
      </c>
      <c r="W44" s="1561">
        <f t="shared" si="14"/>
        <v>100</v>
      </c>
      <c r="X44" s="1554"/>
      <c r="Y44" s="3426"/>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26"/>
      <c r="Q45" s="1147">
        <f t="shared" si="11"/>
        <v>111</v>
      </c>
      <c r="R45" s="1555" t="s">
        <v>8</v>
      </c>
      <c r="S45" s="1556">
        <f t="shared" si="12"/>
        <v>100</v>
      </c>
      <c r="T45" s="1555" t="s">
        <v>8</v>
      </c>
      <c r="U45" s="1556">
        <f t="shared" si="13"/>
        <v>100</v>
      </c>
      <c r="V45" s="1555" t="s">
        <v>8</v>
      </c>
      <c r="W45" s="1556">
        <f t="shared" si="14"/>
        <v>100</v>
      </c>
      <c r="X45" s="1557"/>
      <c r="Y45" s="3426"/>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26"/>
      <c r="Q46" s="1559">
        <f t="shared" si="11"/>
        <v>111</v>
      </c>
      <c r="R46" s="1560" t="s">
        <v>8</v>
      </c>
      <c r="S46" s="1561">
        <f t="shared" si="12"/>
        <v>100</v>
      </c>
      <c r="T46" s="1560" t="s">
        <v>8</v>
      </c>
      <c r="U46" s="1561">
        <f t="shared" si="13"/>
        <v>100</v>
      </c>
      <c r="V46" s="1560" t="s">
        <v>8</v>
      </c>
      <c r="W46" s="1561">
        <f t="shared" si="14"/>
        <v>100</v>
      </c>
      <c r="X46" s="1554"/>
      <c r="Y46" s="3426"/>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15"/>
      <c r="Q47" s="1559">
        <f t="shared" si="11"/>
        <v>111</v>
      </c>
      <c r="R47" s="1560" t="s">
        <v>8</v>
      </c>
      <c r="S47" s="1561">
        <f t="shared" si="12"/>
        <v>100</v>
      </c>
      <c r="T47" s="1560" t="s">
        <v>8</v>
      </c>
      <c r="U47" s="1561">
        <f t="shared" si="13"/>
        <v>100</v>
      </c>
      <c r="V47" s="1560" t="s">
        <v>8</v>
      </c>
      <c r="W47" s="1561">
        <f t="shared" si="14"/>
        <v>100</v>
      </c>
      <c r="X47" s="1554"/>
      <c r="Y47" s="3515"/>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23" t="str">
        <f>A48</f>
        <v>成交单价（元/平方米）</v>
      </c>
      <c r="Q48" s="3418"/>
      <c r="R48" s="3514">
        <f>E48</f>
        <v>0</v>
      </c>
      <c r="S48" s="3514"/>
      <c r="T48" s="3514">
        <f>G48</f>
        <v>0</v>
      </c>
      <c r="U48" s="3514"/>
      <c r="V48" s="3514">
        <f>I48</f>
        <v>0</v>
      </c>
      <c r="W48" s="3514"/>
      <c r="X48" s="1546"/>
      <c r="Y48" s="1568"/>
      <c r="Z48" s="1546"/>
      <c r="AA48" s="1546"/>
      <c r="AB48" s="1546"/>
      <c r="AC48" s="1546"/>
    </row>
    <row r="49" spans="1:29" ht="15.75" thickBot="1">
      <c r="A49" s="615" t="s">
        <v>2756</v>
      </c>
      <c r="B49" s="888"/>
      <c r="C49" s="2598" t="e">
        <f>R50</f>
        <v>#DIV/0!</v>
      </c>
      <c r="D49" s="2599"/>
      <c r="E49" s="2600" t="e">
        <f>R49</f>
        <v>#DIV/0!</v>
      </c>
      <c r="F49" s="2600"/>
      <c r="G49" s="2598" t="e">
        <f>T49</f>
        <v>#DIV/0!</v>
      </c>
      <c r="H49" s="2599"/>
      <c r="I49" s="2600" t="e">
        <f>V49</f>
        <v>#DIV/0!</v>
      </c>
      <c r="J49" s="2599"/>
      <c r="K49" s="1598"/>
      <c r="L49" s="2130"/>
      <c r="M49" s="2120"/>
      <c r="N49" s="2120"/>
      <c r="O49" s="2120"/>
      <c r="P49" s="3423" t="str">
        <f>A49</f>
        <v>比较价格（元/平方米）</v>
      </c>
      <c r="Q49" s="3418"/>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46"/>
      <c r="Y49" s="1546"/>
      <c r="Z49" s="1546"/>
      <c r="AA49" s="1546"/>
      <c r="AB49" s="1546"/>
      <c r="AC49" s="1546"/>
    </row>
    <row r="50" spans="1:29" ht="15.75" thickBot="1">
      <c r="A50" s="621" t="s">
        <v>2931</v>
      </c>
      <c r="B50" s="622"/>
      <c r="C50" s="2601" t="e">
        <f>R50</f>
        <v>#DIV/0!</v>
      </c>
      <c r="D50" s="2601"/>
      <c r="E50" s="2601"/>
      <c r="F50" s="2601"/>
      <c r="G50" s="2601"/>
      <c r="H50" s="2601"/>
      <c r="I50" s="2601"/>
      <c r="J50" s="2601"/>
      <c r="K50" s="1599"/>
      <c r="L50" s="2130"/>
      <c r="M50" s="2120"/>
      <c r="N50" s="2120"/>
      <c r="O50" s="2120"/>
      <c r="P50" s="3519" t="str">
        <f>A50</f>
        <v>估价对象XX用房的比较价格（楼面单价，元/平方米）</v>
      </c>
      <c r="Q50" s="3423"/>
      <c r="R50" s="3513" t="e">
        <f>IF(F1="售价",ROUND(AVERAGE(R49:V49),0),ROUND(AVERAGE(R49:V49),1))</f>
        <v>#DIV/0!</v>
      </c>
      <c r="S50" s="3513"/>
      <c r="T50" s="3513"/>
      <c r="U50" s="3513"/>
      <c r="V50" s="3513"/>
      <c r="W50" s="3513"/>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2019-5</v>
      </c>
      <c r="D59" s="2760">
        <f>EDATE(C59,-1)</f>
        <v>43556</v>
      </c>
      <c r="E59" s="2760">
        <f t="shared" ref="E59:O59" si="16">EDATE(D59,-1)</f>
        <v>43525</v>
      </c>
      <c r="F59" s="2760">
        <f t="shared" si="16"/>
        <v>43497</v>
      </c>
      <c r="G59" s="2760">
        <f t="shared" si="16"/>
        <v>43466</v>
      </c>
      <c r="H59" s="2760">
        <f t="shared" si="16"/>
        <v>43435</v>
      </c>
      <c r="I59" s="2760">
        <f t="shared" si="16"/>
        <v>43405</v>
      </c>
      <c r="J59" s="2760">
        <f t="shared" si="16"/>
        <v>43374</v>
      </c>
      <c r="K59" s="2760">
        <f t="shared" si="16"/>
        <v>43344</v>
      </c>
      <c r="L59" s="2760">
        <f t="shared" si="16"/>
        <v>43313</v>
      </c>
      <c r="M59" s="2760">
        <f t="shared" si="16"/>
        <v>43282</v>
      </c>
      <c r="N59" s="2760">
        <f t="shared" si="16"/>
        <v>43252</v>
      </c>
      <c r="O59" s="2760">
        <f t="shared" si="16"/>
        <v>43221</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2553</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2554</v>
      </c>
      <c r="C83" s="2563" t="s">
        <v>2555</v>
      </c>
      <c r="D83" s="2563" t="s">
        <v>2556</v>
      </c>
      <c r="E83" s="2563" t="s">
        <v>2557</v>
      </c>
      <c r="F83" s="2563" t="s">
        <v>2558</v>
      </c>
      <c r="G83" s="2563" t="s">
        <v>2559</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2552</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93" t="s">
        <v>522</v>
      </c>
      <c r="D4" s="3394"/>
      <c r="E4" s="3437" t="s">
        <v>523</v>
      </c>
      <c r="F4" s="3438"/>
      <c r="G4" s="3393" t="s">
        <v>524</v>
      </c>
      <c r="H4" s="3394"/>
      <c r="I4" s="3393" t="s">
        <v>525</v>
      </c>
      <c r="J4" s="3394"/>
      <c r="K4" s="514" t="s">
        <v>526</v>
      </c>
      <c r="L4" s="2119"/>
      <c r="M4" s="2120"/>
      <c r="N4" s="2120"/>
      <c r="O4" s="2120"/>
      <c r="P4" s="3395" t="s">
        <v>527</v>
      </c>
      <c r="Q4" s="3396"/>
      <c r="R4" s="3401" t="s">
        <v>523</v>
      </c>
      <c r="S4" s="3402"/>
      <c r="T4" s="3401" t="s">
        <v>524</v>
      </c>
      <c r="U4" s="3402"/>
      <c r="V4" s="3414" t="s">
        <v>525</v>
      </c>
      <c r="W4" s="3414"/>
      <c r="X4" s="1554"/>
      <c r="Y4" s="3401" t="s">
        <v>527</v>
      </c>
      <c r="Z4" s="3402"/>
      <c r="AA4" s="3390" t="s">
        <v>523</v>
      </c>
      <c r="AB4" s="3391" t="s">
        <v>524</v>
      </c>
      <c r="AC4" s="3390" t="s">
        <v>525</v>
      </c>
    </row>
    <row r="5" spans="1:29" ht="15">
      <c r="A5" s="515"/>
      <c r="B5" s="516"/>
      <c r="C5" s="3405" t="s">
        <v>2925</v>
      </c>
      <c r="D5" s="3406"/>
      <c r="E5" s="3439" t="s">
        <v>2926</v>
      </c>
      <c r="F5" s="3440"/>
      <c r="G5" s="3405" t="s">
        <v>2927</v>
      </c>
      <c r="H5" s="3406"/>
      <c r="I5" s="3405" t="s">
        <v>2928</v>
      </c>
      <c r="J5" s="3406"/>
      <c r="K5" s="514"/>
      <c r="L5" s="2119"/>
      <c r="M5" s="2120"/>
      <c r="N5" s="2120"/>
      <c r="O5" s="2120"/>
      <c r="P5" s="3397"/>
      <c r="Q5" s="3398"/>
      <c r="R5" s="3403"/>
      <c r="S5" s="3404"/>
      <c r="T5" s="3403"/>
      <c r="U5" s="3404"/>
      <c r="V5" s="3414"/>
      <c r="W5" s="3414"/>
      <c r="X5" s="1554"/>
      <c r="Y5" s="3403"/>
      <c r="Z5" s="3404"/>
      <c r="AA5" s="3391"/>
      <c r="AB5" s="3391"/>
      <c r="AC5" s="3391"/>
    </row>
    <row r="6" spans="1:29" ht="15.75" thickBot="1">
      <c r="A6" s="517"/>
      <c r="B6" s="518"/>
      <c r="C6" s="3410" t="s">
        <v>2929</v>
      </c>
      <c r="D6" s="3411"/>
      <c r="E6" s="3441" t="s">
        <v>2929</v>
      </c>
      <c r="F6" s="3442"/>
      <c r="G6" s="3410" t="s">
        <v>2929</v>
      </c>
      <c r="H6" s="3411"/>
      <c r="I6" s="3410" t="s">
        <v>2929</v>
      </c>
      <c r="J6" s="3411"/>
      <c r="K6" s="514" t="s">
        <v>528</v>
      </c>
      <c r="L6" s="2119"/>
      <c r="M6" s="2120"/>
      <c r="N6" s="2120"/>
      <c r="O6" s="2120"/>
      <c r="P6" s="3399"/>
      <c r="Q6" s="3400"/>
      <c r="R6" s="3403"/>
      <c r="S6" s="3404"/>
      <c r="T6" s="3412"/>
      <c r="U6" s="3413"/>
      <c r="V6" s="3414"/>
      <c r="W6" s="3414"/>
      <c r="X6" s="1554"/>
      <c r="Y6" s="3412"/>
      <c r="Z6" s="3413"/>
      <c r="AA6" s="3392"/>
      <c r="AB6" s="3392"/>
      <c r="AC6" s="3392"/>
    </row>
    <row r="7" spans="1:29" s="1216" customFormat="1" ht="15.75" thickBot="1">
      <c r="A7" s="2868"/>
      <c r="B7" s="2875" t="s">
        <v>529</v>
      </c>
      <c r="C7" s="519">
        <f>'数据-取费表'!B2</f>
        <v>43607</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15" t="s">
        <v>530</v>
      </c>
      <c r="Q7" s="3416"/>
      <c r="R7" s="1555" t="s">
        <v>8</v>
      </c>
      <c r="S7" s="1556">
        <f t="shared" ref="S7:S15" si="0">F7</f>
        <v>0</v>
      </c>
      <c r="T7" s="1555" t="s">
        <v>8</v>
      </c>
      <c r="U7" s="1556">
        <f t="shared" ref="U7:U15" si="1">H7</f>
        <v>0</v>
      </c>
      <c r="V7" s="1555" t="s">
        <v>8</v>
      </c>
      <c r="W7" s="1556">
        <f t="shared" ref="W7:W15" si="2">J7</f>
        <v>0</v>
      </c>
      <c r="X7" s="1557"/>
      <c r="Y7" s="3415"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15" t="s">
        <v>533</v>
      </c>
      <c r="Q8" s="3417"/>
      <c r="R8" s="1555" t="s">
        <v>8</v>
      </c>
      <c r="S8" s="1556">
        <f t="shared" si="0"/>
        <v>0</v>
      </c>
      <c r="T8" s="1555" t="s">
        <v>8</v>
      </c>
      <c r="U8" s="1556">
        <f t="shared" si="1"/>
        <v>0</v>
      </c>
      <c r="V8" s="1555" t="s">
        <v>8</v>
      </c>
      <c r="W8" s="1556">
        <f t="shared" si="2"/>
        <v>0</v>
      </c>
      <c r="X8" s="1557"/>
      <c r="Y8" s="3415" t="s">
        <v>533</v>
      </c>
      <c r="Z8" s="3417"/>
      <c r="AA8" s="1558" t="e">
        <f t="shared" ref="AA8:AA40" si="3">D8/F8</f>
        <v>#DIV/0!</v>
      </c>
      <c r="AB8" s="1558" t="e">
        <f t="shared" ref="AB8:AB40" si="4">D8/H8</f>
        <v>#DIV/0!</v>
      </c>
      <c r="AC8" s="1558" t="e">
        <f t="shared" ref="AC8:AC40" si="5">D8/J8</f>
        <v>#DIV/0!</v>
      </c>
    </row>
    <row r="9" spans="1:29" s="1216" customFormat="1" ht="15">
      <c r="A9" s="2870"/>
      <c r="B9" s="2877" t="s">
        <v>2752</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8" t="s">
        <v>535</v>
      </c>
      <c r="Q9" s="1147" t="str">
        <f t="shared" ref="Q9:Q15" si="6">B9</f>
        <v>用途</v>
      </c>
      <c r="R9" s="1555" t="s">
        <v>8</v>
      </c>
      <c r="S9" s="1556">
        <f t="shared" si="0"/>
        <v>100</v>
      </c>
      <c r="T9" s="1555" t="s">
        <v>8</v>
      </c>
      <c r="U9" s="1556">
        <f t="shared" si="1"/>
        <v>100</v>
      </c>
      <c r="V9" s="1555" t="s">
        <v>8</v>
      </c>
      <c r="W9" s="1556">
        <f t="shared" si="2"/>
        <v>100</v>
      </c>
      <c r="X9" s="1557"/>
      <c r="Y9" s="3363" t="s">
        <v>536</v>
      </c>
      <c r="Z9" s="1146" t="str">
        <f t="shared" ref="Z9:Z15" si="7">Q9</f>
        <v>用途</v>
      </c>
      <c r="AA9" s="1558">
        <f t="shared" si="3"/>
        <v>1</v>
      </c>
      <c r="AB9" s="1558">
        <f t="shared" si="4"/>
        <v>1</v>
      </c>
      <c r="AC9" s="1558">
        <f t="shared" si="5"/>
        <v>1</v>
      </c>
    </row>
    <row r="10" spans="1:29" s="1334" customFormat="1" ht="27">
      <c r="A10" s="2871"/>
      <c r="B10" s="2876" t="s">
        <v>2753</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8"/>
      <c r="Q10" s="1147" t="str">
        <f t="shared" si="6"/>
        <v>土地使用年限（年）</v>
      </c>
      <c r="R10" s="1555" t="s">
        <v>8</v>
      </c>
      <c r="S10" s="1556">
        <f t="shared" si="0"/>
        <v>100</v>
      </c>
      <c r="T10" s="1555" t="s">
        <v>8</v>
      </c>
      <c r="U10" s="1556">
        <f t="shared" si="1"/>
        <v>100</v>
      </c>
      <c r="V10" s="1555" t="s">
        <v>8</v>
      </c>
      <c r="W10" s="1556">
        <f t="shared" si="2"/>
        <v>100</v>
      </c>
      <c r="X10" s="1557"/>
      <c r="Y10" s="3363"/>
      <c r="Z10" s="1146" t="str">
        <f t="shared" si="7"/>
        <v>土地使用年限（年）</v>
      </c>
      <c r="AA10" s="1558">
        <f t="shared" si="3"/>
        <v>1</v>
      </c>
      <c r="AB10" s="1558">
        <f t="shared" si="4"/>
        <v>1</v>
      </c>
      <c r="AC10" s="1558">
        <f t="shared" si="5"/>
        <v>1</v>
      </c>
    </row>
    <row r="11" spans="1:29" ht="15">
      <c r="A11" s="2872"/>
      <c r="B11" s="2876" t="s">
        <v>2754</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8"/>
      <c r="Q11" s="1147" t="str">
        <f t="shared" si="6"/>
        <v>容积率</v>
      </c>
      <c r="R11" s="1555" t="s">
        <v>8</v>
      </c>
      <c r="S11" s="1556" t="e">
        <f t="shared" si="0"/>
        <v>#N/A</v>
      </c>
      <c r="T11" s="1555" t="s">
        <v>8</v>
      </c>
      <c r="U11" s="1556" t="e">
        <f t="shared" si="1"/>
        <v>#N/A</v>
      </c>
      <c r="V11" s="1555" t="s">
        <v>8</v>
      </c>
      <c r="W11" s="1556" t="e">
        <f t="shared" si="2"/>
        <v>#N/A</v>
      </c>
      <c r="X11" s="1557"/>
      <c r="Y11" s="3363"/>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8"/>
      <c r="Q12" s="1147">
        <f t="shared" si="6"/>
        <v>111</v>
      </c>
      <c r="R12" s="1555" t="s">
        <v>8</v>
      </c>
      <c r="S12" s="1556">
        <f t="shared" si="0"/>
        <v>100</v>
      </c>
      <c r="T12" s="1555" t="s">
        <v>8</v>
      </c>
      <c r="U12" s="1556">
        <f t="shared" si="1"/>
        <v>100</v>
      </c>
      <c r="V12" s="1555" t="s">
        <v>8</v>
      </c>
      <c r="W12" s="1556">
        <f t="shared" si="2"/>
        <v>100</v>
      </c>
      <c r="X12" s="1557"/>
      <c r="Y12" s="3363"/>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8"/>
      <c r="Q13" s="1147">
        <f t="shared" si="6"/>
        <v>111</v>
      </c>
      <c r="R13" s="1555" t="s">
        <v>8</v>
      </c>
      <c r="S13" s="1556">
        <f t="shared" si="0"/>
        <v>100</v>
      </c>
      <c r="T13" s="1555" t="s">
        <v>8</v>
      </c>
      <c r="U13" s="1556">
        <f t="shared" si="1"/>
        <v>100</v>
      </c>
      <c r="V13" s="1555" t="s">
        <v>8</v>
      </c>
      <c r="W13" s="1556">
        <f t="shared" si="2"/>
        <v>100</v>
      </c>
      <c r="X13" s="1557"/>
      <c r="Y13" s="3363"/>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8"/>
      <c r="Q14" s="1147">
        <f t="shared" si="6"/>
        <v>111</v>
      </c>
      <c r="R14" s="1555" t="s">
        <v>8</v>
      </c>
      <c r="S14" s="1556">
        <f t="shared" si="0"/>
        <v>100</v>
      </c>
      <c r="T14" s="1555" t="s">
        <v>8</v>
      </c>
      <c r="U14" s="1556">
        <f t="shared" si="1"/>
        <v>100</v>
      </c>
      <c r="V14" s="1555" t="s">
        <v>8</v>
      </c>
      <c r="W14" s="1556">
        <f t="shared" si="2"/>
        <v>100</v>
      </c>
      <c r="X14" s="1557"/>
      <c r="Y14" s="3363"/>
      <c r="Z14" s="1146">
        <f t="shared" si="7"/>
        <v>111</v>
      </c>
      <c r="AA14" s="1558">
        <f t="shared" si="3"/>
        <v>1</v>
      </c>
      <c r="AB14" s="1558">
        <f t="shared" si="4"/>
        <v>1</v>
      </c>
      <c r="AC14" s="1558">
        <f t="shared" si="5"/>
        <v>1</v>
      </c>
    </row>
    <row r="15" spans="1:29" ht="57">
      <c r="A15" s="2866" t="s">
        <v>2750</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19" t="s">
        <v>540</v>
      </c>
      <c r="Q15" s="1559" t="str">
        <f t="shared" si="6"/>
        <v>产业集聚程度</v>
      </c>
      <c r="R15" s="1560" t="s">
        <v>8</v>
      </c>
      <c r="S15" s="1561">
        <f t="shared" si="0"/>
        <v>100</v>
      </c>
      <c r="T15" s="1560" t="s">
        <v>8</v>
      </c>
      <c r="U15" s="1561">
        <f t="shared" si="1"/>
        <v>100</v>
      </c>
      <c r="V15" s="1560" t="s">
        <v>8</v>
      </c>
      <c r="W15" s="1561">
        <f t="shared" si="2"/>
        <v>100</v>
      </c>
      <c r="X15" s="1554"/>
      <c r="Y15" s="341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20"/>
      <c r="Q16" s="1559"/>
      <c r="R16" s="1560"/>
      <c r="S16" s="1561"/>
      <c r="T16" s="1560"/>
      <c r="U16" s="1561"/>
      <c r="V16" s="1560"/>
      <c r="W16" s="1561"/>
      <c r="X16" s="1554"/>
      <c r="Y16" s="342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20"/>
      <c r="Q17" s="1559" t="str">
        <f>B17</f>
        <v>交通便捷度</v>
      </c>
      <c r="R17" s="1560" t="s">
        <v>8</v>
      </c>
      <c r="S17" s="1561">
        <f>F17</f>
        <v>100</v>
      </c>
      <c r="T17" s="1560" t="s">
        <v>8</v>
      </c>
      <c r="U17" s="1561">
        <f>H17</f>
        <v>100</v>
      </c>
      <c r="V17" s="1560" t="s">
        <v>8</v>
      </c>
      <c r="W17" s="1561">
        <f>J17</f>
        <v>100</v>
      </c>
      <c r="X17" s="1554"/>
      <c r="Y17" s="342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20"/>
      <c r="Q18" s="1559"/>
      <c r="R18" s="1560"/>
      <c r="S18" s="1561"/>
      <c r="T18" s="1560"/>
      <c r="U18" s="1561"/>
      <c r="V18" s="1560"/>
      <c r="W18" s="1561"/>
      <c r="X18" s="1554"/>
      <c r="Y18" s="3420"/>
      <c r="Z18" s="1562"/>
      <c r="AA18" s="1563">
        <v>1</v>
      </c>
      <c r="AB18" s="1563">
        <v>1</v>
      </c>
      <c r="AC18" s="1563">
        <v>1</v>
      </c>
    </row>
    <row r="19" spans="1:29" ht="42.75">
      <c r="A19" s="532"/>
      <c r="B19" s="2568"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20"/>
      <c r="Q19" s="1559" t="str">
        <f>B19</f>
        <v>公共配套设施</v>
      </c>
      <c r="R19" s="1560" t="s">
        <v>8</v>
      </c>
      <c r="S19" s="1561">
        <f>F19</f>
        <v>100</v>
      </c>
      <c r="T19" s="1560" t="s">
        <v>8</v>
      </c>
      <c r="U19" s="1561">
        <f>H19</f>
        <v>100</v>
      </c>
      <c r="V19" s="1560" t="s">
        <v>8</v>
      </c>
      <c r="W19" s="1561">
        <f>J19</f>
        <v>100</v>
      </c>
      <c r="X19" s="1554"/>
      <c r="Y19" s="342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20"/>
      <c r="Q20" s="1559"/>
      <c r="R20" s="1560"/>
      <c r="S20" s="1561"/>
      <c r="T20" s="1560"/>
      <c r="U20" s="1561"/>
      <c r="V20" s="1560"/>
      <c r="W20" s="1561"/>
      <c r="X20" s="1554"/>
      <c r="Y20" s="3420"/>
      <c r="Z20" s="1562"/>
      <c r="AA20" s="1563">
        <v>1</v>
      </c>
      <c r="AB20" s="1563">
        <v>1</v>
      </c>
      <c r="AC20" s="1563">
        <v>1</v>
      </c>
    </row>
    <row r="21" spans="1:29" ht="28.5">
      <c r="A21" s="532"/>
      <c r="B21" s="2556"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20"/>
      <c r="Q21" s="2544" t="str">
        <f>B21</f>
        <v>基础设施水平</v>
      </c>
      <c r="R21" s="1560" t="s">
        <v>8</v>
      </c>
      <c r="S21" s="1561">
        <f>F21</f>
        <v>100</v>
      </c>
      <c r="T21" s="1560" t="s">
        <v>8</v>
      </c>
      <c r="U21" s="1561">
        <f>H21</f>
        <v>100</v>
      </c>
      <c r="V21" s="1560" t="s">
        <v>8</v>
      </c>
      <c r="W21" s="1561">
        <f>J21</f>
        <v>100</v>
      </c>
      <c r="X21" s="2546"/>
      <c r="Y21" s="3420"/>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20"/>
      <c r="Q22" s="2544"/>
      <c r="R22" s="1560"/>
      <c r="S22" s="1561"/>
      <c r="T22" s="1560"/>
      <c r="U22" s="1561"/>
      <c r="V22" s="1560"/>
      <c r="W22" s="1561"/>
      <c r="X22" s="2546"/>
      <c r="Y22" s="3420"/>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20"/>
      <c r="Q23" s="1559" t="str">
        <f>B23</f>
        <v>环境质量</v>
      </c>
      <c r="R23" s="1560" t="s">
        <v>8</v>
      </c>
      <c r="S23" s="1561">
        <f>F23</f>
        <v>100</v>
      </c>
      <c r="T23" s="1560" t="s">
        <v>8</v>
      </c>
      <c r="U23" s="1561">
        <f>H23</f>
        <v>100</v>
      </c>
      <c r="V23" s="1560" t="s">
        <v>8</v>
      </c>
      <c r="W23" s="1561">
        <f>J23</f>
        <v>100</v>
      </c>
      <c r="X23" s="1554"/>
      <c r="Y23" s="342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20"/>
      <c r="Q24" s="1559"/>
      <c r="R24" s="1560"/>
      <c r="S24" s="1561"/>
      <c r="T24" s="1560"/>
      <c r="U24" s="1561"/>
      <c r="V24" s="1560"/>
      <c r="W24" s="1561"/>
      <c r="X24" s="1554"/>
      <c r="Y24" s="342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20"/>
      <c r="Q25" s="1559">
        <f>B25</f>
        <v>111</v>
      </c>
      <c r="R25" s="1560" t="s">
        <v>8</v>
      </c>
      <c r="S25" s="1561">
        <f>F25</f>
        <v>100</v>
      </c>
      <c r="T25" s="1560" t="s">
        <v>8</v>
      </c>
      <c r="U25" s="1561">
        <f>H25</f>
        <v>100</v>
      </c>
      <c r="V25" s="1560" t="s">
        <v>8</v>
      </c>
      <c r="W25" s="1561">
        <f>J25</f>
        <v>100</v>
      </c>
      <c r="X25" s="1554"/>
      <c r="Y25" s="342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20"/>
      <c r="Q26" s="1559">
        <f t="shared" ref="Q26:Q40" si="11">B26</f>
        <v>111</v>
      </c>
      <c r="R26" s="1560" t="s">
        <v>8</v>
      </c>
      <c r="S26" s="1561">
        <f>F26</f>
        <v>100</v>
      </c>
      <c r="T26" s="1560" t="s">
        <v>8</v>
      </c>
      <c r="U26" s="1561">
        <f>H26</f>
        <v>100</v>
      </c>
      <c r="V26" s="1560" t="s">
        <v>8</v>
      </c>
      <c r="W26" s="1561">
        <f>J26</f>
        <v>100</v>
      </c>
      <c r="X26" s="1554"/>
      <c r="Y26" s="342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20"/>
      <c r="Q27" s="1147">
        <f t="shared" si="11"/>
        <v>111</v>
      </c>
      <c r="R27" s="1555" t="s">
        <v>8</v>
      </c>
      <c r="S27" s="1556">
        <f>F27</f>
        <v>100</v>
      </c>
      <c r="T27" s="1555" t="s">
        <v>8</v>
      </c>
      <c r="U27" s="1556">
        <f>H27</f>
        <v>100</v>
      </c>
      <c r="V27" s="1555" t="s">
        <v>8</v>
      </c>
      <c r="W27" s="1556">
        <f>J27</f>
        <v>100</v>
      </c>
      <c r="X27" s="1557"/>
      <c r="Y27" s="342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20"/>
      <c r="Q28" s="1559">
        <f t="shared" si="11"/>
        <v>111</v>
      </c>
      <c r="R28" s="1560" t="s">
        <v>8</v>
      </c>
      <c r="S28" s="1561">
        <f t="shared" ref="S28:S40" si="12">F28</f>
        <v>100</v>
      </c>
      <c r="T28" s="1560" t="s">
        <v>8</v>
      </c>
      <c r="U28" s="1561">
        <f t="shared" ref="U28:U40" si="13">H28</f>
        <v>100</v>
      </c>
      <c r="V28" s="1560" t="s">
        <v>8</v>
      </c>
      <c r="W28" s="1561">
        <f t="shared" ref="W28:W40" si="14">J28</f>
        <v>100</v>
      </c>
      <c r="X28" s="1554"/>
      <c r="Y28" s="3420"/>
      <c r="Z28" s="1562">
        <f t="shared" ref="Z28:Z40" si="15">Q28</f>
        <v>111</v>
      </c>
      <c r="AA28" s="1563">
        <f t="shared" si="3"/>
        <v>1</v>
      </c>
      <c r="AB28" s="1563">
        <f t="shared" si="4"/>
        <v>1</v>
      </c>
      <c r="AC28" s="1563">
        <f t="shared" si="5"/>
        <v>1</v>
      </c>
    </row>
    <row r="29" spans="1:29" ht="15">
      <c r="A29" s="2863" t="s">
        <v>2751</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25" t="s">
        <v>550</v>
      </c>
      <c r="Q29" s="1559" t="str">
        <f t="shared" si="11"/>
        <v>建筑类型</v>
      </c>
      <c r="R29" s="1560" t="s">
        <v>8</v>
      </c>
      <c r="S29" s="1561">
        <f t="shared" si="12"/>
        <v>100</v>
      </c>
      <c r="T29" s="1560" t="s">
        <v>8</v>
      </c>
      <c r="U29" s="1561">
        <f t="shared" si="13"/>
        <v>100</v>
      </c>
      <c r="V29" s="1560" t="s">
        <v>8</v>
      </c>
      <c r="W29" s="1561">
        <f t="shared" si="14"/>
        <v>100</v>
      </c>
      <c r="X29" s="1554"/>
      <c r="Y29" s="3426"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26"/>
      <c r="Q30" s="1591" t="str">
        <f t="shared" si="11"/>
        <v>项目建筑规模</v>
      </c>
      <c r="R30" s="1564" t="s">
        <v>8</v>
      </c>
      <c r="S30" s="1565" t="e">
        <f t="shared" si="12"/>
        <v>#N/A</v>
      </c>
      <c r="T30" s="1564" t="s">
        <v>8</v>
      </c>
      <c r="U30" s="1565" t="e">
        <f t="shared" si="13"/>
        <v>#N/A</v>
      </c>
      <c r="V30" s="1564" t="s">
        <v>8</v>
      </c>
      <c r="W30" s="1565" t="e">
        <f t="shared" si="14"/>
        <v>#N/A</v>
      </c>
      <c r="X30" s="1566"/>
      <c r="Y30" s="3426"/>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26"/>
      <c r="Q31" s="1559" t="str">
        <f t="shared" si="11"/>
        <v>建筑结构</v>
      </c>
      <c r="R31" s="1560" t="s">
        <v>8</v>
      </c>
      <c r="S31" s="1561">
        <f t="shared" si="12"/>
        <v>100</v>
      </c>
      <c r="T31" s="1560" t="s">
        <v>8</v>
      </c>
      <c r="U31" s="1561">
        <f t="shared" si="13"/>
        <v>100</v>
      </c>
      <c r="V31" s="1560" t="s">
        <v>8</v>
      </c>
      <c r="W31" s="1561">
        <f t="shared" si="14"/>
        <v>100</v>
      </c>
      <c r="X31" s="1554"/>
      <c r="Y31" s="3426"/>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26"/>
      <c r="Q32" s="1559" t="str">
        <f t="shared" si="11"/>
        <v>公共部分装修</v>
      </c>
      <c r="R32" s="1560" t="s">
        <v>8</v>
      </c>
      <c r="S32" s="1561">
        <f t="shared" si="12"/>
        <v>100</v>
      </c>
      <c r="T32" s="1560" t="s">
        <v>8</v>
      </c>
      <c r="U32" s="1561">
        <f t="shared" si="13"/>
        <v>100</v>
      </c>
      <c r="V32" s="1560" t="s">
        <v>8</v>
      </c>
      <c r="W32" s="1561">
        <f t="shared" si="14"/>
        <v>100</v>
      </c>
      <c r="X32" s="1554"/>
      <c r="Y32" s="3426"/>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26"/>
      <c r="Q33" s="1559" t="str">
        <f t="shared" si="11"/>
        <v>成新度</v>
      </c>
      <c r="R33" s="1560" t="s">
        <v>8</v>
      </c>
      <c r="S33" s="1561" t="e">
        <f t="shared" si="12"/>
        <v>#N/A</v>
      </c>
      <c r="T33" s="1560" t="s">
        <v>8</v>
      </c>
      <c r="U33" s="1561" t="e">
        <f t="shared" si="13"/>
        <v>#N/A</v>
      </c>
      <c r="V33" s="1560" t="s">
        <v>8</v>
      </c>
      <c r="W33" s="1561" t="e">
        <f t="shared" si="14"/>
        <v>#N/A</v>
      </c>
      <c r="X33" s="1554"/>
      <c r="Y33" s="3426"/>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26"/>
      <c r="Q34" s="1147" t="str">
        <f t="shared" si="11"/>
        <v>物业管理</v>
      </c>
      <c r="R34" s="1555" t="s">
        <v>8</v>
      </c>
      <c r="S34" s="1556">
        <f t="shared" si="12"/>
        <v>100</v>
      </c>
      <c r="T34" s="1555" t="s">
        <v>8</v>
      </c>
      <c r="U34" s="1556">
        <f t="shared" si="13"/>
        <v>100</v>
      </c>
      <c r="V34" s="1555" t="s">
        <v>8</v>
      </c>
      <c r="W34" s="1556">
        <f t="shared" si="14"/>
        <v>100</v>
      </c>
      <c r="X34" s="1557"/>
      <c r="Y34" s="3426"/>
      <c r="Z34" s="1146" t="str">
        <f t="shared" si="15"/>
        <v>物业管理</v>
      </c>
      <c r="AA34" s="1558">
        <f t="shared" si="3"/>
        <v>1</v>
      </c>
      <c r="AB34" s="1558">
        <f t="shared" si="4"/>
        <v>1</v>
      </c>
      <c r="AC34" s="1558">
        <f t="shared" si="5"/>
        <v>1</v>
      </c>
    </row>
    <row r="35" spans="1:29" ht="15">
      <c r="A35" s="594"/>
      <c r="B35" s="1881"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26" t="s">
        <v>550</v>
      </c>
      <c r="Q35" s="1559" t="str">
        <f t="shared" si="11"/>
        <v>市政基础设施</v>
      </c>
      <c r="R35" s="1560" t="s">
        <v>8</v>
      </c>
      <c r="S35" s="1561">
        <f t="shared" si="12"/>
        <v>100</v>
      </c>
      <c r="T35" s="1560" t="s">
        <v>8</v>
      </c>
      <c r="U35" s="1561">
        <f t="shared" si="13"/>
        <v>100</v>
      </c>
      <c r="V35" s="1560" t="s">
        <v>8</v>
      </c>
      <c r="W35" s="1561">
        <f t="shared" si="14"/>
        <v>100</v>
      </c>
      <c r="X35" s="1554"/>
      <c r="Y35" s="3426"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26"/>
      <c r="Q36" s="1559" t="str">
        <f t="shared" si="11"/>
        <v>内部装修</v>
      </c>
      <c r="R36" s="1560" t="s">
        <v>8</v>
      </c>
      <c r="S36" s="1561">
        <f t="shared" si="12"/>
        <v>100</v>
      </c>
      <c r="T36" s="1560" t="s">
        <v>8</v>
      </c>
      <c r="U36" s="1561">
        <f t="shared" si="13"/>
        <v>100</v>
      </c>
      <c r="V36" s="1560" t="s">
        <v>8</v>
      </c>
      <c r="W36" s="1561">
        <f t="shared" si="14"/>
        <v>100</v>
      </c>
      <c r="X36" s="1554"/>
      <c r="Y36" s="3426"/>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26"/>
      <c r="Q37" s="1559" t="str">
        <f t="shared" si="11"/>
        <v>内部装修状况</v>
      </c>
      <c r="R37" s="1560" t="s">
        <v>8</v>
      </c>
      <c r="S37" s="1561">
        <f t="shared" si="12"/>
        <v>100</v>
      </c>
      <c r="T37" s="1560" t="s">
        <v>8</v>
      </c>
      <c r="U37" s="1561">
        <f t="shared" si="13"/>
        <v>100</v>
      </c>
      <c r="V37" s="1560" t="s">
        <v>8</v>
      </c>
      <c r="W37" s="1561">
        <f t="shared" si="14"/>
        <v>100</v>
      </c>
      <c r="X37" s="1554"/>
      <c r="Y37" s="3426"/>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26"/>
      <c r="Q38" s="1591">
        <f t="shared" si="11"/>
        <v>111</v>
      </c>
      <c r="R38" s="1564" t="s">
        <v>8</v>
      </c>
      <c r="S38" s="1565">
        <f t="shared" si="12"/>
        <v>100</v>
      </c>
      <c r="T38" s="1564" t="s">
        <v>8</v>
      </c>
      <c r="U38" s="1565">
        <f t="shared" si="13"/>
        <v>100</v>
      </c>
      <c r="V38" s="1564" t="s">
        <v>8</v>
      </c>
      <c r="W38" s="1565">
        <f t="shared" si="14"/>
        <v>100</v>
      </c>
      <c r="X38" s="1566"/>
      <c r="Y38" s="3426"/>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26"/>
      <c r="Q39" s="1559">
        <f t="shared" si="11"/>
        <v>111</v>
      </c>
      <c r="R39" s="1560" t="s">
        <v>8</v>
      </c>
      <c r="S39" s="1561">
        <f t="shared" si="12"/>
        <v>100</v>
      </c>
      <c r="T39" s="1560" t="s">
        <v>8</v>
      </c>
      <c r="U39" s="1561">
        <f t="shared" si="13"/>
        <v>100</v>
      </c>
      <c r="V39" s="1560" t="s">
        <v>8</v>
      </c>
      <c r="W39" s="1561">
        <f t="shared" si="14"/>
        <v>100</v>
      </c>
      <c r="X39" s="1554"/>
      <c r="Y39" s="3426"/>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15"/>
      <c r="Q40" s="1559">
        <f t="shared" si="11"/>
        <v>111</v>
      </c>
      <c r="R40" s="1560" t="s">
        <v>8</v>
      </c>
      <c r="S40" s="1561">
        <f t="shared" si="12"/>
        <v>100</v>
      </c>
      <c r="T40" s="1560" t="s">
        <v>8</v>
      </c>
      <c r="U40" s="1561">
        <f t="shared" si="13"/>
        <v>100</v>
      </c>
      <c r="V40" s="1560" t="s">
        <v>8</v>
      </c>
      <c r="W40" s="1561">
        <f t="shared" si="14"/>
        <v>100</v>
      </c>
      <c r="X40" s="1554"/>
      <c r="Y40" s="3515"/>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8" t="str">
        <f>A41</f>
        <v>成交单价（元/平方米）</v>
      </c>
      <c r="Q41" s="3418"/>
      <c r="R41" s="3514">
        <f>E41</f>
        <v>0</v>
      </c>
      <c r="S41" s="3514"/>
      <c r="T41" s="3514">
        <f>G41</f>
        <v>0</v>
      </c>
      <c r="U41" s="3514"/>
      <c r="V41" s="3514">
        <f>I41</f>
        <v>0</v>
      </c>
      <c r="W41" s="3514"/>
      <c r="X41" s="1546"/>
      <c r="Y41" s="1568"/>
      <c r="Z41" s="1546"/>
      <c r="AA41" s="1546"/>
      <c r="AB41" s="1546"/>
      <c r="AC41" s="1546"/>
    </row>
    <row r="42" spans="1:29" ht="15.75" thickBot="1">
      <c r="A42" s="615" t="s">
        <v>2756</v>
      </c>
      <c r="B42" s="888"/>
      <c r="C42" s="2598" t="e">
        <f>R43</f>
        <v>#DIV/0!</v>
      </c>
      <c r="D42" s="2599"/>
      <c r="E42" s="2600" t="e">
        <f>R42</f>
        <v>#DIV/0!</v>
      </c>
      <c r="F42" s="2600"/>
      <c r="G42" s="2598" t="e">
        <f>T42</f>
        <v>#DIV/0!</v>
      </c>
      <c r="H42" s="2599"/>
      <c r="I42" s="2600" t="e">
        <f>V42</f>
        <v>#DIV/0!</v>
      </c>
      <c r="J42" s="2599"/>
      <c r="K42" s="1598"/>
      <c r="L42" s="2130"/>
      <c r="M42" s="2131"/>
      <c r="N42" s="2120"/>
      <c r="O42" s="2131"/>
      <c r="P42" s="3418" t="str">
        <f>A42</f>
        <v>比较价格（元/平方米）</v>
      </c>
      <c r="Q42" s="3418"/>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46"/>
      <c r="Y42" s="1546"/>
      <c r="Z42" s="1546"/>
      <c r="AA42" s="1546"/>
      <c r="AB42" s="1546"/>
      <c r="AC42" s="1546"/>
    </row>
    <row r="43" spans="1:29" ht="15.75" thickBot="1">
      <c r="A43" s="621" t="s">
        <v>2931</v>
      </c>
      <c r="B43" s="622"/>
      <c r="C43" s="2601" t="e">
        <f>R43</f>
        <v>#DIV/0!</v>
      </c>
      <c r="D43" s="2601"/>
      <c r="E43" s="2601"/>
      <c r="F43" s="2601"/>
      <c r="G43" s="2601"/>
      <c r="H43" s="2601"/>
      <c r="I43" s="2601"/>
      <c r="J43" s="2601"/>
      <c r="K43" s="1599"/>
      <c r="L43" s="2130"/>
      <c r="M43" s="2131"/>
      <c r="N43" s="2131"/>
      <c r="O43" s="2131"/>
      <c r="P43" s="3422" t="str">
        <f>A43</f>
        <v>估价对象XX用房的比较价格（楼面单价，元/平方米）</v>
      </c>
      <c r="Q43" s="3423"/>
      <c r="R43" s="3513" t="e">
        <f>IF(F1="售价",ROUND(AVERAGE(R42:V42),0),ROUND(AVERAGE(R42:V42),1))</f>
        <v>#DIV/0!</v>
      </c>
      <c r="S43" s="3513"/>
      <c r="T43" s="3513"/>
      <c r="U43" s="3513"/>
      <c r="V43" s="3513"/>
      <c r="W43" s="3513"/>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2019-5</v>
      </c>
      <c r="D52" s="2760">
        <f>EDATE(C52,-1)</f>
        <v>43556</v>
      </c>
      <c r="E52" s="2760">
        <f t="shared" ref="E52:O52" si="16">EDATE(D52,-1)</f>
        <v>43525</v>
      </c>
      <c r="F52" s="2760">
        <f t="shared" si="16"/>
        <v>43497</v>
      </c>
      <c r="G52" s="2760">
        <f t="shared" si="16"/>
        <v>43466</v>
      </c>
      <c r="H52" s="2760">
        <f t="shared" si="16"/>
        <v>43435</v>
      </c>
      <c r="I52" s="2760">
        <f t="shared" si="16"/>
        <v>43405</v>
      </c>
      <c r="J52" s="2760">
        <f t="shared" si="16"/>
        <v>43374</v>
      </c>
      <c r="K52" s="2760">
        <f t="shared" si="16"/>
        <v>43344</v>
      </c>
      <c r="L52" s="2760">
        <f t="shared" si="16"/>
        <v>43313</v>
      </c>
      <c r="M52" s="2760">
        <f t="shared" si="16"/>
        <v>43282</v>
      </c>
      <c r="N52" s="2760">
        <f t="shared" si="16"/>
        <v>43252</v>
      </c>
      <c r="O52" s="2760">
        <f t="shared" si="16"/>
        <v>43221</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2553</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2554</v>
      </c>
      <c r="C76" s="2563" t="s">
        <v>2555</v>
      </c>
      <c r="D76" s="2563" t="s">
        <v>2556</v>
      </c>
      <c r="E76" s="2563" t="s">
        <v>2557</v>
      </c>
      <c r="F76" s="2563" t="s">
        <v>2558</v>
      </c>
      <c r="G76" s="2563" t="s">
        <v>2559</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2552</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2074</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3" t="s">
        <v>798</v>
      </c>
      <c r="D4" s="3394"/>
      <c r="E4" s="3393" t="s">
        <v>799</v>
      </c>
      <c r="F4" s="3394"/>
      <c r="G4" s="3393" t="s">
        <v>800</v>
      </c>
      <c r="H4" s="3394"/>
      <c r="I4" s="3393" t="s">
        <v>801</v>
      </c>
      <c r="J4" s="3394"/>
      <c r="K4" s="514" t="s">
        <v>802</v>
      </c>
      <c r="L4" s="2119"/>
      <c r="M4" s="2120"/>
      <c r="N4" s="2120"/>
      <c r="O4" s="2120"/>
      <c r="P4" s="3395" t="s">
        <v>803</v>
      </c>
      <c r="Q4" s="3396"/>
      <c r="R4" s="3401" t="s">
        <v>799</v>
      </c>
      <c r="S4" s="3402"/>
      <c r="T4" s="3401" t="s">
        <v>800</v>
      </c>
      <c r="U4" s="3402"/>
      <c r="V4" s="3414" t="s">
        <v>801</v>
      </c>
      <c r="W4" s="3414"/>
      <c r="X4" s="1554"/>
      <c r="Y4" s="3401" t="s">
        <v>803</v>
      </c>
      <c r="Z4" s="3402"/>
      <c r="AA4" s="3390" t="s">
        <v>799</v>
      </c>
      <c r="AB4" s="3391" t="s">
        <v>800</v>
      </c>
      <c r="AC4" s="3390" t="s">
        <v>801</v>
      </c>
    </row>
    <row r="5" spans="1:29" ht="15">
      <c r="A5" s="515"/>
      <c r="B5" s="516"/>
      <c r="C5" s="3405" t="s">
        <v>2925</v>
      </c>
      <c r="D5" s="3406"/>
      <c r="E5" s="3405" t="s">
        <v>2926</v>
      </c>
      <c r="F5" s="3406"/>
      <c r="G5" s="3405" t="s">
        <v>2927</v>
      </c>
      <c r="H5" s="3406"/>
      <c r="I5" s="3405" t="s">
        <v>2928</v>
      </c>
      <c r="J5" s="3406"/>
      <c r="K5" s="514"/>
      <c r="L5" s="2119"/>
      <c r="M5" s="2120"/>
      <c r="N5" s="2120"/>
      <c r="O5" s="2120"/>
      <c r="P5" s="3397"/>
      <c r="Q5" s="3398"/>
      <c r="R5" s="3403"/>
      <c r="S5" s="3404"/>
      <c r="T5" s="3403"/>
      <c r="U5" s="3404"/>
      <c r="V5" s="3414"/>
      <c r="W5" s="3414"/>
      <c r="X5" s="1554"/>
      <c r="Y5" s="3403"/>
      <c r="Z5" s="3404"/>
      <c r="AA5" s="3391"/>
      <c r="AB5" s="3391"/>
      <c r="AC5" s="3391"/>
    </row>
    <row r="6" spans="1:29" ht="15.75" thickBot="1">
      <c r="A6" s="517"/>
      <c r="B6" s="518"/>
      <c r="C6" s="3410" t="s">
        <v>2929</v>
      </c>
      <c r="D6" s="3411"/>
      <c r="E6" s="3408" t="s">
        <v>2929</v>
      </c>
      <c r="F6" s="3409"/>
      <c r="G6" s="3410" t="s">
        <v>2929</v>
      </c>
      <c r="H6" s="3411"/>
      <c r="I6" s="3410" t="s">
        <v>2929</v>
      </c>
      <c r="J6" s="3411"/>
      <c r="K6" s="514" t="s">
        <v>528</v>
      </c>
      <c r="L6" s="2119"/>
      <c r="M6" s="2120"/>
      <c r="N6" s="2120"/>
      <c r="O6" s="2120"/>
      <c r="P6" s="3399"/>
      <c r="Q6" s="3400"/>
      <c r="R6" s="3403"/>
      <c r="S6" s="3404"/>
      <c r="T6" s="3412"/>
      <c r="U6" s="3413"/>
      <c r="V6" s="3414"/>
      <c r="W6" s="3414"/>
      <c r="X6" s="1554"/>
      <c r="Y6" s="3412"/>
      <c r="Z6" s="3413"/>
      <c r="AA6" s="3392"/>
      <c r="AB6" s="3392"/>
      <c r="AC6" s="3392"/>
    </row>
    <row r="7" spans="1:29" s="1216" customFormat="1" ht="15.75" thickBot="1">
      <c r="A7" s="2868"/>
      <c r="B7" s="2875" t="s">
        <v>529</v>
      </c>
      <c r="C7" s="519">
        <f>'数据-取费表'!B2</f>
        <v>43607</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15" t="s">
        <v>530</v>
      </c>
      <c r="Q7" s="3416"/>
      <c r="R7" s="1555" t="s">
        <v>8</v>
      </c>
      <c r="S7" s="1556">
        <f t="shared" ref="S7:S14" si="0">F7</f>
        <v>0</v>
      </c>
      <c r="T7" s="1555" t="s">
        <v>8</v>
      </c>
      <c r="U7" s="1556">
        <f t="shared" ref="U7:U14" si="1">H7</f>
        <v>0</v>
      </c>
      <c r="V7" s="1555" t="s">
        <v>8</v>
      </c>
      <c r="W7" s="1556">
        <f t="shared" ref="W7:W14" si="2">J7</f>
        <v>0</v>
      </c>
      <c r="X7" s="1557"/>
      <c r="Y7" s="3415"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15" t="s">
        <v>533</v>
      </c>
      <c r="Q8" s="3417"/>
      <c r="R8" s="1555" t="s">
        <v>8</v>
      </c>
      <c r="S8" s="1556">
        <f t="shared" si="0"/>
        <v>0</v>
      </c>
      <c r="T8" s="1555" t="s">
        <v>8</v>
      </c>
      <c r="U8" s="1556">
        <f t="shared" si="1"/>
        <v>0</v>
      </c>
      <c r="V8" s="1555" t="s">
        <v>8</v>
      </c>
      <c r="W8" s="1556">
        <f t="shared" si="2"/>
        <v>0</v>
      </c>
      <c r="X8" s="1557"/>
      <c r="Y8" s="3415" t="s">
        <v>533</v>
      </c>
      <c r="Z8" s="3417"/>
      <c r="AA8" s="1558" t="e">
        <f t="shared" ref="AA8:AA36" si="3">D8/F8</f>
        <v>#DIV/0!</v>
      </c>
      <c r="AB8" s="1558" t="e">
        <f t="shared" ref="AB8:AB36" si="4">D8/H8</f>
        <v>#DIV/0!</v>
      </c>
      <c r="AC8" s="1558" t="e">
        <f t="shared" ref="AC8:AC36" si="5">D8/J8</f>
        <v>#DIV/0!</v>
      </c>
    </row>
    <row r="9" spans="1:29" s="1216" customFormat="1" ht="15">
      <c r="A9" s="2870"/>
      <c r="B9" s="2877" t="s">
        <v>2752</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8" t="s">
        <v>535</v>
      </c>
      <c r="Q9" s="1147" t="str">
        <f t="shared" ref="Q9:Q14" si="6">B9</f>
        <v>用途</v>
      </c>
      <c r="R9" s="1555" t="s">
        <v>8</v>
      </c>
      <c r="S9" s="1556">
        <f t="shared" si="0"/>
        <v>100</v>
      </c>
      <c r="T9" s="1555" t="s">
        <v>8</v>
      </c>
      <c r="U9" s="1556">
        <f t="shared" si="1"/>
        <v>100</v>
      </c>
      <c r="V9" s="1555" t="s">
        <v>8</v>
      </c>
      <c r="W9" s="1556">
        <f t="shared" si="2"/>
        <v>100</v>
      </c>
      <c r="X9" s="1557"/>
      <c r="Y9" s="3363"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8"/>
      <c r="Q10" s="1147" t="str">
        <f t="shared" si="6"/>
        <v>土地使用年限（年）</v>
      </c>
      <c r="R10" s="1555" t="s">
        <v>8</v>
      </c>
      <c r="S10" s="1556">
        <f t="shared" si="0"/>
        <v>100</v>
      </c>
      <c r="T10" s="1555" t="s">
        <v>8</v>
      </c>
      <c r="U10" s="1556">
        <f t="shared" si="1"/>
        <v>100</v>
      </c>
      <c r="V10" s="1555" t="s">
        <v>8</v>
      </c>
      <c r="W10" s="1556">
        <f t="shared" si="2"/>
        <v>100</v>
      </c>
      <c r="X10" s="1557"/>
      <c r="Y10" s="3363"/>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8"/>
      <c r="Q11" s="1147">
        <f t="shared" si="6"/>
        <v>111</v>
      </c>
      <c r="R11" s="1555" t="s">
        <v>8</v>
      </c>
      <c r="S11" s="1556">
        <f t="shared" si="0"/>
        <v>100</v>
      </c>
      <c r="T11" s="1555" t="s">
        <v>8</v>
      </c>
      <c r="U11" s="1556">
        <f t="shared" si="1"/>
        <v>100</v>
      </c>
      <c r="V11" s="1555" t="s">
        <v>8</v>
      </c>
      <c r="W11" s="1556">
        <f t="shared" si="2"/>
        <v>100</v>
      </c>
      <c r="X11" s="1557"/>
      <c r="Y11" s="3363"/>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8"/>
      <c r="Q12" s="1147">
        <f t="shared" si="6"/>
        <v>111</v>
      </c>
      <c r="R12" s="1555" t="s">
        <v>8</v>
      </c>
      <c r="S12" s="1556">
        <f t="shared" si="0"/>
        <v>100</v>
      </c>
      <c r="T12" s="1555" t="s">
        <v>8</v>
      </c>
      <c r="U12" s="1556">
        <f t="shared" si="1"/>
        <v>100</v>
      </c>
      <c r="V12" s="1555" t="s">
        <v>8</v>
      </c>
      <c r="W12" s="1556">
        <f t="shared" si="2"/>
        <v>100</v>
      </c>
      <c r="X12" s="1557"/>
      <c r="Y12" s="3363"/>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8"/>
      <c r="Q13" s="1147">
        <f t="shared" si="6"/>
        <v>111</v>
      </c>
      <c r="R13" s="1555" t="s">
        <v>8</v>
      </c>
      <c r="S13" s="1556">
        <f t="shared" si="0"/>
        <v>100</v>
      </c>
      <c r="T13" s="1555" t="s">
        <v>8</v>
      </c>
      <c r="U13" s="1556">
        <f t="shared" si="1"/>
        <v>100</v>
      </c>
      <c r="V13" s="1555" t="s">
        <v>8</v>
      </c>
      <c r="W13" s="1556">
        <f t="shared" si="2"/>
        <v>100</v>
      </c>
      <c r="X13" s="1557"/>
      <c r="Y13" s="3363"/>
      <c r="Z13" s="1146">
        <f t="shared" si="7"/>
        <v>111</v>
      </c>
      <c r="AA13" s="1558">
        <f t="shared" si="3"/>
        <v>1</v>
      </c>
      <c r="AB13" s="1558">
        <f t="shared" si="4"/>
        <v>1</v>
      </c>
      <c r="AC13" s="1558">
        <f t="shared" si="5"/>
        <v>1</v>
      </c>
    </row>
    <row r="14" spans="1:29" ht="85.5">
      <c r="A14" s="2866" t="s">
        <v>2750</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19" t="s">
        <v>540</v>
      </c>
      <c r="Q14" s="1559" t="str">
        <f t="shared" si="6"/>
        <v>交通便捷度</v>
      </c>
      <c r="R14" s="1560" t="s">
        <v>8</v>
      </c>
      <c r="S14" s="1561">
        <f t="shared" si="0"/>
        <v>100</v>
      </c>
      <c r="T14" s="1560" t="s">
        <v>8</v>
      </c>
      <c r="U14" s="1561">
        <f t="shared" si="1"/>
        <v>100</v>
      </c>
      <c r="V14" s="1560" t="s">
        <v>8</v>
      </c>
      <c r="W14" s="1561">
        <f t="shared" si="2"/>
        <v>100</v>
      </c>
      <c r="X14" s="1554"/>
      <c r="Y14" s="341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20"/>
      <c r="Q15" s="1559"/>
      <c r="R15" s="1560"/>
      <c r="S15" s="1561"/>
      <c r="T15" s="1560"/>
      <c r="U15" s="1561"/>
      <c r="V15" s="1560"/>
      <c r="W15" s="1561"/>
      <c r="X15" s="1554"/>
      <c r="Y15" s="3420"/>
      <c r="Z15" s="1562"/>
      <c r="AA15" s="1563">
        <v>1</v>
      </c>
      <c r="AB15" s="1563">
        <v>1</v>
      </c>
      <c r="AC15" s="1563">
        <v>1</v>
      </c>
    </row>
    <row r="16" spans="1:29" ht="42.75">
      <c r="A16" s="515"/>
      <c r="B16" s="2568"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20"/>
      <c r="Q16" s="1559" t="str">
        <f>B16</f>
        <v>公共配套设施</v>
      </c>
      <c r="R16" s="1560" t="s">
        <v>8</v>
      </c>
      <c r="S16" s="1561">
        <f>F16</f>
        <v>100</v>
      </c>
      <c r="T16" s="1560" t="s">
        <v>8</v>
      </c>
      <c r="U16" s="1561">
        <f>H16</f>
        <v>100</v>
      </c>
      <c r="V16" s="1560" t="s">
        <v>8</v>
      </c>
      <c r="W16" s="1561">
        <f>J16</f>
        <v>100</v>
      </c>
      <c r="X16" s="1554"/>
      <c r="Y16" s="342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20"/>
      <c r="Q17" s="1559"/>
      <c r="R17" s="1560"/>
      <c r="S17" s="1561"/>
      <c r="T17" s="1560"/>
      <c r="U17" s="1561"/>
      <c r="V17" s="1560"/>
      <c r="W17" s="1561"/>
      <c r="X17" s="1554"/>
      <c r="Y17" s="3420"/>
      <c r="Z17" s="1562"/>
      <c r="AA17" s="1563">
        <v>1</v>
      </c>
      <c r="AB17" s="1563">
        <v>1</v>
      </c>
      <c r="AC17" s="1563">
        <v>1</v>
      </c>
    </row>
    <row r="18" spans="1:29" ht="28.5">
      <c r="A18" s="515"/>
      <c r="B18" s="2556"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20"/>
      <c r="Q18" s="2544" t="str">
        <f>B18</f>
        <v>基础设施水平</v>
      </c>
      <c r="R18" s="1560" t="s">
        <v>8</v>
      </c>
      <c r="S18" s="1561">
        <f>F18</f>
        <v>100</v>
      </c>
      <c r="T18" s="1560" t="s">
        <v>8</v>
      </c>
      <c r="U18" s="1561">
        <f>H18</f>
        <v>100</v>
      </c>
      <c r="V18" s="1560" t="s">
        <v>8</v>
      </c>
      <c r="W18" s="1561">
        <f>J18</f>
        <v>100</v>
      </c>
      <c r="X18" s="2546"/>
      <c r="Y18" s="3420"/>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20"/>
      <c r="Q19" s="2544"/>
      <c r="R19" s="1560"/>
      <c r="S19" s="1561"/>
      <c r="T19" s="1560"/>
      <c r="U19" s="1561"/>
      <c r="V19" s="1560"/>
      <c r="W19" s="1561"/>
      <c r="X19" s="2546"/>
      <c r="Y19" s="3420"/>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20"/>
      <c r="Q20" s="1559" t="str">
        <f>B20</f>
        <v>自然及人文环境</v>
      </c>
      <c r="R20" s="1560" t="s">
        <v>8</v>
      </c>
      <c r="S20" s="1561">
        <f>F20</f>
        <v>100</v>
      </c>
      <c r="T20" s="1560" t="s">
        <v>8</v>
      </c>
      <c r="U20" s="1561">
        <f>H20</f>
        <v>100</v>
      </c>
      <c r="V20" s="1560" t="s">
        <v>8</v>
      </c>
      <c r="W20" s="1561">
        <f>J20</f>
        <v>100</v>
      </c>
      <c r="X20" s="1554"/>
      <c r="Y20" s="342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20"/>
      <c r="Q21" s="1559"/>
      <c r="R21" s="1560"/>
      <c r="S21" s="1561"/>
      <c r="T21" s="1560"/>
      <c r="U21" s="1561"/>
      <c r="V21" s="1560"/>
      <c r="W21" s="1561"/>
      <c r="X21" s="1554"/>
      <c r="Y21" s="342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20"/>
      <c r="Q22" s="1559" t="str">
        <f>B22</f>
        <v>楼层</v>
      </c>
      <c r="R22" s="1560" t="s">
        <v>8</v>
      </c>
      <c r="S22" s="1561">
        <f>F22</f>
        <v>100</v>
      </c>
      <c r="T22" s="1560" t="s">
        <v>8</v>
      </c>
      <c r="U22" s="1561">
        <f>H22</f>
        <v>100</v>
      </c>
      <c r="V22" s="1560" t="s">
        <v>8</v>
      </c>
      <c r="W22" s="1561">
        <f>J22</f>
        <v>100</v>
      </c>
      <c r="X22" s="1554"/>
      <c r="Y22" s="342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20"/>
      <c r="Q23" s="1559">
        <f>B23</f>
        <v>111</v>
      </c>
      <c r="R23" s="1560" t="s">
        <v>8</v>
      </c>
      <c r="S23" s="1561">
        <f>F23</f>
        <v>100</v>
      </c>
      <c r="T23" s="1560" t="s">
        <v>8</v>
      </c>
      <c r="U23" s="1561">
        <f>H23</f>
        <v>100</v>
      </c>
      <c r="V23" s="1560" t="s">
        <v>8</v>
      </c>
      <c r="W23" s="1561">
        <f>J23</f>
        <v>100</v>
      </c>
      <c r="X23" s="1554"/>
      <c r="Y23" s="342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20"/>
      <c r="Q24" s="1559">
        <f t="shared" ref="Q24:Q36" si="11">B24</f>
        <v>111</v>
      </c>
      <c r="R24" s="1560" t="s">
        <v>8</v>
      </c>
      <c r="S24" s="1561">
        <f>F24</f>
        <v>100</v>
      </c>
      <c r="T24" s="1560" t="s">
        <v>8</v>
      </c>
      <c r="U24" s="1561">
        <f>H24</f>
        <v>100</v>
      </c>
      <c r="V24" s="1560" t="s">
        <v>8</v>
      </c>
      <c r="W24" s="1561">
        <f>J24</f>
        <v>100</v>
      </c>
      <c r="X24" s="1554"/>
      <c r="Y24" s="342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20"/>
      <c r="Q25" s="1147">
        <f t="shared" si="11"/>
        <v>111</v>
      </c>
      <c r="R25" s="1555" t="s">
        <v>8</v>
      </c>
      <c r="S25" s="1556">
        <f>F25</f>
        <v>100</v>
      </c>
      <c r="T25" s="1555" t="s">
        <v>8</v>
      </c>
      <c r="U25" s="1556">
        <f>H25</f>
        <v>100</v>
      </c>
      <c r="V25" s="1555" t="s">
        <v>8</v>
      </c>
      <c r="W25" s="1556">
        <f>J25</f>
        <v>100</v>
      </c>
      <c r="X25" s="1557"/>
      <c r="Y25" s="3420"/>
      <c r="Z25" s="1146">
        <f>Q25</f>
        <v>111</v>
      </c>
      <c r="AA25" s="1563">
        <f>D25/F25</f>
        <v>1</v>
      </c>
      <c r="AB25" s="1563">
        <f>D25/H25</f>
        <v>1</v>
      </c>
      <c r="AC25" s="1563">
        <f>D25/J25</f>
        <v>1</v>
      </c>
    </row>
    <row r="26" spans="1:29" ht="15">
      <c r="A26" s="2863" t="s">
        <v>2751</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25"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26"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26"/>
      <c r="Q27" s="1591" t="str">
        <f t="shared" si="11"/>
        <v>项目停车位配比</v>
      </c>
      <c r="R27" s="1564" t="s">
        <v>8</v>
      </c>
      <c r="S27" s="1565">
        <f t="shared" si="12"/>
        <v>100</v>
      </c>
      <c r="T27" s="1564" t="s">
        <v>8</v>
      </c>
      <c r="U27" s="1565">
        <f t="shared" si="13"/>
        <v>100</v>
      </c>
      <c r="V27" s="1564" t="s">
        <v>8</v>
      </c>
      <c r="W27" s="1565">
        <f t="shared" si="14"/>
        <v>100</v>
      </c>
      <c r="X27" s="1566"/>
      <c r="Y27" s="3426"/>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26"/>
      <c r="Q28" s="1559" t="str">
        <f t="shared" si="11"/>
        <v>公共部分装修</v>
      </c>
      <c r="R28" s="1560" t="s">
        <v>8</v>
      </c>
      <c r="S28" s="1561">
        <f t="shared" si="12"/>
        <v>100</v>
      </c>
      <c r="T28" s="1560" t="s">
        <v>8</v>
      </c>
      <c r="U28" s="1561">
        <f t="shared" si="13"/>
        <v>100</v>
      </c>
      <c r="V28" s="1560" t="s">
        <v>8</v>
      </c>
      <c r="W28" s="1561">
        <f t="shared" si="14"/>
        <v>100</v>
      </c>
      <c r="X28" s="1554"/>
      <c r="Y28" s="3426"/>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26"/>
      <c r="Q29" s="1559" t="str">
        <f t="shared" si="11"/>
        <v>成新率</v>
      </c>
      <c r="R29" s="1560" t="s">
        <v>8</v>
      </c>
      <c r="S29" s="1561" t="e">
        <f t="shared" si="12"/>
        <v>#N/A</v>
      </c>
      <c r="T29" s="1560" t="s">
        <v>8</v>
      </c>
      <c r="U29" s="1561" t="e">
        <f t="shared" si="13"/>
        <v>#N/A</v>
      </c>
      <c r="V29" s="1560" t="s">
        <v>8</v>
      </c>
      <c r="W29" s="1561" t="e">
        <f t="shared" si="14"/>
        <v>#N/A</v>
      </c>
      <c r="X29" s="1554"/>
      <c r="Y29" s="3426"/>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26"/>
      <c r="Q30" s="1559" t="str">
        <f t="shared" si="11"/>
        <v>物业等级</v>
      </c>
      <c r="R30" s="1560" t="s">
        <v>8</v>
      </c>
      <c r="S30" s="1561">
        <f t="shared" si="12"/>
        <v>100</v>
      </c>
      <c r="T30" s="1560" t="s">
        <v>8</v>
      </c>
      <c r="U30" s="1561">
        <f t="shared" si="13"/>
        <v>100</v>
      </c>
      <c r="V30" s="1560" t="s">
        <v>8</v>
      </c>
      <c r="W30" s="1561">
        <f t="shared" si="14"/>
        <v>100</v>
      </c>
      <c r="X30" s="1554"/>
      <c r="Y30" s="3426"/>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26"/>
      <c r="Q31" s="1147" t="str">
        <f t="shared" si="11"/>
        <v>停车位面积</v>
      </c>
      <c r="R31" s="1555" t="s">
        <v>8</v>
      </c>
      <c r="S31" s="1556" t="e">
        <f t="shared" si="12"/>
        <v>#N/A</v>
      </c>
      <c r="T31" s="1555" t="s">
        <v>8</v>
      </c>
      <c r="U31" s="1556" t="e">
        <f t="shared" si="13"/>
        <v>#N/A</v>
      </c>
      <c r="V31" s="1555" t="s">
        <v>8</v>
      </c>
      <c r="W31" s="1556" t="e">
        <f t="shared" si="14"/>
        <v>#N/A</v>
      </c>
      <c r="X31" s="1557"/>
      <c r="Y31" s="3426"/>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26" t="s">
        <v>550</v>
      </c>
      <c r="Q32" s="1559" t="str">
        <f t="shared" si="11"/>
        <v>车位类型</v>
      </c>
      <c r="R32" s="1560" t="s">
        <v>8</v>
      </c>
      <c r="S32" s="1561">
        <f t="shared" si="12"/>
        <v>100</v>
      </c>
      <c r="T32" s="1560" t="s">
        <v>8</v>
      </c>
      <c r="U32" s="1561">
        <f t="shared" si="13"/>
        <v>100</v>
      </c>
      <c r="V32" s="1560" t="s">
        <v>8</v>
      </c>
      <c r="W32" s="1561">
        <f t="shared" si="14"/>
        <v>100</v>
      </c>
      <c r="X32" s="1554"/>
      <c r="Y32" s="3426"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26"/>
      <c r="Q33" s="1559" t="str">
        <f t="shared" si="11"/>
        <v>是否直接入户</v>
      </c>
      <c r="R33" s="1560" t="s">
        <v>8</v>
      </c>
      <c r="S33" s="1561">
        <f t="shared" si="12"/>
        <v>100</v>
      </c>
      <c r="T33" s="1560" t="s">
        <v>8</v>
      </c>
      <c r="U33" s="1561">
        <f t="shared" si="13"/>
        <v>100</v>
      </c>
      <c r="V33" s="1560" t="s">
        <v>8</v>
      </c>
      <c r="W33" s="1561">
        <f t="shared" si="14"/>
        <v>100</v>
      </c>
      <c r="X33" s="1554"/>
      <c r="Y33" s="3426"/>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26"/>
      <c r="Q34" s="1559">
        <f t="shared" si="11"/>
        <v>111</v>
      </c>
      <c r="R34" s="1560" t="s">
        <v>8</v>
      </c>
      <c r="S34" s="1561">
        <f t="shared" si="12"/>
        <v>100</v>
      </c>
      <c r="T34" s="1560" t="s">
        <v>8</v>
      </c>
      <c r="U34" s="1561">
        <f t="shared" si="13"/>
        <v>100</v>
      </c>
      <c r="V34" s="1560" t="s">
        <v>8</v>
      </c>
      <c r="W34" s="1561">
        <f t="shared" si="14"/>
        <v>100</v>
      </c>
      <c r="X34" s="1554"/>
      <c r="Y34" s="3426"/>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26"/>
      <c r="Q35" s="1591">
        <f t="shared" si="11"/>
        <v>111</v>
      </c>
      <c r="R35" s="1564" t="s">
        <v>8</v>
      </c>
      <c r="S35" s="1565">
        <f t="shared" si="12"/>
        <v>100</v>
      </c>
      <c r="T35" s="1564" t="s">
        <v>8</v>
      </c>
      <c r="U35" s="1565">
        <f t="shared" si="13"/>
        <v>100</v>
      </c>
      <c r="V35" s="1564" t="s">
        <v>8</v>
      </c>
      <c r="W35" s="1565">
        <f t="shared" si="14"/>
        <v>100</v>
      </c>
      <c r="X35" s="1566"/>
      <c r="Y35" s="3426"/>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26"/>
      <c r="Q36" s="1559">
        <f t="shared" si="11"/>
        <v>111</v>
      </c>
      <c r="R36" s="1560" t="s">
        <v>8</v>
      </c>
      <c r="S36" s="1561">
        <f t="shared" si="12"/>
        <v>100</v>
      </c>
      <c r="T36" s="1560" t="s">
        <v>8</v>
      </c>
      <c r="U36" s="1561">
        <f t="shared" si="13"/>
        <v>100</v>
      </c>
      <c r="V36" s="1560" t="s">
        <v>8</v>
      </c>
      <c r="W36" s="1561">
        <f t="shared" si="14"/>
        <v>100</v>
      </c>
      <c r="X36" s="1554"/>
      <c r="Y36" s="3426"/>
      <c r="Z36" s="1562">
        <f t="shared" si="15"/>
        <v>111</v>
      </c>
      <c r="AA36" s="1563">
        <f t="shared" si="3"/>
        <v>1</v>
      </c>
      <c r="AB36" s="1563">
        <f t="shared" si="4"/>
        <v>1</v>
      </c>
      <c r="AC36" s="1563">
        <f t="shared" si="5"/>
        <v>1</v>
      </c>
    </row>
    <row r="37" spans="1:29" ht="15">
      <c r="A37" s="1832" t="s">
        <v>2075</v>
      </c>
      <c r="B37" s="1833" t="s">
        <v>2076</v>
      </c>
      <c r="C37" s="2592" t="s">
        <v>1</v>
      </c>
      <c r="D37" s="2593"/>
      <c r="E37" s="2594"/>
      <c r="F37" s="2595"/>
      <c r="G37" s="2596"/>
      <c r="H37" s="2597"/>
      <c r="I37" s="2594"/>
      <c r="J37" s="2597"/>
      <c r="K37" s="1597"/>
      <c r="L37" s="2130"/>
      <c r="M37" s="2131"/>
      <c r="N37" s="2120"/>
      <c r="O37" s="2131"/>
      <c r="P37" s="3418" t="str">
        <f>A37</f>
        <v>成交单价</v>
      </c>
      <c r="Q37" s="3418"/>
      <c r="R37" s="3514">
        <f>E37</f>
        <v>0</v>
      </c>
      <c r="S37" s="3514"/>
      <c r="T37" s="3514">
        <f>G37</f>
        <v>0</v>
      </c>
      <c r="U37" s="3514"/>
      <c r="V37" s="3514">
        <f>I37</f>
        <v>0</v>
      </c>
      <c r="W37" s="3514"/>
      <c r="X37" s="1546"/>
      <c r="Y37" s="1568"/>
      <c r="Z37" s="1546"/>
      <c r="AA37" s="1546"/>
      <c r="AB37" s="1546"/>
      <c r="AC37" s="1546"/>
    </row>
    <row r="38" spans="1:29" ht="15.75" thickBot="1">
      <c r="A38" s="615" t="s">
        <v>2756</v>
      </c>
      <c r="B38" s="888"/>
      <c r="C38" s="2598" t="e">
        <f>R39</f>
        <v>#DIV/0!</v>
      </c>
      <c r="D38" s="2599"/>
      <c r="E38" s="2600" t="e">
        <f>R38</f>
        <v>#DIV/0!</v>
      </c>
      <c r="F38" s="2600"/>
      <c r="G38" s="2598" t="e">
        <f>T38</f>
        <v>#DIV/0!</v>
      </c>
      <c r="H38" s="2599"/>
      <c r="I38" s="2600" t="e">
        <f>V38</f>
        <v>#DIV/0!</v>
      </c>
      <c r="J38" s="2599"/>
      <c r="K38" s="1598"/>
      <c r="L38" s="2130"/>
      <c r="M38" s="2131"/>
      <c r="N38" s="2131"/>
      <c r="O38" s="2131"/>
      <c r="P38" s="3418" t="str">
        <f>A38</f>
        <v>比较价格（元/平方米）</v>
      </c>
      <c r="Q38" s="3418"/>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1546"/>
      <c r="Y38" s="1546"/>
      <c r="Z38" s="1546"/>
      <c r="AA38" s="1546"/>
      <c r="AB38" s="1546"/>
      <c r="AC38" s="1546"/>
    </row>
    <row r="39" spans="1:29" ht="15.75" thickBot="1">
      <c r="A39" s="621" t="s">
        <v>2931</v>
      </c>
      <c r="B39" s="622"/>
      <c r="C39" s="2601" t="e">
        <f>R39</f>
        <v>#DIV/0!</v>
      </c>
      <c r="D39" s="2601"/>
      <c r="E39" s="2601"/>
      <c r="F39" s="2601"/>
      <c r="G39" s="2601"/>
      <c r="H39" s="2601"/>
      <c r="I39" s="2601"/>
      <c r="J39" s="2601"/>
      <c r="K39" s="1599"/>
      <c r="L39" s="2130"/>
      <c r="M39" s="2131"/>
      <c r="N39" s="2131"/>
      <c r="O39" s="2131"/>
      <c r="P39" s="3422" t="str">
        <f>A39</f>
        <v>估价对象XX用房的比较价格（楼面单价，元/平方米）</v>
      </c>
      <c r="Q39" s="3423"/>
      <c r="R39" s="3513" t="e">
        <f>IF(F1="售价",ROUND(AVERAGE(R38:V38),0),ROUND(AVERAGE(R38:V38),1))</f>
        <v>#DIV/0!</v>
      </c>
      <c r="S39" s="3513"/>
      <c r="T39" s="3513"/>
      <c r="U39" s="3513"/>
      <c r="V39" s="3513"/>
      <c r="W39" s="3513"/>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2019-5</v>
      </c>
      <c r="D48" s="2760">
        <f>EDATE(C48,-1)</f>
        <v>43556</v>
      </c>
      <c r="E48" s="2760">
        <f t="shared" ref="E48:O48" si="16">EDATE(D48,-1)</f>
        <v>43525</v>
      </c>
      <c r="F48" s="2760">
        <f t="shared" si="16"/>
        <v>43497</v>
      </c>
      <c r="G48" s="2760">
        <f t="shared" si="16"/>
        <v>43466</v>
      </c>
      <c r="H48" s="2760">
        <f t="shared" si="16"/>
        <v>43435</v>
      </c>
      <c r="I48" s="2760">
        <f t="shared" si="16"/>
        <v>43405</v>
      </c>
      <c r="J48" s="2760">
        <f t="shared" si="16"/>
        <v>43374</v>
      </c>
      <c r="K48" s="2760">
        <f t="shared" si="16"/>
        <v>43344</v>
      </c>
      <c r="L48" s="2760">
        <f t="shared" si="16"/>
        <v>43313</v>
      </c>
      <c r="M48" s="2760">
        <f t="shared" si="16"/>
        <v>43282</v>
      </c>
      <c r="N48" s="2760">
        <f t="shared" si="16"/>
        <v>43252</v>
      </c>
      <c r="O48" s="2760">
        <f t="shared" si="16"/>
        <v>43221</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2553</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2554</v>
      </c>
      <c r="C67" s="2563" t="s">
        <v>2555</v>
      </c>
      <c r="D67" s="2563" t="s">
        <v>2556</v>
      </c>
      <c r="E67" s="2563" t="s">
        <v>2557</v>
      </c>
      <c r="F67" s="2563" t="s">
        <v>2558</v>
      </c>
      <c r="G67" s="2563" t="s">
        <v>2559</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93" t="s">
        <v>798</v>
      </c>
      <c r="D4" s="3394"/>
      <c r="E4" s="3437" t="s">
        <v>799</v>
      </c>
      <c r="F4" s="3438"/>
      <c r="G4" s="3393" t="s">
        <v>800</v>
      </c>
      <c r="H4" s="3394"/>
      <c r="I4" s="3393" t="s">
        <v>801</v>
      </c>
      <c r="J4" s="3394"/>
      <c r="K4" s="514" t="s">
        <v>802</v>
      </c>
      <c r="L4" s="2119"/>
      <c r="M4" s="2120"/>
      <c r="N4" s="2120"/>
      <c r="O4" s="2120"/>
      <c r="P4" s="3395" t="s">
        <v>803</v>
      </c>
      <c r="Q4" s="3396"/>
      <c r="R4" s="3401" t="s">
        <v>799</v>
      </c>
      <c r="S4" s="3402"/>
      <c r="T4" s="3401" t="s">
        <v>800</v>
      </c>
      <c r="U4" s="3402"/>
      <c r="V4" s="3414" t="s">
        <v>801</v>
      </c>
      <c r="W4" s="3414"/>
      <c r="X4" s="1554"/>
      <c r="Y4" s="3401" t="s">
        <v>803</v>
      </c>
      <c r="Z4" s="3402"/>
      <c r="AA4" s="3390" t="s">
        <v>799</v>
      </c>
      <c r="AB4" s="3391" t="s">
        <v>800</v>
      </c>
      <c r="AC4" s="3390" t="s">
        <v>801</v>
      </c>
    </row>
    <row r="5" spans="1:29" ht="15">
      <c r="A5" s="515"/>
      <c r="B5" s="516"/>
      <c r="C5" s="3405" t="s">
        <v>2925</v>
      </c>
      <c r="D5" s="3406"/>
      <c r="E5" s="3439" t="s">
        <v>2926</v>
      </c>
      <c r="F5" s="3440"/>
      <c r="G5" s="3405" t="s">
        <v>2927</v>
      </c>
      <c r="H5" s="3406"/>
      <c r="I5" s="3405" t="s">
        <v>2928</v>
      </c>
      <c r="J5" s="3406"/>
      <c r="K5" s="514"/>
      <c r="L5" s="2119"/>
      <c r="M5" s="2120"/>
      <c r="N5" s="2120"/>
      <c r="O5" s="2120"/>
      <c r="P5" s="3397"/>
      <c r="Q5" s="3398"/>
      <c r="R5" s="3403"/>
      <c r="S5" s="3404"/>
      <c r="T5" s="3403"/>
      <c r="U5" s="3404"/>
      <c r="V5" s="3414"/>
      <c r="W5" s="3414"/>
      <c r="X5" s="1554"/>
      <c r="Y5" s="3403"/>
      <c r="Z5" s="3404"/>
      <c r="AA5" s="3391"/>
      <c r="AB5" s="3391"/>
      <c r="AC5" s="3391"/>
    </row>
    <row r="6" spans="1:29" ht="15.75" thickBot="1">
      <c r="A6" s="517"/>
      <c r="B6" s="518"/>
      <c r="C6" s="3410" t="s">
        <v>2929</v>
      </c>
      <c r="D6" s="3411"/>
      <c r="E6" s="3441" t="s">
        <v>2929</v>
      </c>
      <c r="F6" s="3442"/>
      <c r="G6" s="3410" t="s">
        <v>2929</v>
      </c>
      <c r="H6" s="3411"/>
      <c r="I6" s="3410" t="s">
        <v>2929</v>
      </c>
      <c r="J6" s="3411"/>
      <c r="K6" s="514" t="s">
        <v>528</v>
      </c>
      <c r="L6" s="2119"/>
      <c r="M6" s="2120"/>
      <c r="N6" s="2120"/>
      <c r="O6" s="2120"/>
      <c r="P6" s="3399"/>
      <c r="Q6" s="3400"/>
      <c r="R6" s="3403"/>
      <c r="S6" s="3404"/>
      <c r="T6" s="3412"/>
      <c r="U6" s="3413"/>
      <c r="V6" s="3414"/>
      <c r="W6" s="3414"/>
      <c r="X6" s="1554"/>
      <c r="Y6" s="3412"/>
      <c r="Z6" s="3413"/>
      <c r="AA6" s="3392"/>
      <c r="AB6" s="3392"/>
      <c r="AC6" s="3392"/>
    </row>
    <row r="7" spans="1:29" s="1216" customFormat="1" ht="15.75" thickBot="1">
      <c r="A7" s="2868"/>
      <c r="B7" s="2875" t="s">
        <v>529</v>
      </c>
      <c r="C7" s="519">
        <f>'数据-取费表'!B2</f>
        <v>43607</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15" t="s">
        <v>530</v>
      </c>
      <c r="Q7" s="3416"/>
      <c r="R7" s="1555" t="s">
        <v>8</v>
      </c>
      <c r="S7" s="1556">
        <f t="shared" ref="S7:S14" si="0">F7</f>
        <v>0</v>
      </c>
      <c r="T7" s="1555" t="s">
        <v>8</v>
      </c>
      <c r="U7" s="1556">
        <f t="shared" ref="U7:U14" si="1">H7</f>
        <v>0</v>
      </c>
      <c r="V7" s="1555" t="s">
        <v>8</v>
      </c>
      <c r="W7" s="1556">
        <f t="shared" ref="W7:W14" si="2">J7</f>
        <v>0</v>
      </c>
      <c r="X7" s="1557"/>
      <c r="Y7" s="3415" t="s">
        <v>530</v>
      </c>
      <c r="Z7" s="341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15" t="s">
        <v>533</v>
      </c>
      <c r="Q8" s="3417"/>
      <c r="R8" s="1555" t="s">
        <v>8</v>
      </c>
      <c r="S8" s="1556">
        <f t="shared" si="0"/>
        <v>0</v>
      </c>
      <c r="T8" s="1555" t="s">
        <v>8</v>
      </c>
      <c r="U8" s="1556">
        <f t="shared" si="1"/>
        <v>0</v>
      </c>
      <c r="V8" s="1555" t="s">
        <v>8</v>
      </c>
      <c r="W8" s="1556">
        <f t="shared" si="2"/>
        <v>0</v>
      </c>
      <c r="X8" s="1557"/>
      <c r="Y8" s="3415" t="s">
        <v>533</v>
      </c>
      <c r="Z8" s="3417"/>
      <c r="AA8" s="1558" t="e">
        <f t="shared" ref="AA8:AA34" si="3">D8/F8</f>
        <v>#DIV/0!</v>
      </c>
      <c r="AB8" s="1558" t="e">
        <f t="shared" ref="AB8:AB34" si="4">D8/H8</f>
        <v>#DIV/0!</v>
      </c>
      <c r="AC8" s="1558" t="e">
        <f t="shared" ref="AC8:AC34" si="5">D8/J8</f>
        <v>#DIV/0!</v>
      </c>
    </row>
    <row r="9" spans="1:29" s="1216" customFormat="1" ht="15">
      <c r="A9" s="2870"/>
      <c r="B9" s="2877" t="s">
        <v>2752</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8" t="s">
        <v>535</v>
      </c>
      <c r="Q9" s="1147" t="str">
        <f t="shared" ref="Q9:Q14" si="6">B9</f>
        <v>用途</v>
      </c>
      <c r="R9" s="1555" t="s">
        <v>8</v>
      </c>
      <c r="S9" s="1556">
        <f t="shared" si="0"/>
        <v>100</v>
      </c>
      <c r="T9" s="1555" t="s">
        <v>8</v>
      </c>
      <c r="U9" s="1556">
        <f t="shared" si="1"/>
        <v>100</v>
      </c>
      <c r="V9" s="1555" t="s">
        <v>8</v>
      </c>
      <c r="W9" s="1556">
        <f t="shared" si="2"/>
        <v>100</v>
      </c>
      <c r="X9" s="1557"/>
      <c r="Y9" s="3363" t="s">
        <v>536</v>
      </c>
      <c r="Z9" s="1146" t="str">
        <f t="shared" ref="Z9:Z14" si="7">Q9</f>
        <v>用途</v>
      </c>
      <c r="AA9" s="1558">
        <f t="shared" si="3"/>
        <v>1</v>
      </c>
      <c r="AB9" s="1558">
        <f t="shared" si="4"/>
        <v>1</v>
      </c>
      <c r="AC9" s="1558">
        <f t="shared" si="5"/>
        <v>1</v>
      </c>
    </row>
    <row r="10" spans="1:29" s="1334" customFormat="1" ht="27">
      <c r="A10" s="2871"/>
      <c r="B10" s="2876" t="s">
        <v>2753</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8"/>
      <c r="Q10" s="1147" t="str">
        <f t="shared" si="6"/>
        <v>土地使用年限（年）</v>
      </c>
      <c r="R10" s="1555" t="s">
        <v>8</v>
      </c>
      <c r="S10" s="1556">
        <f t="shared" si="0"/>
        <v>100</v>
      </c>
      <c r="T10" s="1555" t="s">
        <v>8</v>
      </c>
      <c r="U10" s="1556">
        <f t="shared" si="1"/>
        <v>100</v>
      </c>
      <c r="V10" s="1555" t="s">
        <v>8</v>
      </c>
      <c r="W10" s="1556">
        <f t="shared" si="2"/>
        <v>100</v>
      </c>
      <c r="X10" s="1557"/>
      <c r="Y10" s="3363"/>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8"/>
      <c r="Q11" s="1147">
        <f t="shared" si="6"/>
        <v>111</v>
      </c>
      <c r="R11" s="1555" t="s">
        <v>8</v>
      </c>
      <c r="S11" s="1556">
        <f t="shared" si="0"/>
        <v>100</v>
      </c>
      <c r="T11" s="1555" t="s">
        <v>8</v>
      </c>
      <c r="U11" s="1556">
        <f t="shared" si="1"/>
        <v>100</v>
      </c>
      <c r="V11" s="1555" t="s">
        <v>8</v>
      </c>
      <c r="W11" s="1556">
        <f t="shared" si="2"/>
        <v>100</v>
      </c>
      <c r="X11" s="1557"/>
      <c r="Y11" s="3363"/>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8"/>
      <c r="Q12" s="1147">
        <f t="shared" si="6"/>
        <v>111</v>
      </c>
      <c r="R12" s="1555" t="s">
        <v>8</v>
      </c>
      <c r="S12" s="1556">
        <f t="shared" si="0"/>
        <v>100</v>
      </c>
      <c r="T12" s="1555" t="s">
        <v>8</v>
      </c>
      <c r="U12" s="1556">
        <f t="shared" si="1"/>
        <v>100</v>
      </c>
      <c r="V12" s="1555" t="s">
        <v>8</v>
      </c>
      <c r="W12" s="1556">
        <f t="shared" si="2"/>
        <v>100</v>
      </c>
      <c r="X12" s="1557"/>
      <c r="Y12" s="3363"/>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8"/>
      <c r="Q13" s="1147">
        <f t="shared" si="6"/>
        <v>111</v>
      </c>
      <c r="R13" s="1555" t="s">
        <v>8</v>
      </c>
      <c r="S13" s="1556">
        <f t="shared" si="0"/>
        <v>100</v>
      </c>
      <c r="T13" s="1555" t="s">
        <v>8</v>
      </c>
      <c r="U13" s="1556">
        <f t="shared" si="1"/>
        <v>100</v>
      </c>
      <c r="V13" s="1555" t="s">
        <v>8</v>
      </c>
      <c r="W13" s="1556">
        <f t="shared" si="2"/>
        <v>100</v>
      </c>
      <c r="X13" s="1557"/>
      <c r="Y13" s="3363"/>
      <c r="Z13" s="1146">
        <f t="shared" si="7"/>
        <v>111</v>
      </c>
      <c r="AA13" s="1558">
        <f t="shared" si="3"/>
        <v>1</v>
      </c>
      <c r="AB13" s="1558">
        <f t="shared" si="4"/>
        <v>1</v>
      </c>
      <c r="AC13" s="1558">
        <f t="shared" si="5"/>
        <v>1</v>
      </c>
    </row>
    <row r="14" spans="1:29" ht="85.5">
      <c r="A14" s="2866" t="s">
        <v>2750</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19" t="s">
        <v>540</v>
      </c>
      <c r="Q14" s="1559" t="str">
        <f t="shared" si="6"/>
        <v>交通便捷度</v>
      </c>
      <c r="R14" s="1560" t="s">
        <v>8</v>
      </c>
      <c r="S14" s="1561">
        <f t="shared" si="0"/>
        <v>100</v>
      </c>
      <c r="T14" s="1560" t="s">
        <v>8</v>
      </c>
      <c r="U14" s="1561">
        <f t="shared" si="1"/>
        <v>100</v>
      </c>
      <c r="V14" s="1560" t="s">
        <v>8</v>
      </c>
      <c r="W14" s="1561">
        <f t="shared" si="2"/>
        <v>100</v>
      </c>
      <c r="X14" s="1554"/>
      <c r="Y14" s="341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20"/>
      <c r="Q15" s="1559"/>
      <c r="R15" s="1560"/>
      <c r="S15" s="1561"/>
      <c r="T15" s="1560"/>
      <c r="U15" s="1561"/>
      <c r="V15" s="1560"/>
      <c r="W15" s="1561"/>
      <c r="X15" s="1554"/>
      <c r="Y15" s="3420"/>
      <c r="Z15" s="1562"/>
      <c r="AA15" s="1563">
        <v>1</v>
      </c>
      <c r="AB15" s="1563">
        <v>1</v>
      </c>
      <c r="AC15" s="1563">
        <v>1</v>
      </c>
    </row>
    <row r="16" spans="1:29" ht="42.75">
      <c r="A16" s="532"/>
      <c r="B16" s="2568"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20"/>
      <c r="Q16" s="1559" t="str">
        <f>B16</f>
        <v>公共配套设施</v>
      </c>
      <c r="R16" s="1560" t="s">
        <v>8</v>
      </c>
      <c r="S16" s="1561">
        <f>F16</f>
        <v>100</v>
      </c>
      <c r="T16" s="1560" t="s">
        <v>8</v>
      </c>
      <c r="U16" s="1561">
        <f>H16</f>
        <v>100</v>
      </c>
      <c r="V16" s="1560" t="s">
        <v>8</v>
      </c>
      <c r="W16" s="1561">
        <f>J16</f>
        <v>100</v>
      </c>
      <c r="X16" s="1554"/>
      <c r="Y16" s="342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20"/>
      <c r="Q17" s="1559"/>
      <c r="R17" s="1560"/>
      <c r="S17" s="1561"/>
      <c r="T17" s="1560"/>
      <c r="U17" s="1561"/>
      <c r="V17" s="1560"/>
      <c r="W17" s="1561"/>
      <c r="X17" s="1554"/>
      <c r="Y17" s="3420"/>
      <c r="Z17" s="1562"/>
      <c r="AA17" s="1563">
        <v>1</v>
      </c>
      <c r="AB17" s="1563">
        <v>1</v>
      </c>
      <c r="AC17" s="1563">
        <v>1</v>
      </c>
    </row>
    <row r="18" spans="1:29" ht="28.5">
      <c r="A18" s="532"/>
      <c r="B18" s="2556"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20"/>
      <c r="Q18" s="2544" t="str">
        <f>B18</f>
        <v>基础设施水平</v>
      </c>
      <c r="R18" s="1560" t="s">
        <v>8</v>
      </c>
      <c r="S18" s="1561">
        <f>F18</f>
        <v>100</v>
      </c>
      <c r="T18" s="1560" t="s">
        <v>8</v>
      </c>
      <c r="U18" s="1561">
        <f>H18</f>
        <v>100</v>
      </c>
      <c r="V18" s="1560" t="s">
        <v>8</v>
      </c>
      <c r="W18" s="1561">
        <f>J18</f>
        <v>100</v>
      </c>
      <c r="X18" s="2546"/>
      <c r="Y18" s="3420"/>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20"/>
      <c r="Q19" s="2544"/>
      <c r="R19" s="1560"/>
      <c r="S19" s="1561"/>
      <c r="T19" s="1560"/>
      <c r="U19" s="1561"/>
      <c r="V19" s="1560"/>
      <c r="W19" s="1561"/>
      <c r="X19" s="2546"/>
      <c r="Y19" s="3420"/>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20"/>
      <c r="Q20" s="1559" t="str">
        <f>B20</f>
        <v>自然及人文环境</v>
      </c>
      <c r="R20" s="1560" t="s">
        <v>8</v>
      </c>
      <c r="S20" s="1561">
        <f>F20</f>
        <v>100</v>
      </c>
      <c r="T20" s="1560" t="s">
        <v>8</v>
      </c>
      <c r="U20" s="1561">
        <f>H20</f>
        <v>100</v>
      </c>
      <c r="V20" s="1560" t="s">
        <v>8</v>
      </c>
      <c r="W20" s="1561">
        <f>J20</f>
        <v>100</v>
      </c>
      <c r="X20" s="1554"/>
      <c r="Y20" s="342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20"/>
      <c r="Q21" s="1559"/>
      <c r="R21" s="1560"/>
      <c r="S21" s="1561"/>
      <c r="T21" s="1560"/>
      <c r="U21" s="1561"/>
      <c r="V21" s="1560"/>
      <c r="W21" s="1561"/>
      <c r="X21" s="1554"/>
      <c r="Y21" s="342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20"/>
      <c r="Q22" s="1559" t="str">
        <f>B22</f>
        <v>楼层</v>
      </c>
      <c r="R22" s="1560" t="s">
        <v>8</v>
      </c>
      <c r="S22" s="1561">
        <f>F22</f>
        <v>100</v>
      </c>
      <c r="T22" s="1560" t="s">
        <v>8</v>
      </c>
      <c r="U22" s="1561">
        <f>H22</f>
        <v>100</v>
      </c>
      <c r="V22" s="1560" t="s">
        <v>8</v>
      </c>
      <c r="W22" s="1561">
        <f>J22</f>
        <v>100</v>
      </c>
      <c r="X22" s="1554"/>
      <c r="Y22" s="342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20"/>
      <c r="Q23" s="1559">
        <f>B23</f>
        <v>111</v>
      </c>
      <c r="R23" s="1560" t="s">
        <v>8</v>
      </c>
      <c r="S23" s="1561">
        <f>F23</f>
        <v>100</v>
      </c>
      <c r="T23" s="1560" t="s">
        <v>8</v>
      </c>
      <c r="U23" s="1561">
        <f>H23</f>
        <v>100</v>
      </c>
      <c r="V23" s="1560" t="s">
        <v>8</v>
      </c>
      <c r="W23" s="1561">
        <f>J23</f>
        <v>100</v>
      </c>
      <c r="X23" s="1554"/>
      <c r="Y23" s="342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20"/>
      <c r="Q24" s="1559">
        <f t="shared" ref="Q24:Q34" si="11">B24</f>
        <v>111</v>
      </c>
      <c r="R24" s="1560" t="s">
        <v>8</v>
      </c>
      <c r="S24" s="1561">
        <f>F24</f>
        <v>100</v>
      </c>
      <c r="T24" s="1560" t="s">
        <v>8</v>
      </c>
      <c r="U24" s="1561">
        <f>H24</f>
        <v>100</v>
      </c>
      <c r="V24" s="1560" t="s">
        <v>8</v>
      </c>
      <c r="W24" s="1561">
        <f>J24</f>
        <v>100</v>
      </c>
      <c r="X24" s="1554"/>
      <c r="Y24" s="342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20"/>
      <c r="Q25" s="1147">
        <f t="shared" si="11"/>
        <v>111</v>
      </c>
      <c r="R25" s="1555" t="s">
        <v>8</v>
      </c>
      <c r="S25" s="1556">
        <f>F25</f>
        <v>100</v>
      </c>
      <c r="T25" s="1555" t="s">
        <v>8</v>
      </c>
      <c r="U25" s="1556">
        <f>H25</f>
        <v>100</v>
      </c>
      <c r="V25" s="1555" t="s">
        <v>8</v>
      </c>
      <c r="W25" s="1556">
        <f>J25</f>
        <v>100</v>
      </c>
      <c r="X25" s="1557"/>
      <c r="Y25" s="3420"/>
      <c r="Z25" s="1146">
        <f>Q25</f>
        <v>111</v>
      </c>
      <c r="AA25" s="1563">
        <f>D25/F25</f>
        <v>1</v>
      </c>
      <c r="AB25" s="1563">
        <f>D25/H25</f>
        <v>1</v>
      </c>
      <c r="AC25" s="1563">
        <f>D25/J25</f>
        <v>1</v>
      </c>
    </row>
    <row r="26" spans="1:29" ht="15">
      <c r="A26" s="2863" t="s">
        <v>2751</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25"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26"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26"/>
      <c r="Q27" s="1591" t="str">
        <f t="shared" si="11"/>
        <v>成新率</v>
      </c>
      <c r="R27" s="1564" t="s">
        <v>8</v>
      </c>
      <c r="S27" s="1565" t="e">
        <f t="shared" si="12"/>
        <v>#N/A</v>
      </c>
      <c r="T27" s="1564" t="s">
        <v>8</v>
      </c>
      <c r="U27" s="1565" t="e">
        <f t="shared" si="13"/>
        <v>#N/A</v>
      </c>
      <c r="V27" s="1564" t="s">
        <v>8</v>
      </c>
      <c r="W27" s="1565" t="e">
        <f t="shared" si="14"/>
        <v>#N/A</v>
      </c>
      <c r="X27" s="1566"/>
      <c r="Y27" s="3426"/>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26"/>
      <c r="Q28" s="1559" t="str">
        <f t="shared" si="11"/>
        <v>物业等级</v>
      </c>
      <c r="R28" s="1560" t="s">
        <v>8</v>
      </c>
      <c r="S28" s="1561">
        <f t="shared" si="12"/>
        <v>100</v>
      </c>
      <c r="T28" s="1560" t="s">
        <v>8</v>
      </c>
      <c r="U28" s="1561">
        <f t="shared" si="13"/>
        <v>100</v>
      </c>
      <c r="V28" s="1560" t="s">
        <v>8</v>
      </c>
      <c r="W28" s="1561">
        <f t="shared" si="14"/>
        <v>100</v>
      </c>
      <c r="X28" s="1554"/>
      <c r="Y28" s="3426"/>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26"/>
      <c r="Q29" s="1559" t="str">
        <f t="shared" si="11"/>
        <v>有无电梯</v>
      </c>
      <c r="R29" s="1560" t="s">
        <v>8</v>
      </c>
      <c r="S29" s="1561">
        <f t="shared" si="12"/>
        <v>100</v>
      </c>
      <c r="T29" s="1560" t="s">
        <v>8</v>
      </c>
      <c r="U29" s="1561">
        <f t="shared" si="13"/>
        <v>100</v>
      </c>
      <c r="V29" s="1560" t="s">
        <v>8</v>
      </c>
      <c r="W29" s="1561">
        <f t="shared" si="14"/>
        <v>100</v>
      </c>
      <c r="X29" s="1554"/>
      <c r="Y29" s="3426"/>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26"/>
      <c r="Q30" s="1559" t="str">
        <f t="shared" si="11"/>
        <v>建筑面积</v>
      </c>
      <c r="R30" s="1560" t="s">
        <v>8</v>
      </c>
      <c r="S30" s="1561" t="e">
        <f t="shared" si="12"/>
        <v>#N/A</v>
      </c>
      <c r="T30" s="1560" t="s">
        <v>8</v>
      </c>
      <c r="U30" s="1561" t="e">
        <f t="shared" si="13"/>
        <v>#N/A</v>
      </c>
      <c r="V30" s="1560" t="s">
        <v>8</v>
      </c>
      <c r="W30" s="1561" t="e">
        <f t="shared" si="14"/>
        <v>#N/A</v>
      </c>
      <c r="X30" s="1554"/>
      <c r="Y30" s="3426"/>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26"/>
      <c r="Q31" s="1147" t="str">
        <f t="shared" si="11"/>
        <v>是否封闭</v>
      </c>
      <c r="R31" s="1555" t="s">
        <v>8</v>
      </c>
      <c r="S31" s="1556">
        <f t="shared" si="12"/>
        <v>100</v>
      </c>
      <c r="T31" s="1555" t="s">
        <v>8</v>
      </c>
      <c r="U31" s="1556">
        <f t="shared" si="13"/>
        <v>100</v>
      </c>
      <c r="V31" s="1555" t="s">
        <v>8</v>
      </c>
      <c r="W31" s="1556">
        <f t="shared" si="14"/>
        <v>100</v>
      </c>
      <c r="X31" s="1557"/>
      <c r="Y31" s="3426"/>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26" t="s">
        <v>550</v>
      </c>
      <c r="Q32" s="1559">
        <f t="shared" si="11"/>
        <v>111</v>
      </c>
      <c r="R32" s="1560" t="s">
        <v>8</v>
      </c>
      <c r="S32" s="1561">
        <f t="shared" si="12"/>
        <v>100</v>
      </c>
      <c r="T32" s="1560" t="s">
        <v>8</v>
      </c>
      <c r="U32" s="1561">
        <f t="shared" si="13"/>
        <v>100</v>
      </c>
      <c r="V32" s="1560" t="s">
        <v>8</v>
      </c>
      <c r="W32" s="1561">
        <f t="shared" si="14"/>
        <v>100</v>
      </c>
      <c r="X32" s="1554"/>
      <c r="Y32" s="3426"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26"/>
      <c r="Q33" s="1559">
        <f t="shared" si="11"/>
        <v>111</v>
      </c>
      <c r="R33" s="1560" t="s">
        <v>8</v>
      </c>
      <c r="S33" s="1561">
        <f t="shared" si="12"/>
        <v>100</v>
      </c>
      <c r="T33" s="1560" t="s">
        <v>8</v>
      </c>
      <c r="U33" s="1561">
        <f t="shared" si="13"/>
        <v>100</v>
      </c>
      <c r="V33" s="1560" t="s">
        <v>8</v>
      </c>
      <c r="W33" s="1561">
        <f t="shared" si="14"/>
        <v>100</v>
      </c>
      <c r="X33" s="1554"/>
      <c r="Y33" s="3426"/>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26"/>
      <c r="Q34" s="1559">
        <f t="shared" si="11"/>
        <v>111</v>
      </c>
      <c r="R34" s="1560" t="s">
        <v>8</v>
      </c>
      <c r="S34" s="1561">
        <f t="shared" si="12"/>
        <v>100</v>
      </c>
      <c r="T34" s="1560" t="s">
        <v>8</v>
      </c>
      <c r="U34" s="1561">
        <f t="shared" si="13"/>
        <v>100</v>
      </c>
      <c r="V34" s="1560" t="s">
        <v>8</v>
      </c>
      <c r="W34" s="1561">
        <f t="shared" si="14"/>
        <v>100</v>
      </c>
      <c r="X34" s="1554"/>
      <c r="Y34" s="3426"/>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8" t="str">
        <f>A35</f>
        <v>成交单价（元/平方米）</v>
      </c>
      <c r="Q35" s="3418"/>
      <c r="R35" s="3514">
        <f>E35</f>
        <v>0</v>
      </c>
      <c r="S35" s="3514"/>
      <c r="T35" s="3514">
        <f>G35</f>
        <v>0</v>
      </c>
      <c r="U35" s="3514"/>
      <c r="V35" s="3514">
        <f>I35</f>
        <v>0</v>
      </c>
      <c r="W35" s="3514"/>
      <c r="X35" s="1546"/>
      <c r="Y35" s="1568"/>
      <c r="Z35" s="1546"/>
      <c r="AA35" s="1546"/>
      <c r="AB35" s="1546"/>
      <c r="AC35" s="1546"/>
    </row>
    <row r="36" spans="1:29" ht="15.75" thickBot="1">
      <c r="A36" s="615" t="s">
        <v>2756</v>
      </c>
      <c r="B36" s="888"/>
      <c r="C36" s="2598" t="e">
        <f>R37</f>
        <v>#DIV/0!</v>
      </c>
      <c r="D36" s="2599"/>
      <c r="E36" s="2600" t="e">
        <f>R36</f>
        <v>#DIV/0!</v>
      </c>
      <c r="F36" s="2600"/>
      <c r="G36" s="2598" t="e">
        <f>T36</f>
        <v>#DIV/0!</v>
      </c>
      <c r="H36" s="2599"/>
      <c r="I36" s="2600" t="e">
        <f>V36</f>
        <v>#DIV/0!</v>
      </c>
      <c r="J36" s="2599"/>
      <c r="K36" s="1598"/>
      <c r="L36" s="2130"/>
      <c r="M36" s="2131"/>
      <c r="N36" s="2120"/>
      <c r="O36" s="2131"/>
      <c r="P36" s="3418" t="str">
        <f>A36</f>
        <v>比较价格（元/平方米）</v>
      </c>
      <c r="Q36" s="3418"/>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46"/>
      <c r="Y36" s="1546"/>
      <c r="Z36" s="1546"/>
      <c r="AA36" s="1546"/>
      <c r="AB36" s="1546"/>
      <c r="AC36" s="1546"/>
    </row>
    <row r="37" spans="1:29" ht="15.75" thickBot="1">
      <c r="A37" s="621" t="s">
        <v>2931</v>
      </c>
      <c r="B37" s="622"/>
      <c r="C37" s="2601" t="e">
        <f>R37</f>
        <v>#DIV/0!</v>
      </c>
      <c r="D37" s="2601"/>
      <c r="E37" s="2601"/>
      <c r="F37" s="2601"/>
      <c r="G37" s="2601"/>
      <c r="H37" s="2601"/>
      <c r="I37" s="2601"/>
      <c r="J37" s="2601"/>
      <c r="K37" s="1599"/>
      <c r="L37" s="2130"/>
      <c r="M37" s="2131"/>
      <c r="N37" s="2131"/>
      <c r="O37" s="2131"/>
      <c r="P37" s="3422" t="str">
        <f>A37</f>
        <v>估价对象XX用房的比较价格（楼面单价，元/平方米）</v>
      </c>
      <c r="Q37" s="3423"/>
      <c r="R37" s="3513" t="e">
        <f>IF(F1="售价",ROUND(AVERAGE(R36:V36),0),ROUND(AVERAGE(R36:V36),1))</f>
        <v>#DIV/0!</v>
      </c>
      <c r="S37" s="3513"/>
      <c r="T37" s="3513"/>
      <c r="U37" s="3513"/>
      <c r="V37" s="3513"/>
      <c r="W37" s="3513"/>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2019-5</v>
      </c>
      <c r="D46" s="2760">
        <f>EDATE(C46,-1)</f>
        <v>43556</v>
      </c>
      <c r="E46" s="2760">
        <f t="shared" ref="E46:O46" si="16">EDATE(D46,-1)</f>
        <v>43525</v>
      </c>
      <c r="F46" s="2760">
        <f t="shared" si="16"/>
        <v>43497</v>
      </c>
      <c r="G46" s="2760">
        <f t="shared" si="16"/>
        <v>43466</v>
      </c>
      <c r="H46" s="2760">
        <f t="shared" si="16"/>
        <v>43435</v>
      </c>
      <c r="I46" s="2760">
        <f t="shared" si="16"/>
        <v>43405</v>
      </c>
      <c r="J46" s="2760">
        <f t="shared" si="16"/>
        <v>43374</v>
      </c>
      <c r="K46" s="2760">
        <f t="shared" si="16"/>
        <v>43344</v>
      </c>
      <c r="L46" s="2760">
        <f t="shared" si="16"/>
        <v>43313</v>
      </c>
      <c r="M46" s="2760">
        <f t="shared" si="16"/>
        <v>43282</v>
      </c>
      <c r="N46" s="2760">
        <f t="shared" si="16"/>
        <v>43252</v>
      </c>
      <c r="O46" s="2760">
        <f t="shared" si="16"/>
        <v>43221</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2553</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2554</v>
      </c>
      <c r="C65" s="2563" t="s">
        <v>2555</v>
      </c>
      <c r="D65" s="2563" t="s">
        <v>2556</v>
      </c>
      <c r="E65" s="2563" t="s">
        <v>2557</v>
      </c>
      <c r="F65" s="2563" t="s">
        <v>2558</v>
      </c>
      <c r="G65" s="2563" t="s">
        <v>2559</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1903</v>
      </c>
    </row>
    <row r="2" spans="1:4">
      <c r="A2" s="1765"/>
    </row>
    <row r="3" spans="1:4" ht="18.75">
      <c r="A3" s="1783" t="str">
        <f>项目基本情况!B5&amp;"："</f>
        <v>诸城龙乡水务集团有限公司：</v>
      </c>
    </row>
    <row r="4" spans="1:4" ht="37.5">
      <c r="A4" s="1777" t="str">
        <f>"受贵公司委托，我公司对"&amp;项目基本情况!K2&amp;项目基本情况!B9&amp;"进行了预评估。"</f>
        <v>受贵公司委托，我公司对山东省潍坊市诸城市南环路共计8宗商业用地出让国有建设用地使用权抵押价格进行了预评估。</v>
      </c>
    </row>
    <row r="5" spans="1:4" ht="18.75">
      <c r="A5" s="1780" t="s">
        <v>1904</v>
      </c>
    </row>
    <row r="6" spans="1:4" ht="93.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诸城龙乡水务集团有限公司使用的、位于山东省潍坊市诸城市南环路共计8宗商业用地出让国有建设用地使用权。根据《国有土地使用证》[]，估价对象（分摊）出让国有建设用地使用权面积为40652平方米。根据《建设工程规划许可证》[]、《出让合同》[]，估价对象规划建筑面积为60978平方米。</v>
      </c>
    </row>
    <row r="7" spans="1:4" ht="93.75">
      <c r="A7" s="2829" t="s">
        <v>2744</v>
      </c>
    </row>
    <row r="8" spans="1:4" ht="18.75">
      <c r="A8" s="1780" t="s">
        <v>1905</v>
      </c>
    </row>
    <row r="9" spans="1:4" ht="75">
      <c r="A9" s="1782"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83" t="s">
        <v>2024</v>
      </c>
    </row>
    <row r="11" spans="1:4" ht="18.75">
      <c r="A11" s="1766" t="str">
        <f>TEXT(项目基本情况!D3,"yyyy年m月d日;;")&amp;IF(项目基本情况!B3=项目基本情况!D3,"（评估专业人员勘察现场之日）","")</f>
        <v>2019年5月22日</v>
      </c>
    </row>
    <row r="12" spans="1:4" ht="18.75">
      <c r="A12" s="1783" t="s">
        <v>2023</v>
      </c>
    </row>
    <row r="13" spans="1:4" ht="18.75">
      <c r="A13" s="1777" t="s">
        <v>2069</v>
      </c>
    </row>
    <row r="14" spans="1:4" ht="56.25">
      <c r="A14" s="1777" t="str">
        <f>"根据"&amp;项目基本情况!F12&amp;"，本次评估估价对象证载（地类）用途为"&amp;项目基本情况!B12&amp;"。"</f>
        <v>根据《国有土地使用证》[诸国用（2013）第03050、03053、03056、03059、03061、03069、02087、02089号]，本次评估估价对象证载（地类）用途为其它商服用地。</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67"/>
      <c r="D15" s="1768"/>
    </row>
    <row r="16" spans="1:4" ht="18.75">
      <c r="A16" s="1777" t="s">
        <v>2070</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2071</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根据《国有土地使用证》[]，估价对象（分摊）出让国有建设用地使用权面积为40652平方米。根据《建设工程规划许可证》[]、《出让合同》[]，估价对象规划建筑面积为60978平方米。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2072</v>
      </c>
    </row>
    <row r="23" spans="1:1" ht="18.75">
      <c r="A23" s="2831" t="s">
        <v>2745</v>
      </c>
    </row>
    <row r="24" spans="1:1" ht="18.75">
      <c r="A24" s="1777" t="s">
        <v>2073</v>
      </c>
    </row>
    <row r="25" spans="1:1" ht="93.75">
      <c r="A25" s="1777" t="str">
        <f>定义!C53</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2025</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2026</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30" sqref="B30"/>
    </sheetView>
  </sheetViews>
  <sheetFormatPr defaultColWidth="9" defaultRowHeight="12.75"/>
  <cols>
    <col min="1" max="1" width="11.5" style="1246" customWidth="1"/>
    <col min="2" max="2" width="9.25" style="1214" customWidth="1"/>
    <col min="3" max="3" width="5" style="1214" customWidth="1"/>
    <col min="4" max="4" width="9" style="1214"/>
    <col min="5" max="5" width="6.25" style="1214" customWidth="1"/>
    <col min="6" max="6" width="9" style="1214"/>
    <col min="7" max="7" width="7.125" style="1214" customWidth="1"/>
    <col min="8" max="8" width="9" style="1214"/>
    <col min="9" max="9" width="6.5" style="1214" customWidth="1"/>
    <col min="10" max="10" width="9" style="1214"/>
    <col min="11" max="11" width="6.37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20" width="9" style="257"/>
    <col min="21" max="21" width="10.375" style="257" bestFit="1" customWidth="1"/>
    <col min="22" max="35" width="9" style="257"/>
    <col min="36" max="16384" width="9" style="1246"/>
  </cols>
  <sheetData>
    <row r="1" spans="1:45" s="257" customFormat="1" ht="14.25" customHeight="1" thickBot="1">
      <c r="A1" s="365"/>
      <c r="B1" s="2220" t="s">
        <v>2301</v>
      </c>
      <c r="C1" s="3523" t="s">
        <v>2302</v>
      </c>
      <c r="D1" s="3524"/>
      <c r="E1" s="3524"/>
      <c r="F1" s="3524"/>
      <c r="G1" s="3524"/>
      <c r="H1" s="3524"/>
      <c r="I1" s="3524"/>
      <c r="J1" s="3524"/>
      <c r="K1" s="3524"/>
      <c r="L1" s="3524"/>
      <c r="M1" s="3524"/>
      <c r="N1" s="3524"/>
      <c r="O1" s="3524"/>
      <c r="P1" s="3524"/>
      <c r="Q1" s="3524"/>
      <c r="R1" s="3524"/>
      <c r="S1" s="3525"/>
      <c r="T1" s="2220" t="s">
        <v>2303</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ht="38.25">
      <c r="A2" s="2221"/>
      <c r="B2" s="949" t="s">
        <v>2304</v>
      </c>
      <c r="C2" s="950" t="str">
        <f t="shared" ref="C2:L2" si="0">C3&amp;"(含)"&amp;"-"&amp;D3</f>
        <v>0(含)-10000</v>
      </c>
      <c r="D2" s="951" t="str">
        <f t="shared" si="0"/>
        <v>10000(含)-20000</v>
      </c>
      <c r="E2" s="951" t="str">
        <f t="shared" si="0"/>
        <v>20000(含)-30000</v>
      </c>
      <c r="F2" s="951" t="str">
        <f t="shared" si="0"/>
        <v>30000(含)-40000</v>
      </c>
      <c r="G2" s="951" t="str">
        <f t="shared" si="0"/>
        <v>40000(含)-50000</v>
      </c>
      <c r="H2" s="951" t="str">
        <f t="shared" si="0"/>
        <v>50000(含)-60000</v>
      </c>
      <c r="I2" s="951" t="str">
        <f t="shared" si="0"/>
        <v>60000(含)-70000</v>
      </c>
      <c r="J2" s="951" t="str">
        <f t="shared" si="0"/>
        <v>70000(含)-80000</v>
      </c>
      <c r="K2" s="951" t="str">
        <f t="shared" si="0"/>
        <v>80000(含)-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v>0</v>
      </c>
      <c r="D3" s="955">
        <v>10000</v>
      </c>
      <c r="E3" s="955">
        <v>20000</v>
      </c>
      <c r="F3" s="955">
        <v>30000</v>
      </c>
      <c r="G3" s="955">
        <v>40000</v>
      </c>
      <c r="H3" s="955">
        <v>50000</v>
      </c>
      <c r="I3" s="955">
        <v>60000</v>
      </c>
      <c r="J3" s="956">
        <v>70000</v>
      </c>
      <c r="K3" s="956">
        <v>80000</v>
      </c>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v>100</v>
      </c>
      <c r="D4" s="2232">
        <v>101</v>
      </c>
      <c r="E4" s="2232">
        <v>102</v>
      </c>
      <c r="F4" s="2232">
        <v>103</v>
      </c>
      <c r="G4" s="2232">
        <v>104</v>
      </c>
      <c r="H4" s="2232">
        <v>105</v>
      </c>
      <c r="I4" s="2232">
        <v>106</v>
      </c>
      <c r="J4" s="2232">
        <v>107</v>
      </c>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2924</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2923</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2922</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2935</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2921</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2920</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2305</v>
      </c>
      <c r="B17" s="2264" t="s">
        <v>2306</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 ca="1">S22</f>
        <v>81866</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f ca="1">R22</f>
        <v>3096</v>
      </c>
      <c r="C21" s="1976"/>
      <c r="D21" s="1976"/>
      <c r="E21" s="1976"/>
      <c r="F21" s="1976"/>
      <c r="G21" s="1976"/>
      <c r="H21" s="1976"/>
      <c r="I21" s="1976"/>
      <c r="J21" s="1976"/>
      <c r="K21" s="1976"/>
      <c r="L21" s="1976"/>
      <c r="M21" s="1976"/>
      <c r="N21" s="1976"/>
      <c r="O21" s="1976"/>
      <c r="P21" s="1976"/>
      <c r="Q21" s="1976"/>
      <c r="R21" s="2211"/>
      <c r="S21" s="2014"/>
      <c r="T21" s="257">
        <v>1.7</v>
      </c>
    </row>
    <row r="22" spans="1:45">
      <c r="A22" s="799" t="s">
        <v>830</v>
      </c>
      <c r="B22" s="53">
        <f>SUM(B24:B10000)</f>
        <v>264427.3</v>
      </c>
      <c r="C22" s="3520" t="s">
        <v>20</v>
      </c>
      <c r="D22" s="3521"/>
      <c r="E22" s="3521"/>
      <c r="F22" s="3521"/>
      <c r="G22" s="3521"/>
      <c r="H22" s="3521"/>
      <c r="I22" s="3521"/>
      <c r="J22" s="3521"/>
      <c r="K22" s="3521"/>
      <c r="L22" s="3521"/>
      <c r="M22" s="3521"/>
      <c r="N22" s="3521"/>
      <c r="O22" s="3521"/>
      <c r="P22" s="3521"/>
      <c r="Q22" s="3522"/>
      <c r="R22" s="490">
        <f ca="1">ROUND(S22*10000/B22,0)</f>
        <v>3096</v>
      </c>
      <c r="S22" s="53">
        <f ca="1">SUM(S24:S10000)</f>
        <v>81866</v>
      </c>
      <c r="T22" s="257">
        <f ca="1">S22*0.6</f>
        <v>49119.6</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v>3050</v>
      </c>
      <c r="B24" s="961">
        <f>Sheet2!E2</f>
        <v>60978</v>
      </c>
      <c r="C24" s="962">
        <v>1</v>
      </c>
      <c r="D24" s="963"/>
      <c r="E24" s="962">
        <v>1</v>
      </c>
      <c r="F24" s="963"/>
      <c r="G24" s="962">
        <v>1</v>
      </c>
      <c r="H24" s="963"/>
      <c r="I24" s="962">
        <v>1</v>
      </c>
      <c r="J24" s="963"/>
      <c r="K24" s="962">
        <v>1</v>
      </c>
      <c r="L24" s="963"/>
      <c r="M24" s="962">
        <v>1</v>
      </c>
      <c r="N24" s="963"/>
      <c r="O24" s="962">
        <v>1</v>
      </c>
      <c r="P24" s="963"/>
      <c r="Q24" s="962">
        <v>1</v>
      </c>
      <c r="R24" s="964">
        <f ca="1">结果表!G20</f>
        <v>3160</v>
      </c>
      <c r="S24" s="962">
        <f t="shared" ref="S24:S54" ca="1" si="11">ROUND(R24*B24/10000,0)</f>
        <v>19269</v>
      </c>
      <c r="T24" s="1959"/>
      <c r="U24" s="1959"/>
      <c r="V24" s="1959"/>
      <c r="W24" s="1959"/>
      <c r="X24" s="1959"/>
      <c r="Y24" s="1959"/>
      <c r="Z24" s="1959"/>
      <c r="AA24" s="1959"/>
      <c r="AB24" s="1959"/>
      <c r="AC24" s="1959"/>
      <c r="AD24" s="1959"/>
      <c r="AE24" s="1959"/>
      <c r="AF24" s="1959"/>
      <c r="AG24" s="1959"/>
      <c r="AH24" s="1959"/>
      <c r="AI24" s="1959"/>
    </row>
    <row r="25" spans="1:45">
      <c r="A25" s="965">
        <v>3053</v>
      </c>
      <c r="B25" s="961">
        <f>Sheet2!E3</f>
        <v>35667</v>
      </c>
      <c r="C25" s="53">
        <f>IF(B25="",1,(LOOKUP(B25,$3:$3,$4:$4)-LOOKUP($B$24,$3:$3,$4:$4)+100)/100)</f>
        <v>0.97</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3065</v>
      </c>
      <c r="S25" s="799">
        <f t="shared" ca="1" si="11"/>
        <v>10932</v>
      </c>
    </row>
    <row r="26" spans="1:45">
      <c r="A26" s="965">
        <v>3056</v>
      </c>
      <c r="B26" s="961">
        <f>Sheet2!E4</f>
        <v>5784</v>
      </c>
      <c r="C26" s="53">
        <f t="shared" ref="C26:C89" si="12">IF(B26="",1,(LOOKUP(B26,$3:$3,$4:$4)-LOOKUP($B$24,$3:$3,$4:$4)+100)/100)</f>
        <v>0.94</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2970</v>
      </c>
      <c r="S26" s="799">
        <f t="shared" ca="1" si="11"/>
        <v>1718</v>
      </c>
    </row>
    <row r="27" spans="1:45">
      <c r="A27" s="965">
        <v>3059</v>
      </c>
      <c r="B27" s="961">
        <f>Sheet2!E5</f>
        <v>47032.5</v>
      </c>
      <c r="C27" s="53">
        <f t="shared" si="12"/>
        <v>0.98</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ca="1" si="20"/>
        <v>3097</v>
      </c>
      <c r="S27" s="799">
        <f t="shared" ca="1" si="11"/>
        <v>14566</v>
      </c>
    </row>
    <row r="28" spans="1:45">
      <c r="A28" s="965">
        <v>3061</v>
      </c>
      <c r="B28" s="961">
        <f>Sheet2!E6</f>
        <v>47193</v>
      </c>
      <c r="C28" s="53">
        <f t="shared" si="12"/>
        <v>0.98</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ca="1" si="20"/>
        <v>3097</v>
      </c>
      <c r="S28" s="799">
        <f t="shared" ca="1" si="11"/>
        <v>14616</v>
      </c>
    </row>
    <row r="29" spans="1:45">
      <c r="A29" s="965">
        <v>3069</v>
      </c>
      <c r="B29" s="961">
        <f>Sheet2!E7</f>
        <v>44178</v>
      </c>
      <c r="C29" s="53">
        <f t="shared" si="12"/>
        <v>0.98</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ca="1" si="20"/>
        <v>3097</v>
      </c>
      <c r="S29" s="799">
        <f t="shared" ca="1" si="11"/>
        <v>13682</v>
      </c>
    </row>
    <row r="30" spans="1:45">
      <c r="A30" s="965">
        <v>2087</v>
      </c>
      <c r="B30" s="961">
        <f>Sheet2!D8*1.7</f>
        <v>11906.8</v>
      </c>
      <c r="C30" s="53">
        <f t="shared" si="12"/>
        <v>0.95</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ca="1" si="20"/>
        <v>3002</v>
      </c>
      <c r="S30" s="799">
        <f t="shared" ca="1" si="11"/>
        <v>3574</v>
      </c>
    </row>
    <row r="31" spans="1:45">
      <c r="A31" s="965">
        <v>2089</v>
      </c>
      <c r="B31" s="961">
        <f>Sheet2!E9</f>
        <v>11688</v>
      </c>
      <c r="C31" s="53">
        <f t="shared" si="12"/>
        <v>0.95</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ca="1" si="20"/>
        <v>3002</v>
      </c>
      <c r="S31" s="799">
        <f t="shared" ca="1" si="11"/>
        <v>3509</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43607</v>
      </c>
      <c r="H1" s="2894">
        <f>IF(C1&gt;C13,0,MATCH(C1,C$13:C$100,-1))+IF(SUMIF(C13:C100,C1,D13:D100)=0,13,12)</f>
        <v>13</v>
      </c>
      <c r="I1" s="2894">
        <f ca="1">MATCH(C2,H3:H7,1)+IF(SUMIF(H3:H7,C2,I3:I7)=0,2,1)</f>
        <v>4</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1</v>
      </c>
      <c r="D2" s="2956" t="s">
        <v>2785</v>
      </c>
      <c r="E2" s="2959">
        <f ca="1">INDIRECT("I"&amp;$I$1)/100</f>
        <v>4.3499999999999997E-2</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6:O262"/>
  <sheetViews>
    <sheetView topLeftCell="A208" workbookViewId="0">
      <selection activeCell="L98" sqref="L98"/>
    </sheetView>
  </sheetViews>
  <sheetFormatPr defaultRowHeight="13.5"/>
  <sheetData>
    <row r="236" spans="1:15">
      <c r="O236">
        <f>22054.2/42008*10000</f>
        <v>5250</v>
      </c>
    </row>
    <row r="237" spans="1:15">
      <c r="O237">
        <f>O236/2</f>
        <v>2625</v>
      </c>
    </row>
    <row r="240" spans="1:15">
      <c r="A240" s="3206"/>
    </row>
    <row r="262" spans="15:15">
      <c r="O262">
        <f>30358.125/57825*10000</f>
        <v>5250</v>
      </c>
    </row>
  </sheetData>
  <phoneticPr fontId="229"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01"/>
  <sheetViews>
    <sheetView topLeftCell="A127" zoomScaleNormal="100" workbookViewId="0">
      <selection activeCell="F144" sqref="F144"/>
    </sheetView>
  </sheetViews>
  <sheetFormatPr defaultRowHeight="13.5"/>
  <cols>
    <col min="1" max="1" width="30.375" customWidth="1"/>
    <col min="6" max="6" width="25.125" customWidth="1"/>
    <col min="13" max="13" width="19.875" customWidth="1"/>
  </cols>
  <sheetData>
    <row r="1" spans="1:15">
      <c r="A1" s="3195" t="s">
        <v>3042</v>
      </c>
      <c r="B1" s="3195" t="s">
        <v>3043</v>
      </c>
      <c r="C1" s="3195" t="s">
        <v>3044</v>
      </c>
      <c r="D1" s="3195" t="s">
        <v>3045</v>
      </c>
      <c r="E1" s="3195" t="s">
        <v>3046</v>
      </c>
      <c r="F1" s="3195" t="s">
        <v>2030</v>
      </c>
      <c r="G1" s="3195" t="s">
        <v>3047</v>
      </c>
      <c r="H1" s="3195" t="s">
        <v>3048</v>
      </c>
      <c r="I1" s="3195" t="s">
        <v>3049</v>
      </c>
      <c r="J1" s="3195" t="s">
        <v>3050</v>
      </c>
      <c r="K1" s="3195" t="s">
        <v>3051</v>
      </c>
      <c r="L1" s="3195" t="s">
        <v>3052</v>
      </c>
      <c r="M1" s="3195" t="s">
        <v>3053</v>
      </c>
      <c r="N1" s="3195" t="s">
        <v>3054</v>
      </c>
    </row>
    <row r="2" spans="1:15">
      <c r="A2" s="3195" t="s">
        <v>3055</v>
      </c>
      <c r="B2" s="3195" t="s">
        <v>3056</v>
      </c>
      <c r="C2" s="3195" t="s">
        <v>3057</v>
      </c>
      <c r="D2" s="3195">
        <v>94</v>
      </c>
      <c r="E2" s="3195">
        <v>470</v>
      </c>
      <c r="F2" s="3195" t="s">
        <v>3058</v>
      </c>
      <c r="G2" s="3195" t="s">
        <v>3059</v>
      </c>
      <c r="H2" s="3195" t="s">
        <v>3060</v>
      </c>
      <c r="I2" s="3195">
        <v>14.09</v>
      </c>
      <c r="J2" s="3195">
        <v>14.09</v>
      </c>
      <c r="K2" s="3195">
        <v>300</v>
      </c>
      <c r="L2" s="3195">
        <v>0</v>
      </c>
      <c r="M2" s="3195" t="s">
        <v>3061</v>
      </c>
      <c r="N2" s="3195" t="s">
        <v>3062</v>
      </c>
      <c r="O2">
        <f>ROUND(J2/D2*10000,0)</f>
        <v>1499</v>
      </c>
    </row>
    <row r="3" spans="1:15">
      <c r="A3" s="3195" t="s">
        <v>3055</v>
      </c>
      <c r="B3" s="3195" t="s">
        <v>3056</v>
      </c>
      <c r="C3" s="3195" t="s">
        <v>3057</v>
      </c>
      <c r="D3" s="3195">
        <v>112</v>
      </c>
      <c r="E3" s="3195">
        <v>560</v>
      </c>
      <c r="F3" s="3195" t="s">
        <v>3058</v>
      </c>
      <c r="G3" s="3195" t="s">
        <v>3059</v>
      </c>
      <c r="H3" s="3195" t="s">
        <v>3060</v>
      </c>
      <c r="I3" s="3195">
        <v>16.8</v>
      </c>
      <c r="J3" s="3195">
        <v>16.8</v>
      </c>
      <c r="K3" s="3195">
        <v>300</v>
      </c>
      <c r="L3" s="3195">
        <v>0</v>
      </c>
      <c r="M3" s="3195" t="s">
        <v>3063</v>
      </c>
      <c r="N3" s="3195" t="s">
        <v>3062</v>
      </c>
      <c r="O3">
        <f t="shared" ref="O3:O66" si="0">ROUND(J3/D3*10000,0)</f>
        <v>1500</v>
      </c>
    </row>
    <row r="4" spans="1:15">
      <c r="A4" s="3195" t="s">
        <v>3055</v>
      </c>
      <c r="B4" s="3195" t="s">
        <v>3056</v>
      </c>
      <c r="C4" s="3195" t="s">
        <v>3057</v>
      </c>
      <c r="D4" s="3195">
        <v>123</v>
      </c>
      <c r="E4" s="3195">
        <v>615</v>
      </c>
      <c r="F4" s="3195" t="s">
        <v>3058</v>
      </c>
      <c r="G4" s="3195" t="s">
        <v>3059</v>
      </c>
      <c r="H4" s="3195" t="s">
        <v>3060</v>
      </c>
      <c r="I4" s="3195">
        <v>18.440000000000001</v>
      </c>
      <c r="J4" s="3195">
        <v>18.440000000000001</v>
      </c>
      <c r="K4" s="3195">
        <v>300</v>
      </c>
      <c r="L4" s="3195">
        <v>0</v>
      </c>
      <c r="M4" s="3195" t="s">
        <v>3064</v>
      </c>
      <c r="N4" s="3195" t="s">
        <v>3062</v>
      </c>
      <c r="O4">
        <f t="shared" si="0"/>
        <v>1499</v>
      </c>
    </row>
    <row r="5" spans="1:15">
      <c r="A5" s="3195" t="s">
        <v>3055</v>
      </c>
      <c r="B5" s="3195" t="s">
        <v>3056</v>
      </c>
      <c r="C5" s="3195" t="s">
        <v>3057</v>
      </c>
      <c r="D5" s="3195">
        <v>122</v>
      </c>
      <c r="E5" s="3195">
        <v>610</v>
      </c>
      <c r="F5" s="3195" t="s">
        <v>3058</v>
      </c>
      <c r="G5" s="3195" t="s">
        <v>3059</v>
      </c>
      <c r="H5" s="3195" t="s">
        <v>3060</v>
      </c>
      <c r="I5" s="3195">
        <v>18.3</v>
      </c>
      <c r="J5" s="3195">
        <v>18.3</v>
      </c>
      <c r="K5" s="3195">
        <v>300</v>
      </c>
      <c r="L5" s="3195">
        <v>0</v>
      </c>
      <c r="M5" s="3195" t="s">
        <v>3065</v>
      </c>
      <c r="N5" s="3195" t="s">
        <v>3062</v>
      </c>
      <c r="O5">
        <f t="shared" si="0"/>
        <v>1500</v>
      </c>
    </row>
    <row r="6" spans="1:15">
      <c r="A6" s="3195" t="s">
        <v>3055</v>
      </c>
      <c r="B6" s="3195" t="s">
        <v>3056</v>
      </c>
      <c r="C6" s="3195" t="s">
        <v>3057</v>
      </c>
      <c r="D6" s="3195">
        <v>120</v>
      </c>
      <c r="E6" s="3195">
        <v>600</v>
      </c>
      <c r="F6" s="3195" t="s">
        <v>3058</v>
      </c>
      <c r="G6" s="3195" t="s">
        <v>3059</v>
      </c>
      <c r="H6" s="3195" t="s">
        <v>3060</v>
      </c>
      <c r="I6" s="3195">
        <v>18</v>
      </c>
      <c r="J6" s="3195">
        <v>18</v>
      </c>
      <c r="K6" s="3195">
        <v>300</v>
      </c>
      <c r="L6" s="3195">
        <v>0</v>
      </c>
      <c r="M6" s="3195" t="s">
        <v>3066</v>
      </c>
      <c r="N6" s="3195" t="s">
        <v>3062</v>
      </c>
      <c r="O6">
        <f t="shared" si="0"/>
        <v>1500</v>
      </c>
    </row>
    <row r="7" spans="1:15">
      <c r="A7" s="3195" t="s">
        <v>3055</v>
      </c>
      <c r="B7" s="3195" t="s">
        <v>3056</v>
      </c>
      <c r="C7" s="3195" t="s">
        <v>3057</v>
      </c>
      <c r="D7" s="3195">
        <v>126</v>
      </c>
      <c r="E7" s="3195">
        <v>630</v>
      </c>
      <c r="F7" s="3195" t="s">
        <v>3058</v>
      </c>
      <c r="G7" s="3195" t="s">
        <v>3059</v>
      </c>
      <c r="H7" s="3195" t="s">
        <v>3060</v>
      </c>
      <c r="I7" s="3195">
        <v>18.89</v>
      </c>
      <c r="J7" s="3195">
        <v>18.89</v>
      </c>
      <c r="K7" s="3195">
        <v>300</v>
      </c>
      <c r="L7" s="3195">
        <v>0</v>
      </c>
      <c r="M7" s="3195" t="s">
        <v>3067</v>
      </c>
      <c r="N7" s="3195" t="s">
        <v>3062</v>
      </c>
      <c r="O7">
        <f t="shared" si="0"/>
        <v>1499</v>
      </c>
    </row>
    <row r="8" spans="1:15">
      <c r="A8" s="3195" t="s">
        <v>3055</v>
      </c>
      <c r="B8" s="3195" t="s">
        <v>3056</v>
      </c>
      <c r="C8" s="3195" t="s">
        <v>3057</v>
      </c>
      <c r="D8" s="3195">
        <v>97</v>
      </c>
      <c r="E8" s="3195">
        <v>485</v>
      </c>
      <c r="F8" s="3195" t="s">
        <v>3058</v>
      </c>
      <c r="G8" s="3195" t="s">
        <v>3059</v>
      </c>
      <c r="H8" s="3195" t="s">
        <v>3060</v>
      </c>
      <c r="I8" s="3195">
        <v>14.55</v>
      </c>
      <c r="J8" s="3195">
        <v>14.55</v>
      </c>
      <c r="K8" s="3195">
        <v>300</v>
      </c>
      <c r="L8" s="3195">
        <v>0</v>
      </c>
      <c r="M8" s="3195" t="s">
        <v>3068</v>
      </c>
      <c r="N8" s="3195" t="s">
        <v>3062</v>
      </c>
      <c r="O8">
        <f t="shared" si="0"/>
        <v>1500</v>
      </c>
    </row>
    <row r="9" spans="1:15">
      <c r="A9" s="3195" t="s">
        <v>3055</v>
      </c>
      <c r="B9" s="3195" t="s">
        <v>3056</v>
      </c>
      <c r="C9" s="3195" t="s">
        <v>3057</v>
      </c>
      <c r="D9" s="3195">
        <v>107</v>
      </c>
      <c r="E9" s="3195">
        <v>535</v>
      </c>
      <c r="F9" s="3195" t="s">
        <v>3058</v>
      </c>
      <c r="G9" s="3195" t="s">
        <v>3059</v>
      </c>
      <c r="H9" s="3195" t="s">
        <v>3060</v>
      </c>
      <c r="I9" s="3195">
        <v>16.05</v>
      </c>
      <c r="J9" s="3195">
        <v>16.05</v>
      </c>
      <c r="K9" s="3195">
        <v>300</v>
      </c>
      <c r="L9" s="3195">
        <v>0</v>
      </c>
      <c r="M9" s="3195" t="s">
        <v>3069</v>
      </c>
      <c r="N9" s="3195" t="s">
        <v>3062</v>
      </c>
      <c r="O9">
        <f t="shared" si="0"/>
        <v>1500</v>
      </c>
    </row>
    <row r="10" spans="1:15">
      <c r="A10" s="3195" t="s">
        <v>3055</v>
      </c>
      <c r="B10" s="3195" t="s">
        <v>3056</v>
      </c>
      <c r="C10" s="3195" t="s">
        <v>3057</v>
      </c>
      <c r="D10" s="3195">
        <v>97</v>
      </c>
      <c r="E10" s="3195">
        <v>485</v>
      </c>
      <c r="F10" s="3195" t="s">
        <v>3058</v>
      </c>
      <c r="G10" s="3195" t="s">
        <v>3059</v>
      </c>
      <c r="H10" s="3195" t="s">
        <v>3060</v>
      </c>
      <c r="I10" s="3195">
        <v>14.55</v>
      </c>
      <c r="J10" s="3195">
        <v>14.55</v>
      </c>
      <c r="K10" s="3195">
        <v>300</v>
      </c>
      <c r="L10" s="3195">
        <v>0</v>
      </c>
      <c r="M10" s="3195" t="s">
        <v>3070</v>
      </c>
      <c r="N10" s="3195" t="s">
        <v>3062</v>
      </c>
      <c r="O10">
        <f t="shared" si="0"/>
        <v>1500</v>
      </c>
    </row>
    <row r="11" spans="1:15">
      <c r="A11" s="3195" t="s">
        <v>3055</v>
      </c>
      <c r="B11" s="3195" t="s">
        <v>3056</v>
      </c>
      <c r="C11" s="3195" t="s">
        <v>3057</v>
      </c>
      <c r="D11" s="3195">
        <v>134</v>
      </c>
      <c r="E11" s="3195">
        <v>670</v>
      </c>
      <c r="F11" s="3195" t="s">
        <v>3058</v>
      </c>
      <c r="G11" s="3195" t="s">
        <v>3059</v>
      </c>
      <c r="H11" s="3195" t="s">
        <v>3060</v>
      </c>
      <c r="I11" s="3195">
        <v>20.100000000000001</v>
      </c>
      <c r="J11" s="3195">
        <v>20.100000000000001</v>
      </c>
      <c r="K11" s="3195">
        <v>300</v>
      </c>
      <c r="L11" s="3195">
        <v>0</v>
      </c>
      <c r="M11" s="3195" t="s">
        <v>3071</v>
      </c>
      <c r="N11" s="3195" t="s">
        <v>3062</v>
      </c>
      <c r="O11">
        <f t="shared" si="0"/>
        <v>1500</v>
      </c>
    </row>
    <row r="12" spans="1:15">
      <c r="A12" s="3195" t="s">
        <v>3055</v>
      </c>
      <c r="B12" s="3195" t="s">
        <v>3056</v>
      </c>
      <c r="C12" s="3195" t="s">
        <v>3057</v>
      </c>
      <c r="D12" s="3195">
        <v>120</v>
      </c>
      <c r="E12" s="3195">
        <v>600</v>
      </c>
      <c r="F12" s="3195" t="s">
        <v>3058</v>
      </c>
      <c r="G12" s="3195" t="s">
        <v>3059</v>
      </c>
      <c r="H12" s="3195" t="s">
        <v>3060</v>
      </c>
      <c r="I12" s="3195">
        <v>18</v>
      </c>
      <c r="J12" s="3195">
        <v>18</v>
      </c>
      <c r="K12" s="3195">
        <v>300</v>
      </c>
      <c r="L12" s="3195">
        <v>0</v>
      </c>
      <c r="M12" s="3195" t="s">
        <v>3072</v>
      </c>
      <c r="N12" s="3195" t="s">
        <v>3062</v>
      </c>
      <c r="O12">
        <f t="shared" si="0"/>
        <v>1500</v>
      </c>
    </row>
    <row r="13" spans="1:15">
      <c r="A13" s="3195" t="s">
        <v>3055</v>
      </c>
      <c r="B13" s="3195" t="s">
        <v>3056</v>
      </c>
      <c r="C13" s="3195" t="s">
        <v>3057</v>
      </c>
      <c r="D13" s="3195">
        <v>96</v>
      </c>
      <c r="E13" s="3195">
        <v>480</v>
      </c>
      <c r="F13" s="3195" t="s">
        <v>3058</v>
      </c>
      <c r="G13" s="3195" t="s">
        <v>3059</v>
      </c>
      <c r="H13" s="3195" t="s">
        <v>3060</v>
      </c>
      <c r="I13" s="3195">
        <v>14.4</v>
      </c>
      <c r="J13" s="3195">
        <v>14.4</v>
      </c>
      <c r="K13" s="3195">
        <v>300</v>
      </c>
      <c r="L13" s="3195">
        <v>0</v>
      </c>
      <c r="M13" s="3195" t="s">
        <v>3073</v>
      </c>
      <c r="N13" s="3195" t="s">
        <v>3062</v>
      </c>
      <c r="O13">
        <f t="shared" si="0"/>
        <v>1500</v>
      </c>
    </row>
    <row r="14" spans="1:15">
      <c r="A14" s="3195" t="s">
        <v>3055</v>
      </c>
      <c r="B14" s="3195" t="s">
        <v>3056</v>
      </c>
      <c r="C14" s="3195" t="s">
        <v>3057</v>
      </c>
      <c r="D14" s="3195">
        <v>108</v>
      </c>
      <c r="E14" s="3195">
        <v>540</v>
      </c>
      <c r="F14" s="3195" t="s">
        <v>3058</v>
      </c>
      <c r="G14" s="3195" t="s">
        <v>3059</v>
      </c>
      <c r="H14" s="3195" t="s">
        <v>3074</v>
      </c>
      <c r="I14" s="3195">
        <v>16.190000000000001</v>
      </c>
      <c r="J14" s="3195">
        <v>16.190000000000001</v>
      </c>
      <c r="K14" s="3195">
        <v>300</v>
      </c>
      <c r="L14" s="3195">
        <v>0</v>
      </c>
      <c r="M14" s="3195" t="s">
        <v>3075</v>
      </c>
      <c r="N14" s="3195" t="s">
        <v>3062</v>
      </c>
      <c r="O14">
        <f t="shared" si="0"/>
        <v>1499</v>
      </c>
    </row>
    <row r="15" spans="1:15">
      <c r="A15" s="3195" t="s">
        <v>3055</v>
      </c>
      <c r="B15" s="3195" t="s">
        <v>3056</v>
      </c>
      <c r="C15" s="3195" t="s">
        <v>3057</v>
      </c>
      <c r="D15" s="3195">
        <v>85</v>
      </c>
      <c r="E15" s="3195">
        <v>425</v>
      </c>
      <c r="F15" s="3195" t="s">
        <v>3058</v>
      </c>
      <c r="G15" s="3195" t="s">
        <v>3059</v>
      </c>
      <c r="H15" s="3195" t="s">
        <v>3074</v>
      </c>
      <c r="I15" s="3195">
        <v>12.75</v>
      </c>
      <c r="J15" s="3195">
        <v>12.75</v>
      </c>
      <c r="K15" s="3195">
        <v>300</v>
      </c>
      <c r="L15" s="3195">
        <v>0</v>
      </c>
      <c r="M15" s="3195" t="s">
        <v>3076</v>
      </c>
      <c r="N15" s="3195" t="s">
        <v>3062</v>
      </c>
      <c r="O15">
        <f t="shared" si="0"/>
        <v>1500</v>
      </c>
    </row>
    <row r="16" spans="1:15">
      <c r="A16" s="3195" t="s">
        <v>3055</v>
      </c>
      <c r="B16" s="3195" t="s">
        <v>3056</v>
      </c>
      <c r="C16" s="3195" t="s">
        <v>3057</v>
      </c>
      <c r="D16" s="3195">
        <v>99</v>
      </c>
      <c r="E16" s="3195">
        <v>495</v>
      </c>
      <c r="F16" s="3195" t="s">
        <v>3058</v>
      </c>
      <c r="G16" s="3195" t="s">
        <v>3059</v>
      </c>
      <c r="H16" s="3195" t="s">
        <v>3074</v>
      </c>
      <c r="I16" s="3195">
        <v>14.84</v>
      </c>
      <c r="J16" s="3195">
        <v>14.84</v>
      </c>
      <c r="K16" s="3195">
        <v>300</v>
      </c>
      <c r="L16" s="3195">
        <v>0</v>
      </c>
      <c r="M16" s="3195" t="s">
        <v>3077</v>
      </c>
      <c r="N16" s="3195" t="s">
        <v>3062</v>
      </c>
      <c r="O16">
        <f t="shared" si="0"/>
        <v>1499</v>
      </c>
    </row>
    <row r="17" spans="1:15">
      <c r="A17" s="3195" t="s">
        <v>3055</v>
      </c>
      <c r="B17" s="3195" t="s">
        <v>3056</v>
      </c>
      <c r="C17" s="3195" t="s">
        <v>3057</v>
      </c>
      <c r="D17" s="3195">
        <v>91</v>
      </c>
      <c r="E17" s="3195">
        <v>455</v>
      </c>
      <c r="F17" s="3195" t="s">
        <v>3058</v>
      </c>
      <c r="G17" s="3195" t="s">
        <v>3059</v>
      </c>
      <c r="H17" s="3195" t="s">
        <v>3074</v>
      </c>
      <c r="I17" s="3195">
        <v>13.65</v>
      </c>
      <c r="J17" s="3195">
        <v>13.65</v>
      </c>
      <c r="K17" s="3195">
        <v>300</v>
      </c>
      <c r="L17" s="3195">
        <v>0</v>
      </c>
      <c r="M17" s="3195" t="s">
        <v>3078</v>
      </c>
      <c r="N17" s="3195" t="s">
        <v>3062</v>
      </c>
      <c r="O17">
        <f t="shared" si="0"/>
        <v>1500</v>
      </c>
    </row>
    <row r="18" spans="1:15">
      <c r="A18" s="3195" t="s">
        <v>3055</v>
      </c>
      <c r="B18" s="3195" t="s">
        <v>3056</v>
      </c>
      <c r="C18" s="3195" t="s">
        <v>3057</v>
      </c>
      <c r="D18" s="3195">
        <v>99</v>
      </c>
      <c r="E18" s="3195">
        <v>495</v>
      </c>
      <c r="F18" s="3195" t="s">
        <v>3058</v>
      </c>
      <c r="G18" s="3195" t="s">
        <v>3059</v>
      </c>
      <c r="H18" s="3195" t="s">
        <v>3074</v>
      </c>
      <c r="I18" s="3195">
        <v>14.84</v>
      </c>
      <c r="J18" s="3195">
        <v>14.84</v>
      </c>
      <c r="K18" s="3195">
        <v>300</v>
      </c>
      <c r="L18" s="3195">
        <v>0</v>
      </c>
      <c r="M18" s="3195" t="s">
        <v>3079</v>
      </c>
      <c r="N18" s="3195" t="s">
        <v>3062</v>
      </c>
      <c r="O18">
        <f t="shared" si="0"/>
        <v>1499</v>
      </c>
    </row>
    <row r="19" spans="1:15">
      <c r="A19" s="3195" t="s">
        <v>3055</v>
      </c>
      <c r="B19" s="3195" t="s">
        <v>3056</v>
      </c>
      <c r="C19" s="3195" t="s">
        <v>3057</v>
      </c>
      <c r="D19" s="3195">
        <v>101</v>
      </c>
      <c r="E19" s="3195">
        <v>505</v>
      </c>
      <c r="F19" s="3195" t="s">
        <v>3058</v>
      </c>
      <c r="G19" s="3195" t="s">
        <v>3059</v>
      </c>
      <c r="H19" s="3195" t="s">
        <v>3074</v>
      </c>
      <c r="I19" s="3195">
        <v>15.15</v>
      </c>
      <c r="J19" s="3195">
        <v>15.15</v>
      </c>
      <c r="K19" s="3195">
        <v>300</v>
      </c>
      <c r="L19" s="3195">
        <v>0</v>
      </c>
      <c r="M19" s="3195" t="s">
        <v>3080</v>
      </c>
      <c r="N19" s="3195" t="s">
        <v>3062</v>
      </c>
      <c r="O19">
        <f t="shared" si="0"/>
        <v>1500</v>
      </c>
    </row>
    <row r="20" spans="1:15">
      <c r="A20" s="3195" t="s">
        <v>3081</v>
      </c>
      <c r="B20" s="3195" t="s">
        <v>3056</v>
      </c>
      <c r="C20" s="3195" t="s">
        <v>3057</v>
      </c>
      <c r="D20" s="3195">
        <v>133</v>
      </c>
      <c r="E20" s="3195">
        <v>665</v>
      </c>
      <c r="F20" s="3195" t="s">
        <v>3058</v>
      </c>
      <c r="G20" s="3195" t="s">
        <v>3059</v>
      </c>
      <c r="H20" s="3195" t="s">
        <v>3074</v>
      </c>
      <c r="I20" s="3195">
        <v>19.940000000000001</v>
      </c>
      <c r="J20" s="3195">
        <v>19.940000000000001</v>
      </c>
      <c r="K20" s="3195">
        <v>300</v>
      </c>
      <c r="L20" s="3195">
        <v>0</v>
      </c>
      <c r="M20" s="3195" t="s">
        <v>3082</v>
      </c>
      <c r="N20" s="3195" t="s">
        <v>3062</v>
      </c>
      <c r="O20">
        <f t="shared" si="0"/>
        <v>1499</v>
      </c>
    </row>
    <row r="21" spans="1:15">
      <c r="A21" s="3195" t="s">
        <v>3055</v>
      </c>
      <c r="B21" s="3195" t="s">
        <v>3056</v>
      </c>
      <c r="C21" s="3195" t="s">
        <v>3057</v>
      </c>
      <c r="D21" s="3195">
        <v>99</v>
      </c>
      <c r="E21" s="3195">
        <v>495</v>
      </c>
      <c r="F21" s="3195" t="s">
        <v>3058</v>
      </c>
      <c r="G21" s="3195" t="s">
        <v>3059</v>
      </c>
      <c r="H21" s="3195" t="s">
        <v>3074</v>
      </c>
      <c r="I21" s="3195">
        <v>14.84</v>
      </c>
      <c r="J21" s="3195">
        <v>14.84</v>
      </c>
      <c r="K21" s="3195">
        <v>300</v>
      </c>
      <c r="L21" s="3195">
        <v>0</v>
      </c>
      <c r="M21" s="3195" t="s">
        <v>3083</v>
      </c>
      <c r="N21" s="3195" t="s">
        <v>3062</v>
      </c>
      <c r="O21">
        <f t="shared" si="0"/>
        <v>1499</v>
      </c>
    </row>
    <row r="22" spans="1:15">
      <c r="A22" s="3195" t="s">
        <v>3055</v>
      </c>
      <c r="B22" s="3195" t="s">
        <v>3056</v>
      </c>
      <c r="C22" s="3195" t="s">
        <v>3057</v>
      </c>
      <c r="D22" s="3195">
        <v>91</v>
      </c>
      <c r="E22" s="3195">
        <v>455</v>
      </c>
      <c r="F22" s="3195" t="s">
        <v>3058</v>
      </c>
      <c r="G22" s="3195" t="s">
        <v>3059</v>
      </c>
      <c r="H22" s="3195" t="s">
        <v>3074</v>
      </c>
      <c r="I22" s="3195">
        <v>13.65</v>
      </c>
      <c r="J22" s="3195">
        <v>13.65</v>
      </c>
      <c r="K22" s="3195">
        <v>300</v>
      </c>
      <c r="L22" s="3195">
        <v>0</v>
      </c>
      <c r="M22" s="3195" t="s">
        <v>3078</v>
      </c>
      <c r="N22" s="3195" t="s">
        <v>3062</v>
      </c>
      <c r="O22">
        <f t="shared" si="0"/>
        <v>1500</v>
      </c>
    </row>
    <row r="23" spans="1:15">
      <c r="A23" s="3195" t="s">
        <v>3055</v>
      </c>
      <c r="B23" s="3195" t="s">
        <v>3056</v>
      </c>
      <c r="C23" s="3195" t="s">
        <v>3057</v>
      </c>
      <c r="D23" s="3195">
        <v>99</v>
      </c>
      <c r="E23" s="3195">
        <v>495</v>
      </c>
      <c r="F23" s="3195" t="s">
        <v>3058</v>
      </c>
      <c r="G23" s="3195" t="s">
        <v>3059</v>
      </c>
      <c r="H23" s="3195" t="s">
        <v>3074</v>
      </c>
      <c r="I23" s="3195">
        <v>14.84</v>
      </c>
      <c r="J23" s="3195">
        <v>14.84</v>
      </c>
      <c r="K23" s="3195">
        <v>300</v>
      </c>
      <c r="L23" s="3195">
        <v>0</v>
      </c>
      <c r="M23" s="3195" t="s">
        <v>3084</v>
      </c>
      <c r="N23" s="3195" t="s">
        <v>3062</v>
      </c>
      <c r="O23">
        <f t="shared" si="0"/>
        <v>1499</v>
      </c>
    </row>
    <row r="24" spans="1:15">
      <c r="A24" s="3195" t="s">
        <v>3055</v>
      </c>
      <c r="B24" s="3195" t="s">
        <v>3056</v>
      </c>
      <c r="C24" s="3195" t="s">
        <v>3057</v>
      </c>
      <c r="D24" s="3195">
        <v>99</v>
      </c>
      <c r="E24" s="3195">
        <v>495</v>
      </c>
      <c r="F24" s="3195" t="s">
        <v>3058</v>
      </c>
      <c r="G24" s="3195" t="s">
        <v>3059</v>
      </c>
      <c r="H24" s="3195" t="s">
        <v>3074</v>
      </c>
      <c r="I24" s="3195">
        <v>14.84</v>
      </c>
      <c r="J24" s="3195">
        <v>14.84</v>
      </c>
      <c r="K24" s="3195">
        <v>300</v>
      </c>
      <c r="L24" s="3195">
        <v>0</v>
      </c>
      <c r="M24" s="3195" t="s">
        <v>3085</v>
      </c>
      <c r="N24" s="3195" t="s">
        <v>3062</v>
      </c>
      <c r="O24">
        <f t="shared" si="0"/>
        <v>1499</v>
      </c>
    </row>
    <row r="25" spans="1:15">
      <c r="A25" s="3195" t="s">
        <v>3055</v>
      </c>
      <c r="B25" s="3195" t="s">
        <v>3056</v>
      </c>
      <c r="C25" s="3195" t="s">
        <v>3057</v>
      </c>
      <c r="D25" s="3195">
        <v>96</v>
      </c>
      <c r="E25" s="3195">
        <v>480</v>
      </c>
      <c r="F25" s="3195" t="s">
        <v>3058</v>
      </c>
      <c r="G25" s="3195" t="s">
        <v>3059</v>
      </c>
      <c r="H25" s="3195" t="s">
        <v>3074</v>
      </c>
      <c r="I25" s="3195">
        <v>14.4</v>
      </c>
      <c r="J25" s="3195">
        <v>14.4</v>
      </c>
      <c r="K25" s="3195">
        <v>300</v>
      </c>
      <c r="L25" s="3195">
        <v>0</v>
      </c>
      <c r="M25" s="3195" t="s">
        <v>3086</v>
      </c>
      <c r="N25" s="3195" t="s">
        <v>3062</v>
      </c>
      <c r="O25">
        <f t="shared" si="0"/>
        <v>1500</v>
      </c>
    </row>
    <row r="26" spans="1:15">
      <c r="A26" s="3195" t="s">
        <v>3055</v>
      </c>
      <c r="B26" s="3195" t="s">
        <v>3056</v>
      </c>
      <c r="C26" s="3195" t="s">
        <v>3057</v>
      </c>
      <c r="D26" s="3195">
        <v>129</v>
      </c>
      <c r="E26" s="3195">
        <v>645</v>
      </c>
      <c r="F26" s="3195" t="s">
        <v>3058</v>
      </c>
      <c r="G26" s="3195" t="s">
        <v>3059</v>
      </c>
      <c r="H26" s="3195" t="s">
        <v>3087</v>
      </c>
      <c r="I26" s="3195" t="s">
        <v>2814</v>
      </c>
      <c r="J26" s="3195">
        <v>19.350000000000001</v>
      </c>
      <c r="K26" s="3195">
        <v>300</v>
      </c>
      <c r="L26" s="3195" t="s">
        <v>2814</v>
      </c>
      <c r="M26" s="3195" t="s">
        <v>3088</v>
      </c>
      <c r="N26" s="3195" t="s">
        <v>3062</v>
      </c>
      <c r="O26">
        <f t="shared" si="0"/>
        <v>1500</v>
      </c>
    </row>
    <row r="27" spans="1:15">
      <c r="A27" s="3195" t="s">
        <v>3055</v>
      </c>
      <c r="B27" s="3195" t="s">
        <v>3056</v>
      </c>
      <c r="C27" s="3195" t="s">
        <v>3057</v>
      </c>
      <c r="D27" s="3195">
        <v>93</v>
      </c>
      <c r="E27" s="3195">
        <v>465</v>
      </c>
      <c r="F27" s="3195" t="s">
        <v>3058</v>
      </c>
      <c r="G27" s="3195" t="s">
        <v>3059</v>
      </c>
      <c r="H27" s="3195" t="s">
        <v>3087</v>
      </c>
      <c r="I27" s="3195" t="s">
        <v>2814</v>
      </c>
      <c r="J27" s="3195">
        <v>13.94</v>
      </c>
      <c r="K27" s="3195">
        <v>300</v>
      </c>
      <c r="L27" s="3195" t="s">
        <v>2814</v>
      </c>
      <c r="M27" s="3195" t="s">
        <v>3089</v>
      </c>
      <c r="N27" s="3195" t="s">
        <v>3062</v>
      </c>
      <c r="O27">
        <f t="shared" si="0"/>
        <v>1499</v>
      </c>
    </row>
    <row r="28" spans="1:15">
      <c r="A28" s="3195" t="s">
        <v>3055</v>
      </c>
      <c r="B28" s="3195" t="s">
        <v>3056</v>
      </c>
      <c r="C28" s="3195" t="s">
        <v>3057</v>
      </c>
      <c r="D28" s="3195">
        <v>102</v>
      </c>
      <c r="E28" s="3195">
        <v>510</v>
      </c>
      <c r="F28" s="3195" t="s">
        <v>3058</v>
      </c>
      <c r="G28" s="3195" t="s">
        <v>3059</v>
      </c>
      <c r="H28" s="3195" t="s">
        <v>3087</v>
      </c>
      <c r="I28" s="3195" t="s">
        <v>2814</v>
      </c>
      <c r="J28" s="3195">
        <v>15.3</v>
      </c>
      <c r="K28" s="3195">
        <v>300</v>
      </c>
      <c r="L28" s="3195" t="s">
        <v>2814</v>
      </c>
      <c r="M28" s="3195" t="s">
        <v>3090</v>
      </c>
      <c r="N28" s="3195" t="s">
        <v>3062</v>
      </c>
      <c r="O28">
        <f t="shared" si="0"/>
        <v>1500</v>
      </c>
    </row>
    <row r="29" spans="1:15">
      <c r="A29" s="3195" t="s">
        <v>3055</v>
      </c>
      <c r="B29" s="3195" t="s">
        <v>3056</v>
      </c>
      <c r="C29" s="3195" t="s">
        <v>3057</v>
      </c>
      <c r="D29" s="3195">
        <v>102</v>
      </c>
      <c r="E29" s="3195">
        <v>510</v>
      </c>
      <c r="F29" s="3195" t="s">
        <v>3058</v>
      </c>
      <c r="G29" s="3195" t="s">
        <v>3059</v>
      </c>
      <c r="H29" s="3195" t="s">
        <v>3087</v>
      </c>
      <c r="I29" s="3195" t="s">
        <v>2814</v>
      </c>
      <c r="J29" s="3195">
        <v>15.3</v>
      </c>
      <c r="K29" s="3195">
        <v>300</v>
      </c>
      <c r="L29" s="3195" t="s">
        <v>2814</v>
      </c>
      <c r="M29" s="3195" t="s">
        <v>3090</v>
      </c>
      <c r="N29" s="3195" t="s">
        <v>3062</v>
      </c>
      <c r="O29">
        <f t="shared" si="0"/>
        <v>1500</v>
      </c>
    </row>
    <row r="30" spans="1:15">
      <c r="A30" s="3195" t="s">
        <v>3055</v>
      </c>
      <c r="B30" s="3195" t="s">
        <v>3056</v>
      </c>
      <c r="C30" s="3195" t="s">
        <v>3057</v>
      </c>
      <c r="D30" s="3195">
        <v>95</v>
      </c>
      <c r="E30" s="3195">
        <v>475</v>
      </c>
      <c r="F30" s="3195" t="s">
        <v>3058</v>
      </c>
      <c r="G30" s="3195" t="s">
        <v>3059</v>
      </c>
      <c r="H30" s="3195" t="s">
        <v>3087</v>
      </c>
      <c r="I30" s="3195" t="s">
        <v>2814</v>
      </c>
      <c r="J30" s="3195">
        <v>14.25</v>
      </c>
      <c r="K30" s="3195">
        <v>300</v>
      </c>
      <c r="L30" s="3195" t="s">
        <v>2814</v>
      </c>
      <c r="M30" s="3195" t="s">
        <v>3091</v>
      </c>
      <c r="N30" s="3195" t="s">
        <v>3062</v>
      </c>
      <c r="O30">
        <f t="shared" si="0"/>
        <v>1500</v>
      </c>
    </row>
    <row r="31" spans="1:15">
      <c r="A31" s="3195" t="s">
        <v>3055</v>
      </c>
      <c r="B31" s="3195" t="s">
        <v>3056</v>
      </c>
      <c r="C31" s="3195" t="s">
        <v>3057</v>
      </c>
      <c r="D31" s="3195">
        <v>96</v>
      </c>
      <c r="E31" s="3195">
        <v>480</v>
      </c>
      <c r="F31" s="3195" t="s">
        <v>3058</v>
      </c>
      <c r="G31" s="3195" t="s">
        <v>3059</v>
      </c>
      <c r="H31" s="3195" t="s">
        <v>3087</v>
      </c>
      <c r="I31" s="3195" t="s">
        <v>2814</v>
      </c>
      <c r="J31" s="3195">
        <v>14.4</v>
      </c>
      <c r="K31" s="3195">
        <v>300</v>
      </c>
      <c r="L31" s="3195" t="s">
        <v>2814</v>
      </c>
      <c r="M31" s="3195" t="s">
        <v>3092</v>
      </c>
      <c r="N31" s="3195" t="s">
        <v>3062</v>
      </c>
      <c r="O31">
        <f t="shared" si="0"/>
        <v>1500</v>
      </c>
    </row>
    <row r="32" spans="1:15">
      <c r="A32" s="3195" t="s">
        <v>3055</v>
      </c>
      <c r="B32" s="3195" t="s">
        <v>3056</v>
      </c>
      <c r="C32" s="3195" t="s">
        <v>3057</v>
      </c>
      <c r="D32" s="3195">
        <v>99</v>
      </c>
      <c r="E32" s="3195">
        <v>495</v>
      </c>
      <c r="F32" s="3195" t="s">
        <v>3058</v>
      </c>
      <c r="G32" s="3195" t="s">
        <v>3059</v>
      </c>
      <c r="H32" s="3195" t="s">
        <v>3087</v>
      </c>
      <c r="I32" s="3195" t="s">
        <v>2814</v>
      </c>
      <c r="J32" s="3195">
        <v>14.84</v>
      </c>
      <c r="K32" s="3195">
        <v>300</v>
      </c>
      <c r="L32" s="3195" t="s">
        <v>2814</v>
      </c>
      <c r="M32" s="3195" t="s">
        <v>3093</v>
      </c>
      <c r="N32" s="3195" t="s">
        <v>3062</v>
      </c>
      <c r="O32">
        <f t="shared" si="0"/>
        <v>1499</v>
      </c>
    </row>
    <row r="33" spans="1:15">
      <c r="A33" s="3195" t="s">
        <v>3055</v>
      </c>
      <c r="B33" s="3195" t="s">
        <v>3056</v>
      </c>
      <c r="C33" s="3195" t="s">
        <v>3057</v>
      </c>
      <c r="D33" s="3195">
        <v>131</v>
      </c>
      <c r="E33" s="3195">
        <v>655</v>
      </c>
      <c r="F33" s="3195" t="s">
        <v>3058</v>
      </c>
      <c r="G33" s="3195" t="s">
        <v>3059</v>
      </c>
      <c r="H33" s="3195" t="s">
        <v>3087</v>
      </c>
      <c r="I33" s="3195" t="s">
        <v>2814</v>
      </c>
      <c r="J33" s="3195">
        <v>19.64</v>
      </c>
      <c r="K33" s="3195">
        <v>300</v>
      </c>
      <c r="L33" s="3195" t="s">
        <v>2814</v>
      </c>
      <c r="M33" s="3195" t="s">
        <v>3094</v>
      </c>
      <c r="N33" s="3195" t="s">
        <v>3062</v>
      </c>
      <c r="O33">
        <f t="shared" si="0"/>
        <v>1499</v>
      </c>
    </row>
    <row r="34" spans="1:15">
      <c r="A34" s="3195" t="s">
        <v>3055</v>
      </c>
      <c r="B34" s="3195" t="s">
        <v>3056</v>
      </c>
      <c r="C34" s="3195" t="s">
        <v>3057</v>
      </c>
      <c r="D34" s="3195">
        <v>100</v>
      </c>
      <c r="E34" s="3195">
        <v>500</v>
      </c>
      <c r="F34" s="3195" t="s">
        <v>3058</v>
      </c>
      <c r="G34" s="3195" t="s">
        <v>3059</v>
      </c>
      <c r="H34" s="3195" t="s">
        <v>3087</v>
      </c>
      <c r="I34" s="3195" t="s">
        <v>2814</v>
      </c>
      <c r="J34" s="3195">
        <v>15</v>
      </c>
      <c r="K34" s="3195">
        <v>300</v>
      </c>
      <c r="L34" s="3195" t="s">
        <v>2814</v>
      </c>
      <c r="M34" s="3195" t="s">
        <v>3095</v>
      </c>
      <c r="N34" s="3195" t="s">
        <v>3062</v>
      </c>
      <c r="O34">
        <f t="shared" si="0"/>
        <v>1500</v>
      </c>
    </row>
    <row r="35" spans="1:15">
      <c r="A35" s="3195" t="s">
        <v>3055</v>
      </c>
      <c r="B35" s="3195" t="s">
        <v>3056</v>
      </c>
      <c r="C35" s="3195" t="s">
        <v>3057</v>
      </c>
      <c r="D35" s="3195">
        <v>98</v>
      </c>
      <c r="E35" s="3195">
        <v>490</v>
      </c>
      <c r="F35" s="3195" t="s">
        <v>3058</v>
      </c>
      <c r="G35" s="3195" t="s">
        <v>3059</v>
      </c>
      <c r="H35" s="3195" t="s">
        <v>3087</v>
      </c>
      <c r="I35" s="3195" t="s">
        <v>2814</v>
      </c>
      <c r="J35" s="3195">
        <v>14.69</v>
      </c>
      <c r="K35" s="3195">
        <v>300</v>
      </c>
      <c r="L35" s="3195" t="s">
        <v>2814</v>
      </c>
      <c r="M35" s="3195" t="s">
        <v>3096</v>
      </c>
      <c r="N35" s="3195" t="s">
        <v>3062</v>
      </c>
      <c r="O35">
        <f t="shared" si="0"/>
        <v>1499</v>
      </c>
    </row>
    <row r="36" spans="1:15">
      <c r="A36" s="3195" t="s">
        <v>3081</v>
      </c>
      <c r="B36" s="3195" t="s">
        <v>3056</v>
      </c>
      <c r="C36" s="3195" t="s">
        <v>3057</v>
      </c>
      <c r="D36" s="3195">
        <v>133</v>
      </c>
      <c r="E36" s="3195">
        <v>665</v>
      </c>
      <c r="F36" s="3195" t="s">
        <v>3058</v>
      </c>
      <c r="G36" s="3195" t="s">
        <v>3059</v>
      </c>
      <c r="H36" s="3195" t="s">
        <v>3097</v>
      </c>
      <c r="I36" s="3195" t="s">
        <v>2814</v>
      </c>
      <c r="J36" s="3195">
        <v>19.940000000000001</v>
      </c>
      <c r="K36" s="3195">
        <v>300</v>
      </c>
      <c r="L36" s="3195" t="s">
        <v>2814</v>
      </c>
      <c r="M36" s="3195" t="s">
        <v>3098</v>
      </c>
      <c r="N36" s="3195" t="s">
        <v>3062</v>
      </c>
      <c r="O36">
        <f t="shared" si="0"/>
        <v>1499</v>
      </c>
    </row>
    <row r="37" spans="1:15">
      <c r="A37" s="3199" t="s">
        <v>3081</v>
      </c>
      <c r="B37" s="3199" t="s">
        <v>3056</v>
      </c>
      <c r="C37" s="3199" t="s">
        <v>3057</v>
      </c>
      <c r="D37" s="3199">
        <v>133</v>
      </c>
      <c r="E37" s="3199">
        <v>665</v>
      </c>
      <c r="F37" s="3199" t="s">
        <v>3058</v>
      </c>
      <c r="G37" s="3199" t="s">
        <v>3059</v>
      </c>
      <c r="H37" s="3199" t="s">
        <v>3097</v>
      </c>
      <c r="I37" s="3199" t="s">
        <v>2814</v>
      </c>
      <c r="J37" s="3199">
        <v>19.940000000000001</v>
      </c>
      <c r="K37" s="3199">
        <v>300</v>
      </c>
      <c r="L37" s="3199" t="s">
        <v>2814</v>
      </c>
      <c r="M37" s="3199" t="s">
        <v>3099</v>
      </c>
      <c r="N37" s="3199" t="s">
        <v>3062</v>
      </c>
      <c r="O37">
        <f t="shared" si="0"/>
        <v>1499</v>
      </c>
    </row>
    <row r="38" spans="1:15">
      <c r="A38" s="3199" t="s">
        <v>3081</v>
      </c>
      <c r="B38" s="3199" t="s">
        <v>3056</v>
      </c>
      <c r="C38" s="3199" t="s">
        <v>3057</v>
      </c>
      <c r="D38" s="3199">
        <v>133</v>
      </c>
      <c r="E38" s="3199">
        <v>665</v>
      </c>
      <c r="F38" s="3199" t="s">
        <v>3058</v>
      </c>
      <c r="G38" s="3199" t="s">
        <v>3059</v>
      </c>
      <c r="H38" s="3199" t="s">
        <v>3097</v>
      </c>
      <c r="I38" s="3199" t="s">
        <v>2814</v>
      </c>
      <c r="J38" s="3199">
        <v>19.940000000000001</v>
      </c>
      <c r="K38" s="3199">
        <v>300</v>
      </c>
      <c r="L38" s="3199" t="s">
        <v>2814</v>
      </c>
      <c r="M38" s="3199" t="s">
        <v>3100</v>
      </c>
      <c r="N38" s="3199" t="s">
        <v>3062</v>
      </c>
      <c r="O38">
        <f t="shared" si="0"/>
        <v>1499</v>
      </c>
    </row>
    <row r="39" spans="1:15">
      <c r="A39" s="3195" t="s">
        <v>3081</v>
      </c>
      <c r="B39" s="3195" t="s">
        <v>3056</v>
      </c>
      <c r="C39" s="3195" t="s">
        <v>3057</v>
      </c>
      <c r="D39" s="3195">
        <v>138</v>
      </c>
      <c r="E39" s="3195">
        <v>690</v>
      </c>
      <c r="F39" s="3195" t="s">
        <v>3058</v>
      </c>
      <c r="G39" s="3195" t="s">
        <v>3059</v>
      </c>
      <c r="H39" s="3195" t="s">
        <v>3097</v>
      </c>
      <c r="I39" s="3195" t="s">
        <v>2814</v>
      </c>
      <c r="J39" s="3195">
        <v>20.69</v>
      </c>
      <c r="K39" s="3195">
        <v>300</v>
      </c>
      <c r="L39" s="3195" t="s">
        <v>2814</v>
      </c>
      <c r="M39" s="3195" t="s">
        <v>3101</v>
      </c>
      <c r="N39" s="3195" t="s">
        <v>3062</v>
      </c>
      <c r="O39">
        <f t="shared" si="0"/>
        <v>1499</v>
      </c>
    </row>
    <row r="40" spans="1:15">
      <c r="A40" s="3195" t="s">
        <v>3081</v>
      </c>
      <c r="B40" s="3195" t="s">
        <v>3056</v>
      </c>
      <c r="C40" s="3195" t="s">
        <v>3057</v>
      </c>
      <c r="D40" s="3195">
        <v>141</v>
      </c>
      <c r="E40" s="3195">
        <v>705</v>
      </c>
      <c r="F40" s="3195" t="s">
        <v>3058</v>
      </c>
      <c r="G40" s="3195" t="s">
        <v>3059</v>
      </c>
      <c r="H40" s="3195" t="s">
        <v>3097</v>
      </c>
      <c r="I40" s="3195" t="s">
        <v>2814</v>
      </c>
      <c r="J40" s="3195">
        <v>21.14</v>
      </c>
      <c r="K40" s="3195">
        <v>300</v>
      </c>
      <c r="L40" s="3195" t="s">
        <v>2814</v>
      </c>
      <c r="M40" s="3195" t="s">
        <v>3102</v>
      </c>
      <c r="N40" s="3195" t="s">
        <v>3062</v>
      </c>
      <c r="O40">
        <f t="shared" si="0"/>
        <v>1499</v>
      </c>
    </row>
    <row r="41" spans="1:15">
      <c r="A41" s="3195" t="s">
        <v>3081</v>
      </c>
      <c r="B41" s="3195" t="s">
        <v>3056</v>
      </c>
      <c r="C41" s="3195" t="s">
        <v>3057</v>
      </c>
      <c r="D41" s="3195">
        <v>106</v>
      </c>
      <c r="E41" s="3195">
        <v>530</v>
      </c>
      <c r="F41" s="3195" t="s">
        <v>3058</v>
      </c>
      <c r="G41" s="3195" t="s">
        <v>3059</v>
      </c>
      <c r="H41" s="3195" t="s">
        <v>3097</v>
      </c>
      <c r="I41" s="3195" t="s">
        <v>2814</v>
      </c>
      <c r="J41" s="3195">
        <v>15.9</v>
      </c>
      <c r="K41" s="3195">
        <v>300</v>
      </c>
      <c r="L41" s="3195" t="s">
        <v>2814</v>
      </c>
      <c r="M41" s="3195" t="s">
        <v>3103</v>
      </c>
      <c r="N41" s="3195" t="s">
        <v>3062</v>
      </c>
      <c r="O41">
        <f t="shared" si="0"/>
        <v>1500</v>
      </c>
    </row>
    <row r="42" spans="1:15">
      <c r="A42" s="3199" t="s">
        <v>3081</v>
      </c>
      <c r="B42" s="3199" t="s">
        <v>3056</v>
      </c>
      <c r="C42" s="3199" t="s">
        <v>3057</v>
      </c>
      <c r="D42" s="3199">
        <v>132</v>
      </c>
      <c r="E42" s="3199">
        <v>660</v>
      </c>
      <c r="F42" s="3199" t="s">
        <v>3058</v>
      </c>
      <c r="G42" s="3199" t="s">
        <v>3059</v>
      </c>
      <c r="H42" s="3199" t="s">
        <v>3097</v>
      </c>
      <c r="I42" s="3199" t="s">
        <v>2814</v>
      </c>
      <c r="J42" s="3199">
        <v>19.8</v>
      </c>
      <c r="K42" s="3199">
        <v>300</v>
      </c>
      <c r="L42" s="3199" t="s">
        <v>2814</v>
      </c>
      <c r="M42" s="3199" t="s">
        <v>3104</v>
      </c>
      <c r="N42" s="3199" t="s">
        <v>3062</v>
      </c>
      <c r="O42">
        <f t="shared" si="0"/>
        <v>1500</v>
      </c>
    </row>
    <row r="43" spans="1:15">
      <c r="A43" s="3195" t="s">
        <v>3081</v>
      </c>
      <c r="B43" s="3195" t="s">
        <v>3056</v>
      </c>
      <c r="C43" s="3195" t="s">
        <v>3057</v>
      </c>
      <c r="D43" s="3195">
        <v>237</v>
      </c>
      <c r="E43" s="3195">
        <v>1185</v>
      </c>
      <c r="F43" s="3195" t="s">
        <v>3058</v>
      </c>
      <c r="G43" s="3195" t="s">
        <v>3059</v>
      </c>
      <c r="H43" s="3195" t="s">
        <v>3097</v>
      </c>
      <c r="I43" s="3195" t="s">
        <v>2814</v>
      </c>
      <c r="J43" s="3195">
        <v>35.54</v>
      </c>
      <c r="K43" s="3195">
        <v>300</v>
      </c>
      <c r="L43" s="3195" t="s">
        <v>2814</v>
      </c>
      <c r="M43" s="3195" t="s">
        <v>3105</v>
      </c>
      <c r="N43" s="3195" t="s">
        <v>3062</v>
      </c>
      <c r="O43">
        <f t="shared" si="0"/>
        <v>1500</v>
      </c>
    </row>
    <row r="44" spans="1:15">
      <c r="A44" s="3195" t="s">
        <v>3081</v>
      </c>
      <c r="B44" s="3195" t="s">
        <v>3056</v>
      </c>
      <c r="C44" s="3195" t="s">
        <v>3057</v>
      </c>
      <c r="D44" s="3195">
        <v>135</v>
      </c>
      <c r="E44" s="3195">
        <v>675</v>
      </c>
      <c r="F44" s="3195" t="s">
        <v>3058</v>
      </c>
      <c r="G44" s="3195" t="s">
        <v>3059</v>
      </c>
      <c r="H44" s="3195" t="s">
        <v>3097</v>
      </c>
      <c r="I44" s="3195" t="s">
        <v>2814</v>
      </c>
      <c r="J44" s="3195">
        <v>20.25</v>
      </c>
      <c r="K44" s="3195">
        <v>300</v>
      </c>
      <c r="L44" s="3195" t="s">
        <v>2814</v>
      </c>
      <c r="M44" s="3195" t="s">
        <v>3106</v>
      </c>
      <c r="N44" s="3195" t="s">
        <v>3062</v>
      </c>
      <c r="O44">
        <f t="shared" si="0"/>
        <v>1500</v>
      </c>
    </row>
    <row r="45" spans="1:15">
      <c r="A45" s="3195" t="s">
        <v>3081</v>
      </c>
      <c r="B45" s="3195" t="s">
        <v>3056</v>
      </c>
      <c r="C45" s="3195" t="s">
        <v>3057</v>
      </c>
      <c r="D45" s="3195">
        <v>134</v>
      </c>
      <c r="E45" s="3195">
        <v>670</v>
      </c>
      <c r="F45" s="3195" t="s">
        <v>3058</v>
      </c>
      <c r="G45" s="3195" t="s">
        <v>3059</v>
      </c>
      <c r="H45" s="3195" t="s">
        <v>3097</v>
      </c>
      <c r="I45" s="3195" t="s">
        <v>2814</v>
      </c>
      <c r="J45" s="3195">
        <v>20.100000000000001</v>
      </c>
      <c r="K45" s="3195">
        <v>300</v>
      </c>
      <c r="L45" s="3195" t="s">
        <v>2814</v>
      </c>
      <c r="M45" s="3195" t="s">
        <v>3107</v>
      </c>
      <c r="N45" s="3195" t="s">
        <v>3062</v>
      </c>
      <c r="O45">
        <f t="shared" si="0"/>
        <v>1500</v>
      </c>
    </row>
    <row r="46" spans="1:15">
      <c r="A46" s="3195" t="s">
        <v>3081</v>
      </c>
      <c r="B46" s="3195" t="s">
        <v>3056</v>
      </c>
      <c r="C46" s="3195" t="s">
        <v>3057</v>
      </c>
      <c r="D46" s="3195">
        <v>129</v>
      </c>
      <c r="E46" s="3195">
        <v>645</v>
      </c>
      <c r="F46" s="3195" t="s">
        <v>3058</v>
      </c>
      <c r="G46" s="3195" t="s">
        <v>3059</v>
      </c>
      <c r="H46" s="3195" t="s">
        <v>3097</v>
      </c>
      <c r="I46" s="3195" t="s">
        <v>2814</v>
      </c>
      <c r="J46" s="3195">
        <v>19.350000000000001</v>
      </c>
      <c r="K46" s="3195">
        <v>300</v>
      </c>
      <c r="L46" s="3195" t="s">
        <v>2814</v>
      </c>
      <c r="M46" s="3195" t="s">
        <v>3108</v>
      </c>
      <c r="N46" s="3195" t="s">
        <v>3062</v>
      </c>
      <c r="O46">
        <f t="shared" si="0"/>
        <v>1500</v>
      </c>
    </row>
    <row r="47" spans="1:15">
      <c r="A47" s="3195" t="s">
        <v>3081</v>
      </c>
      <c r="B47" s="3195" t="s">
        <v>3056</v>
      </c>
      <c r="C47" s="3195" t="s">
        <v>3057</v>
      </c>
      <c r="D47" s="3195">
        <v>113</v>
      </c>
      <c r="E47" s="3195">
        <v>565</v>
      </c>
      <c r="F47" s="3195" t="s">
        <v>3058</v>
      </c>
      <c r="G47" s="3195" t="s">
        <v>3059</v>
      </c>
      <c r="H47" s="3195" t="s">
        <v>3109</v>
      </c>
      <c r="I47" s="3195" t="s">
        <v>2814</v>
      </c>
      <c r="J47" s="3195">
        <v>16.940000000000001</v>
      </c>
      <c r="K47" s="3195">
        <v>300</v>
      </c>
      <c r="L47" s="3195" t="s">
        <v>2814</v>
      </c>
      <c r="M47" s="3195" t="s">
        <v>3110</v>
      </c>
      <c r="N47" s="3195" t="s">
        <v>3062</v>
      </c>
      <c r="O47">
        <f t="shared" si="0"/>
        <v>1499</v>
      </c>
    </row>
    <row r="48" spans="1:15">
      <c r="A48" s="3195" t="s">
        <v>3081</v>
      </c>
      <c r="B48" s="3195" t="s">
        <v>3056</v>
      </c>
      <c r="C48" s="3195" t="s">
        <v>3057</v>
      </c>
      <c r="D48" s="3195">
        <v>115</v>
      </c>
      <c r="E48" s="3195">
        <v>575</v>
      </c>
      <c r="F48" s="3195" t="s">
        <v>3058</v>
      </c>
      <c r="G48" s="3195" t="s">
        <v>3059</v>
      </c>
      <c r="H48" s="3195" t="s">
        <v>3109</v>
      </c>
      <c r="I48" s="3195" t="s">
        <v>2814</v>
      </c>
      <c r="J48" s="3195">
        <v>17.25</v>
      </c>
      <c r="K48" s="3195">
        <v>300</v>
      </c>
      <c r="L48" s="3195" t="s">
        <v>2814</v>
      </c>
      <c r="M48" s="3195" t="s">
        <v>3111</v>
      </c>
      <c r="N48" s="3195" t="s">
        <v>3062</v>
      </c>
      <c r="O48">
        <f t="shared" si="0"/>
        <v>1500</v>
      </c>
    </row>
    <row r="49" spans="1:15">
      <c r="A49" s="3195" t="s">
        <v>3081</v>
      </c>
      <c r="B49" s="3195" t="s">
        <v>3056</v>
      </c>
      <c r="C49" s="3195" t="s">
        <v>3057</v>
      </c>
      <c r="D49" s="3195">
        <v>127</v>
      </c>
      <c r="E49" s="3195">
        <v>635</v>
      </c>
      <c r="F49" s="3195" t="s">
        <v>3058</v>
      </c>
      <c r="G49" s="3195" t="s">
        <v>3059</v>
      </c>
      <c r="H49" s="3195" t="s">
        <v>3109</v>
      </c>
      <c r="I49" s="3195" t="s">
        <v>2814</v>
      </c>
      <c r="J49" s="3195">
        <v>19.05</v>
      </c>
      <c r="K49" s="3195">
        <v>300</v>
      </c>
      <c r="L49" s="3195" t="s">
        <v>2814</v>
      </c>
      <c r="M49" s="3195" t="s">
        <v>3112</v>
      </c>
      <c r="N49" s="3195" t="s">
        <v>3062</v>
      </c>
      <c r="O49">
        <f t="shared" si="0"/>
        <v>1500</v>
      </c>
    </row>
    <row r="50" spans="1:15">
      <c r="A50" s="3195" t="s">
        <v>3081</v>
      </c>
      <c r="B50" s="3195" t="s">
        <v>3056</v>
      </c>
      <c r="C50" s="3195" t="s">
        <v>3057</v>
      </c>
      <c r="D50" s="3195">
        <v>114</v>
      </c>
      <c r="E50" s="3195">
        <v>570</v>
      </c>
      <c r="F50" s="3195" t="s">
        <v>3058</v>
      </c>
      <c r="G50" s="3195" t="s">
        <v>3059</v>
      </c>
      <c r="H50" s="3195" t="s">
        <v>3109</v>
      </c>
      <c r="I50" s="3195" t="s">
        <v>2814</v>
      </c>
      <c r="J50" s="3195">
        <v>17.100000000000001</v>
      </c>
      <c r="K50" s="3195">
        <v>300</v>
      </c>
      <c r="L50" s="3195" t="s">
        <v>2814</v>
      </c>
      <c r="M50" s="3195" t="s">
        <v>3113</v>
      </c>
      <c r="N50" s="3195" t="s">
        <v>3062</v>
      </c>
      <c r="O50">
        <f t="shared" si="0"/>
        <v>1500</v>
      </c>
    </row>
    <row r="51" spans="1:15">
      <c r="A51" s="3195" t="s">
        <v>3081</v>
      </c>
      <c r="B51" s="3195" t="s">
        <v>3056</v>
      </c>
      <c r="C51" s="3195" t="s">
        <v>3057</v>
      </c>
      <c r="D51" s="3195">
        <v>131</v>
      </c>
      <c r="E51" s="3195">
        <v>655</v>
      </c>
      <c r="F51" s="3195" t="s">
        <v>3058</v>
      </c>
      <c r="G51" s="3195" t="s">
        <v>3059</v>
      </c>
      <c r="H51" s="3195" t="s">
        <v>3109</v>
      </c>
      <c r="I51" s="3195" t="s">
        <v>2814</v>
      </c>
      <c r="J51" s="3195">
        <v>19.64</v>
      </c>
      <c r="K51" s="3195">
        <v>300</v>
      </c>
      <c r="L51" s="3195" t="s">
        <v>2814</v>
      </c>
      <c r="M51" s="3195" t="s">
        <v>3114</v>
      </c>
      <c r="N51" s="3195" t="s">
        <v>3062</v>
      </c>
      <c r="O51">
        <f t="shared" si="0"/>
        <v>1499</v>
      </c>
    </row>
    <row r="52" spans="1:15">
      <c r="A52" s="3197" t="s">
        <v>3081</v>
      </c>
      <c r="B52" s="3197" t="s">
        <v>3056</v>
      </c>
      <c r="C52" s="3197" t="s">
        <v>3057</v>
      </c>
      <c r="D52" s="3197">
        <v>133</v>
      </c>
      <c r="E52" s="3197">
        <v>665</v>
      </c>
      <c r="F52" s="3197" t="s">
        <v>3058</v>
      </c>
      <c r="G52" s="3197" t="s">
        <v>3059</v>
      </c>
      <c r="H52" s="3197" t="s">
        <v>3109</v>
      </c>
      <c r="I52" s="3197" t="s">
        <v>2814</v>
      </c>
      <c r="J52" s="3197">
        <v>19.940000000000001</v>
      </c>
      <c r="K52" s="3197">
        <v>300</v>
      </c>
      <c r="L52" s="3197" t="s">
        <v>2814</v>
      </c>
      <c r="M52" s="3197" t="s">
        <v>3115</v>
      </c>
      <c r="N52" s="3197" t="s">
        <v>3062</v>
      </c>
      <c r="O52">
        <f t="shared" si="0"/>
        <v>1499</v>
      </c>
    </row>
    <row r="53" spans="1:15">
      <c r="A53" s="3197" t="s">
        <v>3081</v>
      </c>
      <c r="B53" s="3197" t="s">
        <v>3056</v>
      </c>
      <c r="C53" s="3197" t="s">
        <v>3057</v>
      </c>
      <c r="D53" s="3197">
        <v>127</v>
      </c>
      <c r="E53" s="3197">
        <v>635</v>
      </c>
      <c r="F53" s="3197" t="s">
        <v>3058</v>
      </c>
      <c r="G53" s="3197" t="s">
        <v>3059</v>
      </c>
      <c r="H53" s="3197" t="s">
        <v>3109</v>
      </c>
      <c r="I53" s="3197" t="s">
        <v>2814</v>
      </c>
      <c r="J53" s="3197">
        <v>19.05</v>
      </c>
      <c r="K53" s="3197">
        <v>300</v>
      </c>
      <c r="L53" s="3197" t="s">
        <v>2814</v>
      </c>
      <c r="M53" s="3197" t="s">
        <v>3116</v>
      </c>
      <c r="N53" s="3197" t="s">
        <v>3062</v>
      </c>
      <c r="O53">
        <f t="shared" si="0"/>
        <v>1500</v>
      </c>
    </row>
    <row r="54" spans="1:15">
      <c r="A54" s="3197" t="s">
        <v>3081</v>
      </c>
      <c r="B54" s="3197" t="s">
        <v>3056</v>
      </c>
      <c r="C54" s="3197" t="s">
        <v>3057</v>
      </c>
      <c r="D54" s="3197">
        <v>257</v>
      </c>
      <c r="E54" s="3197">
        <v>1285</v>
      </c>
      <c r="F54" s="3197" t="s">
        <v>3058</v>
      </c>
      <c r="G54" s="3197" t="s">
        <v>3059</v>
      </c>
      <c r="H54" s="3197" t="s">
        <v>3109</v>
      </c>
      <c r="I54" s="3197" t="s">
        <v>2814</v>
      </c>
      <c r="J54" s="3197">
        <v>38.54</v>
      </c>
      <c r="K54" s="3197">
        <v>300</v>
      </c>
      <c r="L54" s="3197" t="s">
        <v>2814</v>
      </c>
      <c r="M54" s="3197" t="s">
        <v>3117</v>
      </c>
      <c r="N54" s="3197" t="s">
        <v>3062</v>
      </c>
      <c r="O54">
        <f t="shared" si="0"/>
        <v>1500</v>
      </c>
    </row>
    <row r="55" spans="1:15">
      <c r="A55" s="3197" t="s">
        <v>3081</v>
      </c>
      <c r="B55" s="3197" t="s">
        <v>3056</v>
      </c>
      <c r="C55" s="3197" t="s">
        <v>3057</v>
      </c>
      <c r="D55" s="3197">
        <v>116</v>
      </c>
      <c r="E55" s="3197">
        <v>580</v>
      </c>
      <c r="F55" s="3197" t="s">
        <v>3058</v>
      </c>
      <c r="G55" s="3197" t="s">
        <v>3059</v>
      </c>
      <c r="H55" s="3197" t="s">
        <v>3109</v>
      </c>
      <c r="I55" s="3197" t="s">
        <v>2814</v>
      </c>
      <c r="J55" s="3197">
        <v>17.39</v>
      </c>
      <c r="K55" s="3197">
        <v>300</v>
      </c>
      <c r="L55" s="3197" t="s">
        <v>2814</v>
      </c>
      <c r="M55" s="3197" t="s">
        <v>3118</v>
      </c>
      <c r="N55" s="3197" t="s">
        <v>3062</v>
      </c>
      <c r="O55">
        <f t="shared" si="0"/>
        <v>1499</v>
      </c>
    </row>
    <row r="56" spans="1:15">
      <c r="A56" s="3197" t="s">
        <v>3081</v>
      </c>
      <c r="B56" s="3197" t="s">
        <v>3056</v>
      </c>
      <c r="C56" s="3197" t="s">
        <v>3057</v>
      </c>
      <c r="D56" s="3197">
        <v>113</v>
      </c>
      <c r="E56" s="3197">
        <v>565</v>
      </c>
      <c r="F56" s="3197" t="s">
        <v>3058</v>
      </c>
      <c r="G56" s="3197" t="s">
        <v>3059</v>
      </c>
      <c r="H56" s="3197" t="s">
        <v>3109</v>
      </c>
      <c r="I56" s="3197" t="s">
        <v>2814</v>
      </c>
      <c r="J56" s="3197">
        <v>16.940000000000001</v>
      </c>
      <c r="K56" s="3197">
        <v>300</v>
      </c>
      <c r="L56" s="3197" t="s">
        <v>2814</v>
      </c>
      <c r="M56" s="3197" t="s">
        <v>3119</v>
      </c>
      <c r="N56" s="3197" t="s">
        <v>3062</v>
      </c>
      <c r="O56">
        <f t="shared" si="0"/>
        <v>1499</v>
      </c>
    </row>
    <row r="57" spans="1:15">
      <c r="A57" s="3197" t="s">
        <v>3081</v>
      </c>
      <c r="B57" s="3197" t="s">
        <v>3056</v>
      </c>
      <c r="C57" s="3197" t="s">
        <v>3057</v>
      </c>
      <c r="D57" s="3197">
        <v>113</v>
      </c>
      <c r="E57" s="3197">
        <v>565</v>
      </c>
      <c r="F57" s="3197" t="s">
        <v>3058</v>
      </c>
      <c r="G57" s="3197" t="s">
        <v>3059</v>
      </c>
      <c r="H57" s="3197" t="s">
        <v>3109</v>
      </c>
      <c r="I57" s="3197" t="s">
        <v>2814</v>
      </c>
      <c r="J57" s="3197">
        <v>16.940000000000001</v>
      </c>
      <c r="K57" s="3197">
        <v>300</v>
      </c>
      <c r="L57" s="3197" t="s">
        <v>2814</v>
      </c>
      <c r="M57" s="3197" t="s">
        <v>3120</v>
      </c>
      <c r="N57" s="3197" t="s">
        <v>3062</v>
      </c>
      <c r="O57">
        <f t="shared" si="0"/>
        <v>1499</v>
      </c>
    </row>
    <row r="58" spans="1:15">
      <c r="A58" s="3197" t="s">
        <v>3081</v>
      </c>
      <c r="B58" s="3197" t="s">
        <v>3056</v>
      </c>
      <c r="C58" s="3197" t="s">
        <v>3057</v>
      </c>
      <c r="D58" s="3197">
        <v>146</v>
      </c>
      <c r="E58" s="3197">
        <v>730</v>
      </c>
      <c r="F58" s="3197" t="s">
        <v>3058</v>
      </c>
      <c r="G58" s="3197" t="s">
        <v>3059</v>
      </c>
      <c r="H58" s="3197" t="s">
        <v>3121</v>
      </c>
      <c r="I58" s="3197" t="s">
        <v>2814</v>
      </c>
      <c r="J58" s="3197">
        <v>21.89</v>
      </c>
      <c r="K58" s="3197">
        <v>300</v>
      </c>
      <c r="L58" s="3197" t="s">
        <v>2814</v>
      </c>
      <c r="M58" s="3197" t="s">
        <v>3122</v>
      </c>
      <c r="N58" s="3197" t="s">
        <v>3062</v>
      </c>
      <c r="O58">
        <f t="shared" si="0"/>
        <v>1499</v>
      </c>
    </row>
    <row r="59" spans="1:15">
      <c r="A59" s="3197" t="s">
        <v>3081</v>
      </c>
      <c r="B59" s="3197" t="s">
        <v>3056</v>
      </c>
      <c r="C59" s="3197" t="s">
        <v>3057</v>
      </c>
      <c r="D59" s="3197">
        <v>132</v>
      </c>
      <c r="E59" s="3197">
        <v>660</v>
      </c>
      <c r="F59" s="3197" t="s">
        <v>3058</v>
      </c>
      <c r="G59" s="3197" t="s">
        <v>3059</v>
      </c>
      <c r="H59" s="3197" t="s">
        <v>3121</v>
      </c>
      <c r="I59" s="3197" t="s">
        <v>2814</v>
      </c>
      <c r="J59" s="3197">
        <v>19.8</v>
      </c>
      <c r="K59" s="3197">
        <v>300</v>
      </c>
      <c r="L59" s="3197" t="s">
        <v>2814</v>
      </c>
      <c r="M59" s="3197" t="s">
        <v>3123</v>
      </c>
      <c r="N59" s="3197" t="s">
        <v>3062</v>
      </c>
      <c r="O59">
        <f t="shared" si="0"/>
        <v>1500</v>
      </c>
    </row>
    <row r="60" spans="1:15">
      <c r="A60" s="3197" t="s">
        <v>3081</v>
      </c>
      <c r="B60" s="3197" t="s">
        <v>3056</v>
      </c>
      <c r="C60" s="3197" t="s">
        <v>3057</v>
      </c>
      <c r="D60" s="3197">
        <v>131</v>
      </c>
      <c r="E60" s="3197">
        <v>655</v>
      </c>
      <c r="F60" s="3197" t="s">
        <v>3058</v>
      </c>
      <c r="G60" s="3197" t="s">
        <v>3059</v>
      </c>
      <c r="H60" s="3197" t="s">
        <v>3121</v>
      </c>
      <c r="I60" s="3197" t="s">
        <v>2814</v>
      </c>
      <c r="J60" s="3197">
        <v>19.64</v>
      </c>
      <c r="K60" s="3197">
        <v>300</v>
      </c>
      <c r="L60" s="3197" t="s">
        <v>2814</v>
      </c>
      <c r="M60" s="3197" t="s">
        <v>3124</v>
      </c>
      <c r="N60" s="3197" t="s">
        <v>3062</v>
      </c>
      <c r="O60">
        <f t="shared" si="0"/>
        <v>1499</v>
      </c>
    </row>
    <row r="61" spans="1:15">
      <c r="A61" s="3197" t="s">
        <v>3081</v>
      </c>
      <c r="B61" s="3197" t="s">
        <v>3056</v>
      </c>
      <c r="C61" s="3197" t="s">
        <v>3057</v>
      </c>
      <c r="D61" s="3197">
        <v>131</v>
      </c>
      <c r="E61" s="3197">
        <v>655</v>
      </c>
      <c r="F61" s="3197" t="s">
        <v>3058</v>
      </c>
      <c r="G61" s="3197" t="s">
        <v>3059</v>
      </c>
      <c r="H61" s="3197" t="s">
        <v>3121</v>
      </c>
      <c r="I61" s="3197" t="s">
        <v>2814</v>
      </c>
      <c r="J61" s="3197">
        <v>19.64</v>
      </c>
      <c r="K61" s="3197">
        <v>300</v>
      </c>
      <c r="L61" s="3197" t="s">
        <v>2814</v>
      </c>
      <c r="M61" s="3197" t="s">
        <v>3125</v>
      </c>
      <c r="N61" s="3197" t="s">
        <v>3062</v>
      </c>
      <c r="O61">
        <f t="shared" si="0"/>
        <v>1499</v>
      </c>
    </row>
    <row r="62" spans="1:15">
      <c r="A62" s="3197" t="s">
        <v>3081</v>
      </c>
      <c r="B62" s="3197" t="s">
        <v>3056</v>
      </c>
      <c r="C62" s="3197" t="s">
        <v>3057</v>
      </c>
      <c r="D62" s="3197">
        <v>134</v>
      </c>
      <c r="E62" s="3197">
        <v>670</v>
      </c>
      <c r="F62" s="3197" t="s">
        <v>3058</v>
      </c>
      <c r="G62" s="3197" t="s">
        <v>3059</v>
      </c>
      <c r="H62" s="3197" t="s">
        <v>3121</v>
      </c>
      <c r="I62" s="3197" t="s">
        <v>2814</v>
      </c>
      <c r="J62" s="3197">
        <v>20.100000000000001</v>
      </c>
      <c r="K62" s="3197">
        <v>300</v>
      </c>
      <c r="L62" s="3197" t="s">
        <v>2814</v>
      </c>
      <c r="M62" s="3197" t="s">
        <v>3126</v>
      </c>
      <c r="N62" s="3197" t="s">
        <v>3062</v>
      </c>
      <c r="O62">
        <f t="shared" si="0"/>
        <v>1500</v>
      </c>
    </row>
    <row r="63" spans="1:15">
      <c r="A63" s="3197" t="s">
        <v>3127</v>
      </c>
      <c r="B63" s="3197" t="s">
        <v>3056</v>
      </c>
      <c r="C63" s="3197" t="s">
        <v>3057</v>
      </c>
      <c r="D63" s="3197">
        <v>2909</v>
      </c>
      <c r="E63" s="3197">
        <v>145.44999999999999</v>
      </c>
      <c r="F63" s="3197" t="s">
        <v>3128</v>
      </c>
      <c r="G63" s="3197" t="s">
        <v>3059</v>
      </c>
      <c r="H63" s="3197" t="s">
        <v>3121</v>
      </c>
      <c r="I63" s="3197">
        <v>75</v>
      </c>
      <c r="J63" s="3197">
        <v>327.25</v>
      </c>
      <c r="K63" s="3197">
        <v>22499.83</v>
      </c>
      <c r="L63" s="3197">
        <v>336.35</v>
      </c>
      <c r="M63" s="3197" t="s">
        <v>3129</v>
      </c>
      <c r="N63" s="3197" t="s">
        <v>3062</v>
      </c>
      <c r="O63">
        <f t="shared" si="0"/>
        <v>1125</v>
      </c>
    </row>
    <row r="64" spans="1:15">
      <c r="A64" s="3197" t="s">
        <v>3081</v>
      </c>
      <c r="B64" s="3197" t="s">
        <v>3056</v>
      </c>
      <c r="C64" s="3197" t="s">
        <v>3057</v>
      </c>
      <c r="D64" s="3197">
        <v>132</v>
      </c>
      <c r="E64" s="3197">
        <v>660</v>
      </c>
      <c r="F64" s="3197" t="s">
        <v>3058</v>
      </c>
      <c r="G64" s="3197" t="s">
        <v>3059</v>
      </c>
      <c r="H64" s="3197" t="s">
        <v>3121</v>
      </c>
      <c r="I64" s="3197" t="s">
        <v>2814</v>
      </c>
      <c r="J64" s="3197">
        <v>19.8</v>
      </c>
      <c r="K64" s="3197">
        <v>300</v>
      </c>
      <c r="L64" s="3197" t="s">
        <v>2814</v>
      </c>
      <c r="M64" s="3197" t="s">
        <v>3130</v>
      </c>
      <c r="N64" s="3197" t="s">
        <v>3062</v>
      </c>
      <c r="O64">
        <f t="shared" si="0"/>
        <v>1500</v>
      </c>
    </row>
    <row r="65" spans="1:15">
      <c r="A65" s="3197" t="s">
        <v>3131</v>
      </c>
      <c r="B65" s="3197" t="s">
        <v>3056</v>
      </c>
      <c r="C65" s="3197" t="s">
        <v>3057</v>
      </c>
      <c r="D65" s="3197">
        <v>11780</v>
      </c>
      <c r="E65" s="3197">
        <v>40052</v>
      </c>
      <c r="F65" s="3197" t="s">
        <v>3132</v>
      </c>
      <c r="G65" s="3197" t="s">
        <v>3059</v>
      </c>
      <c r="H65" s="3197" t="s">
        <v>3133</v>
      </c>
      <c r="I65" s="3197" t="s">
        <v>2814</v>
      </c>
      <c r="J65" s="3197">
        <v>3719.53</v>
      </c>
      <c r="K65" s="3197">
        <v>928.67</v>
      </c>
      <c r="L65" s="3197" t="s">
        <v>2814</v>
      </c>
      <c r="M65" s="3197" t="s">
        <v>3134</v>
      </c>
      <c r="N65" s="3197" t="s">
        <v>3062</v>
      </c>
      <c r="O65">
        <f t="shared" si="0"/>
        <v>3157</v>
      </c>
    </row>
    <row r="66" spans="1:15">
      <c r="A66" s="3197" t="s">
        <v>3135</v>
      </c>
      <c r="B66" s="3197" t="s">
        <v>3056</v>
      </c>
      <c r="C66" s="3197" t="s">
        <v>3057</v>
      </c>
      <c r="D66" s="3197">
        <v>3335</v>
      </c>
      <c r="E66" s="3197">
        <v>2001</v>
      </c>
      <c r="F66" s="3197" t="s">
        <v>3136</v>
      </c>
      <c r="G66" s="3197" t="s">
        <v>3059</v>
      </c>
      <c r="H66" s="3197" t="s">
        <v>3137</v>
      </c>
      <c r="I66" s="3197">
        <v>50</v>
      </c>
      <c r="J66" s="3197">
        <v>250.12</v>
      </c>
      <c r="K66" s="3197">
        <v>1250.01</v>
      </c>
      <c r="L66" s="3197">
        <v>400.26</v>
      </c>
      <c r="M66" s="3197" t="s">
        <v>3138</v>
      </c>
      <c r="N66" s="3197" t="s">
        <v>3062</v>
      </c>
      <c r="O66">
        <f t="shared" si="0"/>
        <v>750</v>
      </c>
    </row>
    <row r="67" spans="1:15">
      <c r="A67" s="3197" t="s">
        <v>3139</v>
      </c>
      <c r="B67" s="3197" t="s">
        <v>3056</v>
      </c>
      <c r="C67" s="3197" t="s">
        <v>3057</v>
      </c>
      <c r="D67" s="3197">
        <v>2076</v>
      </c>
      <c r="E67" s="3197">
        <v>622.79999999999995</v>
      </c>
      <c r="F67" s="3197" t="s">
        <v>3140</v>
      </c>
      <c r="G67" s="3197" t="s">
        <v>3059</v>
      </c>
      <c r="H67" s="3197" t="s">
        <v>3137</v>
      </c>
      <c r="I67" s="3197">
        <v>50</v>
      </c>
      <c r="J67" s="3197">
        <v>155.69</v>
      </c>
      <c r="K67" s="3197">
        <v>2500</v>
      </c>
      <c r="L67" s="3197">
        <v>211.4</v>
      </c>
      <c r="M67" s="3197" t="s">
        <v>3141</v>
      </c>
      <c r="N67" s="3197" t="s">
        <v>3062</v>
      </c>
      <c r="O67">
        <f t="shared" ref="O67:O130" si="1">ROUND(J67/D67*10000,0)</f>
        <v>750</v>
      </c>
    </row>
    <row r="68" spans="1:15">
      <c r="A68" s="3197" t="s">
        <v>3081</v>
      </c>
      <c r="B68" s="3197" t="s">
        <v>3056</v>
      </c>
      <c r="C68" s="3197" t="s">
        <v>3057</v>
      </c>
      <c r="D68" s="3197">
        <v>104</v>
      </c>
      <c r="E68" s="3197">
        <v>520</v>
      </c>
      <c r="F68" s="3197" t="s">
        <v>3058</v>
      </c>
      <c r="G68" s="3197" t="s">
        <v>3059</v>
      </c>
      <c r="H68" s="3197" t="s">
        <v>3142</v>
      </c>
      <c r="I68" s="3197" t="s">
        <v>2814</v>
      </c>
      <c r="J68" s="3197">
        <v>15.59</v>
      </c>
      <c r="K68" s="3197">
        <v>300</v>
      </c>
      <c r="L68" s="3197" t="s">
        <v>2814</v>
      </c>
      <c r="M68" s="3197" t="s">
        <v>3143</v>
      </c>
      <c r="N68" s="3197" t="s">
        <v>3062</v>
      </c>
      <c r="O68">
        <f t="shared" si="1"/>
        <v>1499</v>
      </c>
    </row>
    <row r="69" spans="1:15">
      <c r="A69" s="3197" t="s">
        <v>3081</v>
      </c>
      <c r="B69" s="3197" t="s">
        <v>3056</v>
      </c>
      <c r="C69" s="3197" t="s">
        <v>3057</v>
      </c>
      <c r="D69" s="3197">
        <v>103</v>
      </c>
      <c r="E69" s="3197">
        <v>515</v>
      </c>
      <c r="F69" s="3197" t="s">
        <v>3058</v>
      </c>
      <c r="G69" s="3197" t="s">
        <v>3059</v>
      </c>
      <c r="H69" s="3197" t="s">
        <v>3142</v>
      </c>
      <c r="I69" s="3197" t="s">
        <v>2814</v>
      </c>
      <c r="J69" s="3197">
        <v>15.44</v>
      </c>
      <c r="K69" s="3197">
        <v>300</v>
      </c>
      <c r="L69" s="3197" t="s">
        <v>2814</v>
      </c>
      <c r="M69" s="3197" t="s">
        <v>3144</v>
      </c>
      <c r="N69" s="3197" t="s">
        <v>3062</v>
      </c>
      <c r="O69">
        <f t="shared" si="1"/>
        <v>1499</v>
      </c>
    </row>
    <row r="70" spans="1:15">
      <c r="A70" s="3197" t="s">
        <v>3081</v>
      </c>
      <c r="B70" s="3197" t="s">
        <v>3056</v>
      </c>
      <c r="C70" s="3197" t="s">
        <v>3057</v>
      </c>
      <c r="D70" s="3197">
        <v>99</v>
      </c>
      <c r="E70" s="3197">
        <v>495</v>
      </c>
      <c r="F70" s="3197" t="s">
        <v>3058</v>
      </c>
      <c r="G70" s="3197" t="s">
        <v>3059</v>
      </c>
      <c r="H70" s="3197" t="s">
        <v>3142</v>
      </c>
      <c r="I70" s="3197" t="s">
        <v>2814</v>
      </c>
      <c r="J70" s="3197">
        <v>14.84</v>
      </c>
      <c r="K70" s="3197">
        <v>300</v>
      </c>
      <c r="L70" s="3197" t="s">
        <v>2814</v>
      </c>
      <c r="M70" s="3197" t="s">
        <v>3145</v>
      </c>
      <c r="N70" s="3197" t="s">
        <v>3062</v>
      </c>
      <c r="O70">
        <f t="shared" si="1"/>
        <v>1499</v>
      </c>
    </row>
    <row r="71" spans="1:15">
      <c r="A71" s="3197" t="s">
        <v>3081</v>
      </c>
      <c r="B71" s="3197" t="s">
        <v>3056</v>
      </c>
      <c r="C71" s="3197" t="s">
        <v>3057</v>
      </c>
      <c r="D71" s="3197">
        <v>104</v>
      </c>
      <c r="E71" s="3197">
        <v>520</v>
      </c>
      <c r="F71" s="3197" t="s">
        <v>3058</v>
      </c>
      <c r="G71" s="3197" t="s">
        <v>3059</v>
      </c>
      <c r="H71" s="3197" t="s">
        <v>3142</v>
      </c>
      <c r="I71" s="3197" t="s">
        <v>2814</v>
      </c>
      <c r="J71" s="3197">
        <v>15.59</v>
      </c>
      <c r="K71" s="3197">
        <v>300</v>
      </c>
      <c r="L71" s="3197" t="s">
        <v>2814</v>
      </c>
      <c r="M71" s="3197" t="s">
        <v>3146</v>
      </c>
      <c r="N71" s="3197" t="s">
        <v>3062</v>
      </c>
      <c r="O71">
        <f t="shared" si="1"/>
        <v>1499</v>
      </c>
    </row>
    <row r="72" spans="1:15">
      <c r="A72" s="3197" t="s">
        <v>3081</v>
      </c>
      <c r="B72" s="3197" t="s">
        <v>3056</v>
      </c>
      <c r="C72" s="3197" t="s">
        <v>3057</v>
      </c>
      <c r="D72" s="3197">
        <v>101</v>
      </c>
      <c r="E72" s="3197">
        <v>505</v>
      </c>
      <c r="F72" s="3197" t="s">
        <v>3058</v>
      </c>
      <c r="G72" s="3197" t="s">
        <v>3059</v>
      </c>
      <c r="H72" s="3197" t="s">
        <v>3142</v>
      </c>
      <c r="I72" s="3197" t="s">
        <v>2814</v>
      </c>
      <c r="J72" s="3197">
        <v>15.15</v>
      </c>
      <c r="K72" s="3197">
        <v>300</v>
      </c>
      <c r="L72" s="3197" t="s">
        <v>2814</v>
      </c>
      <c r="M72" s="3197" t="s">
        <v>3147</v>
      </c>
      <c r="N72" s="3197" t="s">
        <v>3062</v>
      </c>
      <c r="O72">
        <f t="shared" si="1"/>
        <v>1500</v>
      </c>
    </row>
    <row r="73" spans="1:15">
      <c r="A73" s="3197" t="s">
        <v>3081</v>
      </c>
      <c r="B73" s="3197" t="s">
        <v>3056</v>
      </c>
      <c r="C73" s="3197" t="s">
        <v>3057</v>
      </c>
      <c r="D73" s="3197">
        <v>98</v>
      </c>
      <c r="E73" s="3197">
        <v>490</v>
      </c>
      <c r="F73" s="3197" t="s">
        <v>3058</v>
      </c>
      <c r="G73" s="3197" t="s">
        <v>3059</v>
      </c>
      <c r="H73" s="3197" t="s">
        <v>3142</v>
      </c>
      <c r="I73" s="3197" t="s">
        <v>2814</v>
      </c>
      <c r="J73" s="3197">
        <v>14.69</v>
      </c>
      <c r="K73" s="3197">
        <v>300</v>
      </c>
      <c r="L73" s="3197" t="s">
        <v>2814</v>
      </c>
      <c r="M73" s="3197" t="s">
        <v>3148</v>
      </c>
      <c r="N73" s="3197" t="s">
        <v>3062</v>
      </c>
      <c r="O73">
        <f t="shared" si="1"/>
        <v>1499</v>
      </c>
    </row>
    <row r="74" spans="1:15">
      <c r="A74" s="3197" t="s">
        <v>3081</v>
      </c>
      <c r="B74" s="3197" t="s">
        <v>3056</v>
      </c>
      <c r="C74" s="3197" t="s">
        <v>3057</v>
      </c>
      <c r="D74" s="3197">
        <v>101</v>
      </c>
      <c r="E74" s="3197">
        <v>505</v>
      </c>
      <c r="F74" s="3197" t="s">
        <v>3058</v>
      </c>
      <c r="G74" s="3197" t="s">
        <v>3059</v>
      </c>
      <c r="H74" s="3197" t="s">
        <v>3142</v>
      </c>
      <c r="I74" s="3197" t="s">
        <v>2814</v>
      </c>
      <c r="J74" s="3197">
        <v>15.15</v>
      </c>
      <c r="K74" s="3197">
        <v>300</v>
      </c>
      <c r="L74" s="3197" t="s">
        <v>2814</v>
      </c>
      <c r="M74" s="3197" t="s">
        <v>3149</v>
      </c>
      <c r="N74" s="3197" t="s">
        <v>3062</v>
      </c>
      <c r="O74">
        <f t="shared" si="1"/>
        <v>1500</v>
      </c>
    </row>
    <row r="75" spans="1:15">
      <c r="A75" s="3197" t="s">
        <v>3081</v>
      </c>
      <c r="B75" s="3197" t="s">
        <v>3056</v>
      </c>
      <c r="C75" s="3197" t="s">
        <v>3057</v>
      </c>
      <c r="D75" s="3197">
        <v>99</v>
      </c>
      <c r="E75" s="3197">
        <v>495</v>
      </c>
      <c r="F75" s="3197" t="s">
        <v>3058</v>
      </c>
      <c r="G75" s="3197" t="s">
        <v>3059</v>
      </c>
      <c r="H75" s="3197" t="s">
        <v>3142</v>
      </c>
      <c r="I75" s="3197" t="s">
        <v>2814</v>
      </c>
      <c r="J75" s="3197">
        <v>14.84</v>
      </c>
      <c r="K75" s="3197">
        <v>300</v>
      </c>
      <c r="L75" s="3197" t="s">
        <v>2814</v>
      </c>
      <c r="M75" s="3197" t="s">
        <v>3150</v>
      </c>
      <c r="N75" s="3197" t="s">
        <v>3062</v>
      </c>
      <c r="O75">
        <f t="shared" si="1"/>
        <v>1499</v>
      </c>
    </row>
    <row r="76" spans="1:15">
      <c r="A76" s="3197" t="s">
        <v>3081</v>
      </c>
      <c r="B76" s="3197" t="s">
        <v>3056</v>
      </c>
      <c r="C76" s="3197" t="s">
        <v>3057</v>
      </c>
      <c r="D76" s="3197">
        <v>101</v>
      </c>
      <c r="E76" s="3197">
        <v>505</v>
      </c>
      <c r="F76" s="3197" t="s">
        <v>3058</v>
      </c>
      <c r="G76" s="3197" t="s">
        <v>3059</v>
      </c>
      <c r="H76" s="3197" t="s">
        <v>3142</v>
      </c>
      <c r="I76" s="3197" t="s">
        <v>2814</v>
      </c>
      <c r="J76" s="3197">
        <v>15.15</v>
      </c>
      <c r="K76" s="3197">
        <v>300</v>
      </c>
      <c r="L76" s="3197" t="s">
        <v>2814</v>
      </c>
      <c r="M76" s="3197" t="s">
        <v>3151</v>
      </c>
      <c r="N76" s="3197" t="s">
        <v>3062</v>
      </c>
      <c r="O76">
        <f t="shared" si="1"/>
        <v>1500</v>
      </c>
    </row>
    <row r="77" spans="1:15">
      <c r="A77" s="3197" t="s">
        <v>3081</v>
      </c>
      <c r="B77" s="3197" t="s">
        <v>3056</v>
      </c>
      <c r="C77" s="3197" t="s">
        <v>3057</v>
      </c>
      <c r="D77" s="3197">
        <v>113</v>
      </c>
      <c r="E77" s="3197">
        <v>565</v>
      </c>
      <c r="F77" s="3197" t="s">
        <v>3058</v>
      </c>
      <c r="G77" s="3197" t="s">
        <v>3059</v>
      </c>
      <c r="H77" s="3197" t="s">
        <v>3152</v>
      </c>
      <c r="I77" s="3197" t="s">
        <v>2814</v>
      </c>
      <c r="J77" s="3197">
        <v>16.940000000000001</v>
      </c>
      <c r="K77" s="3197">
        <v>300</v>
      </c>
      <c r="L77" s="3197" t="s">
        <v>2814</v>
      </c>
      <c r="M77" s="3197" t="s">
        <v>3153</v>
      </c>
      <c r="N77" s="3197" t="s">
        <v>3062</v>
      </c>
      <c r="O77">
        <f t="shared" si="1"/>
        <v>1499</v>
      </c>
    </row>
    <row r="78" spans="1:15">
      <c r="A78" s="3197" t="s">
        <v>3081</v>
      </c>
      <c r="B78" s="3197" t="s">
        <v>3056</v>
      </c>
      <c r="C78" s="3197" t="s">
        <v>3057</v>
      </c>
      <c r="D78" s="3197">
        <v>77</v>
      </c>
      <c r="E78" s="3197">
        <v>385</v>
      </c>
      <c r="F78" s="3197" t="s">
        <v>3058</v>
      </c>
      <c r="G78" s="3197" t="s">
        <v>3059</v>
      </c>
      <c r="H78" s="3197" t="s">
        <v>3152</v>
      </c>
      <c r="I78" s="3197" t="s">
        <v>2814</v>
      </c>
      <c r="J78" s="3197">
        <v>11.55</v>
      </c>
      <c r="K78" s="3197">
        <v>300</v>
      </c>
      <c r="L78" s="3197" t="s">
        <v>2814</v>
      </c>
      <c r="M78" s="3197" t="s">
        <v>3154</v>
      </c>
      <c r="N78" s="3197" t="s">
        <v>3062</v>
      </c>
      <c r="O78">
        <f t="shared" si="1"/>
        <v>1500</v>
      </c>
    </row>
    <row r="79" spans="1:15">
      <c r="A79" s="3197" t="s">
        <v>3081</v>
      </c>
      <c r="B79" s="3197" t="s">
        <v>3056</v>
      </c>
      <c r="C79" s="3197" t="s">
        <v>3057</v>
      </c>
      <c r="D79" s="3197">
        <v>105</v>
      </c>
      <c r="E79" s="3197">
        <v>525</v>
      </c>
      <c r="F79" s="3197" t="s">
        <v>3058</v>
      </c>
      <c r="G79" s="3197" t="s">
        <v>3059</v>
      </c>
      <c r="H79" s="3197" t="s">
        <v>3152</v>
      </c>
      <c r="I79" s="3197" t="s">
        <v>2814</v>
      </c>
      <c r="J79" s="3197">
        <v>15.75</v>
      </c>
      <c r="K79" s="3197">
        <v>300</v>
      </c>
      <c r="L79" s="3197" t="s">
        <v>2814</v>
      </c>
      <c r="M79" s="3197" t="s">
        <v>3155</v>
      </c>
      <c r="N79" s="3197" t="s">
        <v>3062</v>
      </c>
      <c r="O79">
        <f t="shared" si="1"/>
        <v>1500</v>
      </c>
    </row>
    <row r="80" spans="1:15">
      <c r="A80" s="3197" t="s">
        <v>3081</v>
      </c>
      <c r="B80" s="3197" t="s">
        <v>3056</v>
      </c>
      <c r="C80" s="3197" t="s">
        <v>3057</v>
      </c>
      <c r="D80" s="3197">
        <v>156</v>
      </c>
      <c r="E80" s="3197">
        <v>780</v>
      </c>
      <c r="F80" s="3197" t="s">
        <v>3058</v>
      </c>
      <c r="G80" s="3197" t="s">
        <v>3059</v>
      </c>
      <c r="H80" s="3197" t="s">
        <v>3152</v>
      </c>
      <c r="I80" s="3197" t="s">
        <v>2814</v>
      </c>
      <c r="J80" s="3197">
        <v>23.39</v>
      </c>
      <c r="K80" s="3197">
        <v>300</v>
      </c>
      <c r="L80" s="3197" t="s">
        <v>2814</v>
      </c>
      <c r="M80" s="3197" t="s">
        <v>3156</v>
      </c>
      <c r="N80" s="3197" t="s">
        <v>3062</v>
      </c>
      <c r="O80">
        <f t="shared" si="1"/>
        <v>1499</v>
      </c>
    </row>
    <row r="81" spans="1:15">
      <c r="A81" s="3197" t="s">
        <v>3081</v>
      </c>
      <c r="B81" s="3197" t="s">
        <v>3056</v>
      </c>
      <c r="C81" s="3197" t="s">
        <v>3057</v>
      </c>
      <c r="D81" s="3197">
        <v>106</v>
      </c>
      <c r="E81" s="3197">
        <v>530</v>
      </c>
      <c r="F81" s="3197" t="s">
        <v>3058</v>
      </c>
      <c r="G81" s="3197" t="s">
        <v>3059</v>
      </c>
      <c r="H81" s="3197" t="s">
        <v>3152</v>
      </c>
      <c r="I81" s="3197" t="s">
        <v>2814</v>
      </c>
      <c r="J81" s="3197">
        <v>15.9</v>
      </c>
      <c r="K81" s="3197">
        <v>300</v>
      </c>
      <c r="L81" s="3197" t="s">
        <v>2814</v>
      </c>
      <c r="M81" s="3197" t="s">
        <v>3157</v>
      </c>
      <c r="N81" s="3197" t="s">
        <v>3062</v>
      </c>
      <c r="O81">
        <f t="shared" si="1"/>
        <v>1500</v>
      </c>
    </row>
    <row r="82" spans="1:15">
      <c r="A82" s="3197" t="s">
        <v>3081</v>
      </c>
      <c r="B82" s="3197" t="s">
        <v>3056</v>
      </c>
      <c r="C82" s="3197" t="s">
        <v>3057</v>
      </c>
      <c r="D82" s="3197">
        <v>105</v>
      </c>
      <c r="E82" s="3197">
        <v>525</v>
      </c>
      <c r="F82" s="3197" t="s">
        <v>3058</v>
      </c>
      <c r="G82" s="3197" t="s">
        <v>3059</v>
      </c>
      <c r="H82" s="3197" t="s">
        <v>3152</v>
      </c>
      <c r="I82" s="3197" t="s">
        <v>2814</v>
      </c>
      <c r="J82" s="3197">
        <v>15.75</v>
      </c>
      <c r="K82" s="3197">
        <v>300</v>
      </c>
      <c r="L82" s="3197" t="s">
        <v>2814</v>
      </c>
      <c r="M82" s="3197" t="s">
        <v>3158</v>
      </c>
      <c r="N82" s="3197" t="s">
        <v>3062</v>
      </c>
      <c r="O82">
        <f t="shared" si="1"/>
        <v>1500</v>
      </c>
    </row>
    <row r="83" spans="1:15">
      <c r="A83" s="3197" t="s">
        <v>3081</v>
      </c>
      <c r="B83" s="3197" t="s">
        <v>3056</v>
      </c>
      <c r="C83" s="3197" t="s">
        <v>3057</v>
      </c>
      <c r="D83" s="3197">
        <v>104</v>
      </c>
      <c r="E83" s="3197">
        <v>520</v>
      </c>
      <c r="F83" s="3197" t="s">
        <v>3058</v>
      </c>
      <c r="G83" s="3197" t="s">
        <v>3059</v>
      </c>
      <c r="H83" s="3197" t="s">
        <v>3152</v>
      </c>
      <c r="I83" s="3197" t="s">
        <v>2814</v>
      </c>
      <c r="J83" s="3197">
        <v>15.59</v>
      </c>
      <c r="K83" s="3197">
        <v>300</v>
      </c>
      <c r="L83" s="3197" t="s">
        <v>2814</v>
      </c>
      <c r="M83" s="3197" t="s">
        <v>3159</v>
      </c>
      <c r="N83" s="3197" t="s">
        <v>3062</v>
      </c>
      <c r="O83">
        <f t="shared" si="1"/>
        <v>1499</v>
      </c>
    </row>
    <row r="84" spans="1:15">
      <c r="A84" s="3197" t="s">
        <v>3081</v>
      </c>
      <c r="B84" s="3197" t="s">
        <v>3056</v>
      </c>
      <c r="C84" s="3197" t="s">
        <v>3057</v>
      </c>
      <c r="D84" s="3197">
        <v>104</v>
      </c>
      <c r="E84" s="3197">
        <v>520</v>
      </c>
      <c r="F84" s="3197" t="s">
        <v>3058</v>
      </c>
      <c r="G84" s="3197" t="s">
        <v>3059</v>
      </c>
      <c r="H84" s="3197" t="s">
        <v>3152</v>
      </c>
      <c r="I84" s="3197" t="s">
        <v>2814</v>
      </c>
      <c r="J84" s="3197">
        <v>15.59</v>
      </c>
      <c r="K84" s="3197">
        <v>300</v>
      </c>
      <c r="L84" s="3197" t="s">
        <v>2814</v>
      </c>
      <c r="M84" s="3197" t="s">
        <v>3160</v>
      </c>
      <c r="N84" s="3197" t="s">
        <v>3062</v>
      </c>
      <c r="O84">
        <f t="shared" si="1"/>
        <v>1499</v>
      </c>
    </row>
    <row r="85" spans="1:15">
      <c r="A85" s="3197" t="s">
        <v>3081</v>
      </c>
      <c r="B85" s="3197" t="s">
        <v>3056</v>
      </c>
      <c r="C85" s="3197" t="s">
        <v>3057</v>
      </c>
      <c r="D85" s="3197">
        <v>114</v>
      </c>
      <c r="E85" s="3197">
        <v>570</v>
      </c>
      <c r="F85" s="3197" t="s">
        <v>3058</v>
      </c>
      <c r="G85" s="3197" t="s">
        <v>3059</v>
      </c>
      <c r="H85" s="3197" t="s">
        <v>3152</v>
      </c>
      <c r="I85" s="3197" t="s">
        <v>2814</v>
      </c>
      <c r="J85" s="3197">
        <v>17.100000000000001</v>
      </c>
      <c r="K85" s="3197">
        <v>300</v>
      </c>
      <c r="L85" s="3197" t="s">
        <v>2814</v>
      </c>
      <c r="M85" s="3197" t="s">
        <v>3161</v>
      </c>
      <c r="N85" s="3197" t="s">
        <v>3062</v>
      </c>
      <c r="O85">
        <f t="shared" si="1"/>
        <v>1500</v>
      </c>
    </row>
    <row r="86" spans="1:15">
      <c r="A86" s="3197" t="s">
        <v>3162</v>
      </c>
      <c r="B86" s="3197" t="s">
        <v>3056</v>
      </c>
      <c r="C86" s="3197" t="s">
        <v>3057</v>
      </c>
      <c r="D86" s="3197">
        <v>104161</v>
      </c>
      <c r="E86" s="3197">
        <v>104161</v>
      </c>
      <c r="F86" s="3197" t="s">
        <v>3163</v>
      </c>
      <c r="G86" s="3197" t="s">
        <v>3059</v>
      </c>
      <c r="H86" s="3197" t="s">
        <v>3164</v>
      </c>
      <c r="I86" s="3197">
        <v>7812.07</v>
      </c>
      <c r="J86" s="3197">
        <v>7812.07</v>
      </c>
      <c r="K86" s="3197">
        <v>750</v>
      </c>
      <c r="L86" s="3197">
        <v>0</v>
      </c>
      <c r="M86" s="3197" t="s">
        <v>3165</v>
      </c>
      <c r="N86" s="3197" t="s">
        <v>3062</v>
      </c>
      <c r="O86">
        <f t="shared" si="1"/>
        <v>750</v>
      </c>
    </row>
    <row r="87" spans="1:15">
      <c r="A87" s="3197" t="s">
        <v>3166</v>
      </c>
      <c r="B87" s="3197" t="s">
        <v>3056</v>
      </c>
      <c r="C87" s="3197" t="s">
        <v>3057</v>
      </c>
      <c r="D87" s="3197">
        <v>6708</v>
      </c>
      <c r="E87" s="3197">
        <v>16770</v>
      </c>
      <c r="F87" s="3197" t="s">
        <v>3167</v>
      </c>
      <c r="G87" s="3197" t="s">
        <v>3059</v>
      </c>
      <c r="H87" s="3197" t="s">
        <v>3164</v>
      </c>
      <c r="I87" s="3197">
        <v>503.1</v>
      </c>
      <c r="J87" s="3197">
        <v>503.1</v>
      </c>
      <c r="K87" s="3197">
        <v>300</v>
      </c>
      <c r="L87" s="3197">
        <v>0</v>
      </c>
      <c r="M87" s="3197" t="s">
        <v>3165</v>
      </c>
      <c r="N87" s="3197" t="s">
        <v>3062</v>
      </c>
      <c r="O87">
        <f t="shared" si="1"/>
        <v>750</v>
      </c>
    </row>
    <row r="88" spans="1:15">
      <c r="A88" s="3197" t="s">
        <v>3017</v>
      </c>
      <c r="B88" s="3197" t="s">
        <v>3056</v>
      </c>
      <c r="C88" s="3197" t="s">
        <v>3057</v>
      </c>
      <c r="D88" s="3197">
        <v>188</v>
      </c>
      <c r="E88" s="3197">
        <v>977.6</v>
      </c>
      <c r="F88" s="3197" t="s">
        <v>3168</v>
      </c>
      <c r="G88" s="3197" t="s">
        <v>3059</v>
      </c>
      <c r="H88" s="3197" t="s">
        <v>3169</v>
      </c>
      <c r="I88" s="3197" t="s">
        <v>2814</v>
      </c>
      <c r="J88" s="3197">
        <v>42.29</v>
      </c>
      <c r="K88" s="3197">
        <v>432.68</v>
      </c>
      <c r="L88" s="3197" t="s">
        <v>2814</v>
      </c>
      <c r="M88" s="3197" t="s">
        <v>3170</v>
      </c>
      <c r="N88" s="3197" t="s">
        <v>3062</v>
      </c>
      <c r="O88">
        <f t="shared" si="1"/>
        <v>2249</v>
      </c>
    </row>
    <row r="89" spans="1:15">
      <c r="A89" s="3197" t="s">
        <v>3171</v>
      </c>
      <c r="B89" s="3197" t="s">
        <v>3056</v>
      </c>
      <c r="C89" s="3197" t="s">
        <v>3057</v>
      </c>
      <c r="D89" s="3197">
        <v>422</v>
      </c>
      <c r="E89" s="3197">
        <v>633</v>
      </c>
      <c r="F89" s="3197" t="s">
        <v>3172</v>
      </c>
      <c r="G89" s="3197" t="s">
        <v>3059</v>
      </c>
      <c r="H89" s="3197" t="s">
        <v>3169</v>
      </c>
      <c r="I89" s="3197" t="s">
        <v>2814</v>
      </c>
      <c r="J89" s="3197">
        <v>94.95</v>
      </c>
      <c r="K89" s="3197">
        <v>1500</v>
      </c>
      <c r="L89" s="3197" t="s">
        <v>2814</v>
      </c>
      <c r="M89" s="3197" t="s">
        <v>3170</v>
      </c>
      <c r="N89" s="3197" t="s">
        <v>3062</v>
      </c>
      <c r="O89">
        <f t="shared" si="1"/>
        <v>2250</v>
      </c>
    </row>
    <row r="90" spans="1:15">
      <c r="A90" s="3197" t="s">
        <v>3173</v>
      </c>
      <c r="B90" s="3197" t="s">
        <v>3056</v>
      </c>
      <c r="C90" s="3197" t="s">
        <v>3057</v>
      </c>
      <c r="D90" s="3197">
        <v>3943</v>
      </c>
      <c r="E90" s="3197">
        <v>6703.1</v>
      </c>
      <c r="F90" s="3197" t="s">
        <v>3174</v>
      </c>
      <c r="G90" s="3197" t="s">
        <v>3059</v>
      </c>
      <c r="H90" s="3197" t="s">
        <v>3169</v>
      </c>
      <c r="I90" s="3197">
        <v>45</v>
      </c>
      <c r="J90" s="3197">
        <v>266.14</v>
      </c>
      <c r="K90" s="3197">
        <v>397.06</v>
      </c>
      <c r="L90" s="3197">
        <v>491.44</v>
      </c>
      <c r="M90" s="3197" t="s">
        <v>3175</v>
      </c>
      <c r="N90" s="3197" t="s">
        <v>3062</v>
      </c>
      <c r="O90">
        <f t="shared" si="1"/>
        <v>675</v>
      </c>
    </row>
    <row r="91" spans="1:15">
      <c r="A91" s="3197" t="s">
        <v>3017</v>
      </c>
      <c r="B91" s="3197" t="s">
        <v>3056</v>
      </c>
      <c r="C91" s="3197" t="s">
        <v>3057</v>
      </c>
      <c r="D91" s="3197">
        <v>333</v>
      </c>
      <c r="E91" s="3197">
        <v>1065.5999999999999</v>
      </c>
      <c r="F91" s="3197" t="s">
        <v>3176</v>
      </c>
      <c r="G91" s="3197" t="s">
        <v>3059</v>
      </c>
      <c r="H91" s="3197" t="s">
        <v>3169</v>
      </c>
      <c r="I91" s="3197" t="s">
        <v>2814</v>
      </c>
      <c r="J91" s="3197">
        <v>74.930000000000007</v>
      </c>
      <c r="K91" s="3197">
        <v>703.16</v>
      </c>
      <c r="L91" s="3197" t="s">
        <v>2814</v>
      </c>
      <c r="M91" s="3197" t="s">
        <v>3170</v>
      </c>
      <c r="N91" s="3197" t="s">
        <v>3062</v>
      </c>
      <c r="O91">
        <f t="shared" si="1"/>
        <v>2250</v>
      </c>
    </row>
    <row r="92" spans="1:15">
      <c r="A92" s="3197" t="s">
        <v>3177</v>
      </c>
      <c r="B92" s="3197" t="s">
        <v>3056</v>
      </c>
      <c r="C92" s="3197" t="s">
        <v>3057</v>
      </c>
      <c r="D92" s="3197">
        <v>1692</v>
      </c>
      <c r="E92" s="3197">
        <v>2876.4</v>
      </c>
      <c r="F92" s="3197" t="s">
        <v>3174</v>
      </c>
      <c r="G92" s="3197" t="s">
        <v>3059</v>
      </c>
      <c r="H92" s="3197" t="s">
        <v>3178</v>
      </c>
      <c r="I92" s="3197">
        <v>37</v>
      </c>
      <c r="J92" s="3197">
        <v>93.9</v>
      </c>
      <c r="K92" s="3197">
        <v>326.48</v>
      </c>
      <c r="L92" s="3197">
        <v>153.81</v>
      </c>
      <c r="M92" s="3197" t="s">
        <v>3179</v>
      </c>
      <c r="N92" s="3197" t="s">
        <v>3062</v>
      </c>
      <c r="O92">
        <f t="shared" si="1"/>
        <v>555</v>
      </c>
    </row>
    <row r="93" spans="1:15">
      <c r="A93" s="3197" t="s">
        <v>3173</v>
      </c>
      <c r="B93" s="3197" t="s">
        <v>3056</v>
      </c>
      <c r="C93" s="3197" t="s">
        <v>3057</v>
      </c>
      <c r="D93" s="3197">
        <v>11677</v>
      </c>
      <c r="E93" s="3197">
        <v>18683.2</v>
      </c>
      <c r="F93" s="3197" t="s">
        <v>3180</v>
      </c>
      <c r="G93" s="3197" t="s">
        <v>3059</v>
      </c>
      <c r="H93" s="3197" t="s">
        <v>3181</v>
      </c>
      <c r="I93" s="3197">
        <v>788.2</v>
      </c>
      <c r="J93" s="3197">
        <v>788.2</v>
      </c>
      <c r="K93" s="3197">
        <v>421.87</v>
      </c>
      <c r="L93" s="3197">
        <v>0</v>
      </c>
      <c r="M93" s="3197" t="s">
        <v>3182</v>
      </c>
      <c r="N93" s="3197" t="s">
        <v>3062</v>
      </c>
      <c r="O93">
        <f t="shared" si="1"/>
        <v>675</v>
      </c>
    </row>
    <row r="94" spans="1:15">
      <c r="A94" s="3197" t="s">
        <v>3183</v>
      </c>
      <c r="B94" s="3197" t="s">
        <v>3056</v>
      </c>
      <c r="C94" s="3197" t="s">
        <v>3057</v>
      </c>
      <c r="D94" s="3197">
        <v>8000</v>
      </c>
      <c r="E94" s="3197">
        <v>800</v>
      </c>
      <c r="F94" s="3197" t="s">
        <v>3184</v>
      </c>
      <c r="G94" s="3197" t="s">
        <v>3059</v>
      </c>
      <c r="H94" s="3197" t="s">
        <v>3185</v>
      </c>
      <c r="I94" s="3197">
        <v>600</v>
      </c>
      <c r="J94" s="3197">
        <v>600</v>
      </c>
      <c r="K94" s="3197">
        <v>7500</v>
      </c>
      <c r="L94" s="3197">
        <v>0</v>
      </c>
      <c r="M94" s="3197" t="s">
        <v>3186</v>
      </c>
      <c r="N94" s="3197" t="s">
        <v>3062</v>
      </c>
      <c r="O94">
        <f t="shared" si="1"/>
        <v>750</v>
      </c>
    </row>
    <row r="95" spans="1:15">
      <c r="A95" s="3197" t="s">
        <v>3081</v>
      </c>
      <c r="B95" s="3197" t="s">
        <v>3056</v>
      </c>
      <c r="C95" s="3197" t="s">
        <v>3057</v>
      </c>
      <c r="D95" s="3197">
        <v>112</v>
      </c>
      <c r="E95" s="3197">
        <v>560</v>
      </c>
      <c r="F95" s="3197" t="s">
        <v>3058</v>
      </c>
      <c r="G95" s="3197" t="s">
        <v>3059</v>
      </c>
      <c r="H95" s="3197" t="s">
        <v>3187</v>
      </c>
      <c r="I95" s="3197" t="s">
        <v>2814</v>
      </c>
      <c r="J95" s="3197">
        <v>16.8</v>
      </c>
      <c r="K95" s="3197">
        <v>300</v>
      </c>
      <c r="L95" s="3197" t="s">
        <v>2814</v>
      </c>
      <c r="M95" s="3197" t="s">
        <v>3188</v>
      </c>
      <c r="N95" s="3197" t="s">
        <v>3062</v>
      </c>
      <c r="O95">
        <f t="shared" si="1"/>
        <v>1500</v>
      </c>
    </row>
    <row r="96" spans="1:15">
      <c r="A96" s="3197" t="s">
        <v>3081</v>
      </c>
      <c r="B96" s="3197" t="s">
        <v>3056</v>
      </c>
      <c r="C96" s="3197" t="s">
        <v>3057</v>
      </c>
      <c r="D96" s="3197">
        <v>102</v>
      </c>
      <c r="E96" s="3197">
        <v>510</v>
      </c>
      <c r="F96" s="3197" t="s">
        <v>3058</v>
      </c>
      <c r="G96" s="3197" t="s">
        <v>3059</v>
      </c>
      <c r="H96" s="3197" t="s">
        <v>3187</v>
      </c>
      <c r="I96" s="3197" t="s">
        <v>2814</v>
      </c>
      <c r="J96" s="3197">
        <v>15.3</v>
      </c>
      <c r="K96" s="3197">
        <v>300</v>
      </c>
      <c r="L96" s="3197" t="s">
        <v>2814</v>
      </c>
      <c r="M96" s="3197" t="s">
        <v>3189</v>
      </c>
      <c r="N96" s="3197" t="s">
        <v>3062</v>
      </c>
      <c r="O96">
        <f t="shared" si="1"/>
        <v>1500</v>
      </c>
    </row>
    <row r="97" spans="1:15">
      <c r="A97" s="3197" t="s">
        <v>3081</v>
      </c>
      <c r="B97" s="3197" t="s">
        <v>3056</v>
      </c>
      <c r="C97" s="3197" t="s">
        <v>3057</v>
      </c>
      <c r="D97" s="3197">
        <v>115</v>
      </c>
      <c r="E97" s="3197">
        <v>575</v>
      </c>
      <c r="F97" s="3197" t="s">
        <v>3058</v>
      </c>
      <c r="G97" s="3197" t="s">
        <v>3059</v>
      </c>
      <c r="H97" s="3197" t="s">
        <v>3187</v>
      </c>
      <c r="I97" s="3197" t="s">
        <v>2814</v>
      </c>
      <c r="J97" s="3197">
        <v>17.25</v>
      </c>
      <c r="K97" s="3197">
        <v>300</v>
      </c>
      <c r="L97" s="3197" t="s">
        <v>2814</v>
      </c>
      <c r="M97" s="3197" t="s">
        <v>3190</v>
      </c>
      <c r="N97" s="3197" t="s">
        <v>3062</v>
      </c>
      <c r="O97">
        <f t="shared" si="1"/>
        <v>1500</v>
      </c>
    </row>
    <row r="98" spans="1:15">
      <c r="A98" s="3197" t="s">
        <v>3081</v>
      </c>
      <c r="B98" s="3197" t="s">
        <v>3056</v>
      </c>
      <c r="C98" s="3197" t="s">
        <v>3057</v>
      </c>
      <c r="D98" s="3197">
        <v>113</v>
      </c>
      <c r="E98" s="3197">
        <v>565</v>
      </c>
      <c r="F98" s="3197" t="s">
        <v>3058</v>
      </c>
      <c r="G98" s="3197" t="s">
        <v>3059</v>
      </c>
      <c r="H98" s="3197" t="s">
        <v>3187</v>
      </c>
      <c r="I98" s="3197" t="s">
        <v>2814</v>
      </c>
      <c r="J98" s="3197">
        <v>16.940000000000001</v>
      </c>
      <c r="K98" s="3197">
        <v>300</v>
      </c>
      <c r="L98" s="3197" t="s">
        <v>2814</v>
      </c>
      <c r="M98" s="3197" t="s">
        <v>3191</v>
      </c>
      <c r="N98" s="3197" t="s">
        <v>3062</v>
      </c>
      <c r="O98">
        <f t="shared" si="1"/>
        <v>1499</v>
      </c>
    </row>
    <row r="99" spans="1:15">
      <c r="A99" s="3197" t="s">
        <v>3081</v>
      </c>
      <c r="B99" s="3197" t="s">
        <v>3056</v>
      </c>
      <c r="C99" s="3197" t="s">
        <v>3057</v>
      </c>
      <c r="D99" s="3197">
        <v>112</v>
      </c>
      <c r="E99" s="3197">
        <v>560</v>
      </c>
      <c r="F99" s="3197" t="s">
        <v>3058</v>
      </c>
      <c r="G99" s="3197" t="s">
        <v>3059</v>
      </c>
      <c r="H99" s="3197" t="s">
        <v>3187</v>
      </c>
      <c r="I99" s="3197" t="s">
        <v>2814</v>
      </c>
      <c r="J99" s="3197">
        <v>16.8</v>
      </c>
      <c r="K99" s="3197">
        <v>300</v>
      </c>
      <c r="L99" s="3197" t="s">
        <v>2814</v>
      </c>
      <c r="M99" s="3197" t="s">
        <v>3192</v>
      </c>
      <c r="N99" s="3197" t="s">
        <v>3062</v>
      </c>
      <c r="O99">
        <f t="shared" si="1"/>
        <v>1500</v>
      </c>
    </row>
    <row r="100" spans="1:15">
      <c r="A100" s="3197" t="s">
        <v>3081</v>
      </c>
      <c r="B100" s="3197" t="s">
        <v>3056</v>
      </c>
      <c r="C100" s="3197" t="s">
        <v>3057</v>
      </c>
      <c r="D100" s="3197">
        <v>115</v>
      </c>
      <c r="E100" s="3197">
        <v>575</v>
      </c>
      <c r="F100" s="3197" t="s">
        <v>3058</v>
      </c>
      <c r="G100" s="3197" t="s">
        <v>3059</v>
      </c>
      <c r="H100" s="3197" t="s">
        <v>3187</v>
      </c>
      <c r="I100" s="3197" t="s">
        <v>2814</v>
      </c>
      <c r="J100" s="3197">
        <v>18.100000000000001</v>
      </c>
      <c r="K100" s="3197">
        <v>314.95</v>
      </c>
      <c r="L100" s="3197" t="s">
        <v>2814</v>
      </c>
      <c r="M100" s="3197" t="s">
        <v>3193</v>
      </c>
      <c r="N100" s="3197" t="s">
        <v>3062</v>
      </c>
      <c r="O100">
        <f t="shared" si="1"/>
        <v>1574</v>
      </c>
    </row>
    <row r="101" spans="1:15">
      <c r="A101" s="3197" t="s">
        <v>3081</v>
      </c>
      <c r="B101" s="3197" t="s">
        <v>3056</v>
      </c>
      <c r="C101" s="3197" t="s">
        <v>3057</v>
      </c>
      <c r="D101" s="3197">
        <v>101</v>
      </c>
      <c r="E101" s="3197">
        <v>505</v>
      </c>
      <c r="F101" s="3197" t="s">
        <v>3058</v>
      </c>
      <c r="G101" s="3197" t="s">
        <v>3059</v>
      </c>
      <c r="H101" s="3197" t="s">
        <v>3187</v>
      </c>
      <c r="I101" s="3197" t="s">
        <v>2814</v>
      </c>
      <c r="J101" s="3197">
        <v>15.15</v>
      </c>
      <c r="K101" s="3197">
        <v>300</v>
      </c>
      <c r="L101" s="3197" t="s">
        <v>2814</v>
      </c>
      <c r="M101" s="3197" t="s">
        <v>3194</v>
      </c>
      <c r="N101" s="3197" t="s">
        <v>3062</v>
      </c>
      <c r="O101">
        <f t="shared" si="1"/>
        <v>1500</v>
      </c>
    </row>
    <row r="102" spans="1:15">
      <c r="A102" s="3198" t="s">
        <v>3081</v>
      </c>
      <c r="B102" s="3198" t="s">
        <v>3056</v>
      </c>
      <c r="C102" s="3198" t="s">
        <v>3057</v>
      </c>
      <c r="D102" s="3198">
        <v>102</v>
      </c>
      <c r="E102" s="3198">
        <v>510</v>
      </c>
      <c r="F102" s="3198" t="s">
        <v>3058</v>
      </c>
      <c r="G102" s="3198" t="s">
        <v>3059</v>
      </c>
      <c r="H102" s="3198" t="s">
        <v>3187</v>
      </c>
      <c r="I102" s="3198" t="s">
        <v>2814</v>
      </c>
      <c r="J102" s="3198">
        <v>15.3</v>
      </c>
      <c r="K102" s="3198">
        <v>300</v>
      </c>
      <c r="L102" s="3198" t="s">
        <v>2814</v>
      </c>
      <c r="M102" s="3198" t="s">
        <v>3195</v>
      </c>
      <c r="N102" s="3198" t="s">
        <v>3062</v>
      </c>
      <c r="O102">
        <f t="shared" si="1"/>
        <v>1500</v>
      </c>
    </row>
    <row r="103" spans="1:15">
      <c r="A103" s="3198" t="s">
        <v>3081</v>
      </c>
      <c r="B103" s="3198" t="s">
        <v>3056</v>
      </c>
      <c r="C103" s="3198" t="s">
        <v>3057</v>
      </c>
      <c r="D103" s="3198">
        <v>109</v>
      </c>
      <c r="E103" s="3198">
        <v>545</v>
      </c>
      <c r="F103" s="3198" t="s">
        <v>3058</v>
      </c>
      <c r="G103" s="3198" t="s">
        <v>3059</v>
      </c>
      <c r="H103" s="3198" t="s">
        <v>3187</v>
      </c>
      <c r="I103" s="3198" t="s">
        <v>2814</v>
      </c>
      <c r="J103" s="3198">
        <v>16.350000000000001</v>
      </c>
      <c r="K103" s="3198">
        <v>300</v>
      </c>
      <c r="L103" s="3198" t="s">
        <v>2814</v>
      </c>
      <c r="M103" s="3198" t="s">
        <v>3196</v>
      </c>
      <c r="N103" s="3198" t="s">
        <v>3062</v>
      </c>
      <c r="O103">
        <f t="shared" si="1"/>
        <v>1500</v>
      </c>
    </row>
    <row r="104" spans="1:15">
      <c r="A104" s="3198" t="s">
        <v>3081</v>
      </c>
      <c r="B104" s="3198" t="s">
        <v>3056</v>
      </c>
      <c r="C104" s="3198" t="s">
        <v>3057</v>
      </c>
      <c r="D104" s="3198">
        <v>102</v>
      </c>
      <c r="E104" s="3198">
        <v>510</v>
      </c>
      <c r="F104" s="3198" t="s">
        <v>3058</v>
      </c>
      <c r="G104" s="3198" t="s">
        <v>3059</v>
      </c>
      <c r="H104" s="3198" t="s">
        <v>3187</v>
      </c>
      <c r="I104" s="3198" t="s">
        <v>2814</v>
      </c>
      <c r="J104" s="3198">
        <v>15.3</v>
      </c>
      <c r="K104" s="3198">
        <v>300</v>
      </c>
      <c r="L104" s="3198" t="s">
        <v>2814</v>
      </c>
      <c r="M104" s="3198" t="s">
        <v>3197</v>
      </c>
      <c r="N104" s="3198" t="s">
        <v>3062</v>
      </c>
      <c r="O104">
        <f t="shared" si="1"/>
        <v>1500</v>
      </c>
    </row>
    <row r="105" spans="1:15">
      <c r="A105" s="3198" t="s">
        <v>3081</v>
      </c>
      <c r="B105" s="3198" t="s">
        <v>3056</v>
      </c>
      <c r="C105" s="3198" t="s">
        <v>3057</v>
      </c>
      <c r="D105" s="3198">
        <v>100</v>
      </c>
      <c r="E105" s="3198">
        <v>500</v>
      </c>
      <c r="F105" s="3198" t="s">
        <v>3058</v>
      </c>
      <c r="G105" s="3198" t="s">
        <v>3059</v>
      </c>
      <c r="H105" s="3198" t="s">
        <v>3198</v>
      </c>
      <c r="I105" s="3198" t="s">
        <v>2814</v>
      </c>
      <c r="J105" s="3198">
        <v>15</v>
      </c>
      <c r="K105" s="3198">
        <v>300</v>
      </c>
      <c r="L105" s="3198" t="s">
        <v>2814</v>
      </c>
      <c r="M105" s="3198" t="s">
        <v>3199</v>
      </c>
      <c r="N105" s="3198" t="s">
        <v>3062</v>
      </c>
      <c r="O105">
        <f t="shared" si="1"/>
        <v>1500</v>
      </c>
    </row>
    <row r="106" spans="1:15">
      <c r="A106" s="3198" t="s">
        <v>3081</v>
      </c>
      <c r="B106" s="3198" t="s">
        <v>3056</v>
      </c>
      <c r="C106" s="3198" t="s">
        <v>3057</v>
      </c>
      <c r="D106" s="3198">
        <v>100</v>
      </c>
      <c r="E106" s="3198">
        <v>500</v>
      </c>
      <c r="F106" s="3198" t="s">
        <v>3058</v>
      </c>
      <c r="G106" s="3198" t="s">
        <v>3059</v>
      </c>
      <c r="H106" s="3198" t="s">
        <v>3198</v>
      </c>
      <c r="I106" s="3198" t="s">
        <v>2814</v>
      </c>
      <c r="J106" s="3198">
        <v>15</v>
      </c>
      <c r="K106" s="3198">
        <v>300</v>
      </c>
      <c r="L106" s="3198" t="s">
        <v>2814</v>
      </c>
      <c r="M106" s="3198" t="s">
        <v>3200</v>
      </c>
      <c r="N106" s="3198" t="s">
        <v>3062</v>
      </c>
      <c r="O106">
        <f t="shared" si="1"/>
        <v>1500</v>
      </c>
    </row>
    <row r="107" spans="1:15">
      <c r="A107" s="3198" t="s">
        <v>3081</v>
      </c>
      <c r="B107" s="3198" t="s">
        <v>3056</v>
      </c>
      <c r="C107" s="3198" t="s">
        <v>3057</v>
      </c>
      <c r="D107" s="3198">
        <v>99</v>
      </c>
      <c r="E107" s="3198">
        <v>495</v>
      </c>
      <c r="F107" s="3198" t="s">
        <v>3058</v>
      </c>
      <c r="G107" s="3198" t="s">
        <v>3059</v>
      </c>
      <c r="H107" s="3198" t="s">
        <v>3198</v>
      </c>
      <c r="I107" s="3198" t="s">
        <v>2814</v>
      </c>
      <c r="J107" s="3198">
        <v>14.84</v>
      </c>
      <c r="K107" s="3198">
        <v>300</v>
      </c>
      <c r="L107" s="3198" t="s">
        <v>2814</v>
      </c>
      <c r="M107" s="3198" t="s">
        <v>3201</v>
      </c>
      <c r="N107" s="3198" t="s">
        <v>3062</v>
      </c>
      <c r="O107">
        <f t="shared" si="1"/>
        <v>1499</v>
      </c>
    </row>
    <row r="108" spans="1:15">
      <c r="A108" s="3198" t="s">
        <v>3081</v>
      </c>
      <c r="B108" s="3198" t="s">
        <v>3056</v>
      </c>
      <c r="C108" s="3198" t="s">
        <v>3057</v>
      </c>
      <c r="D108" s="3198">
        <v>101</v>
      </c>
      <c r="E108" s="3198">
        <v>505</v>
      </c>
      <c r="F108" s="3198" t="s">
        <v>3058</v>
      </c>
      <c r="G108" s="3198" t="s">
        <v>3059</v>
      </c>
      <c r="H108" s="3198" t="s">
        <v>3198</v>
      </c>
      <c r="I108" s="3198" t="s">
        <v>2814</v>
      </c>
      <c r="J108" s="3198">
        <v>15.15</v>
      </c>
      <c r="K108" s="3198">
        <v>300</v>
      </c>
      <c r="L108" s="3198" t="s">
        <v>2814</v>
      </c>
      <c r="M108" s="3198" t="s">
        <v>3202</v>
      </c>
      <c r="N108" s="3198" t="s">
        <v>3062</v>
      </c>
      <c r="O108">
        <f t="shared" si="1"/>
        <v>1500</v>
      </c>
    </row>
    <row r="109" spans="1:15">
      <c r="A109" s="3198" t="s">
        <v>3081</v>
      </c>
      <c r="B109" s="3198" t="s">
        <v>3056</v>
      </c>
      <c r="C109" s="3198" t="s">
        <v>3057</v>
      </c>
      <c r="D109" s="3198">
        <v>100</v>
      </c>
      <c r="E109" s="3198">
        <v>500</v>
      </c>
      <c r="F109" s="3198" t="s">
        <v>3058</v>
      </c>
      <c r="G109" s="3198" t="s">
        <v>3059</v>
      </c>
      <c r="H109" s="3198" t="s">
        <v>3198</v>
      </c>
      <c r="I109" s="3198" t="s">
        <v>2814</v>
      </c>
      <c r="J109" s="3198">
        <v>15</v>
      </c>
      <c r="K109" s="3198">
        <v>300</v>
      </c>
      <c r="L109" s="3198" t="s">
        <v>2814</v>
      </c>
      <c r="M109" s="3198" t="s">
        <v>3203</v>
      </c>
      <c r="N109" s="3198" t="s">
        <v>3062</v>
      </c>
      <c r="O109">
        <f t="shared" si="1"/>
        <v>1500</v>
      </c>
    </row>
    <row r="110" spans="1:15">
      <c r="A110" s="3198" t="s">
        <v>3081</v>
      </c>
      <c r="B110" s="3198" t="s">
        <v>3056</v>
      </c>
      <c r="C110" s="3198" t="s">
        <v>3057</v>
      </c>
      <c r="D110" s="3198">
        <v>104</v>
      </c>
      <c r="E110" s="3198">
        <v>520</v>
      </c>
      <c r="F110" s="3198" t="s">
        <v>3058</v>
      </c>
      <c r="G110" s="3198" t="s">
        <v>3059</v>
      </c>
      <c r="H110" s="3198" t="s">
        <v>3198</v>
      </c>
      <c r="I110" s="3198" t="s">
        <v>2814</v>
      </c>
      <c r="J110" s="3198">
        <v>15.59</v>
      </c>
      <c r="K110" s="3198">
        <v>300</v>
      </c>
      <c r="L110" s="3198" t="s">
        <v>2814</v>
      </c>
      <c r="M110" s="3198" t="s">
        <v>3204</v>
      </c>
      <c r="N110" s="3198" t="s">
        <v>3062</v>
      </c>
      <c r="O110">
        <f t="shared" si="1"/>
        <v>1499</v>
      </c>
    </row>
    <row r="111" spans="1:15">
      <c r="A111" s="3198" t="s">
        <v>3081</v>
      </c>
      <c r="B111" s="3198" t="s">
        <v>3056</v>
      </c>
      <c r="C111" s="3198" t="s">
        <v>3057</v>
      </c>
      <c r="D111" s="3198">
        <v>99</v>
      </c>
      <c r="E111" s="3198">
        <v>495</v>
      </c>
      <c r="F111" s="3198" t="s">
        <v>3058</v>
      </c>
      <c r="G111" s="3198" t="s">
        <v>3059</v>
      </c>
      <c r="H111" s="3198" t="s">
        <v>3198</v>
      </c>
      <c r="I111" s="3198" t="s">
        <v>2814</v>
      </c>
      <c r="J111" s="3198">
        <v>14.84</v>
      </c>
      <c r="K111" s="3198">
        <v>300</v>
      </c>
      <c r="L111" s="3198" t="s">
        <v>2814</v>
      </c>
      <c r="M111" s="3198" t="s">
        <v>3205</v>
      </c>
      <c r="N111" s="3198" t="s">
        <v>3062</v>
      </c>
      <c r="O111">
        <f t="shared" si="1"/>
        <v>1499</v>
      </c>
    </row>
    <row r="112" spans="1:15">
      <c r="A112" s="3198" t="s">
        <v>3081</v>
      </c>
      <c r="B112" s="3198" t="s">
        <v>3056</v>
      </c>
      <c r="C112" s="3198" t="s">
        <v>3057</v>
      </c>
      <c r="D112" s="3198">
        <v>99</v>
      </c>
      <c r="E112" s="3198">
        <v>495</v>
      </c>
      <c r="F112" s="3198" t="s">
        <v>3058</v>
      </c>
      <c r="G112" s="3198" t="s">
        <v>3059</v>
      </c>
      <c r="H112" s="3198" t="s">
        <v>3198</v>
      </c>
      <c r="I112" s="3198" t="s">
        <v>2814</v>
      </c>
      <c r="J112" s="3198">
        <v>14.84</v>
      </c>
      <c r="K112" s="3198">
        <v>300</v>
      </c>
      <c r="L112" s="3198" t="s">
        <v>2814</v>
      </c>
      <c r="M112" s="3198" t="s">
        <v>3206</v>
      </c>
      <c r="N112" s="3198" t="s">
        <v>3062</v>
      </c>
      <c r="O112">
        <f t="shared" si="1"/>
        <v>1499</v>
      </c>
    </row>
    <row r="113" spans="1:15" s="3200" customFormat="1">
      <c r="A113" s="3196" t="s">
        <v>3035</v>
      </c>
      <c r="B113" s="3196" t="s">
        <v>3056</v>
      </c>
      <c r="C113" s="3196" t="s">
        <v>3057</v>
      </c>
      <c r="D113" s="3196">
        <v>3049</v>
      </c>
      <c r="E113" s="3196">
        <v>5183.3</v>
      </c>
      <c r="F113" s="3196" t="s">
        <v>3174</v>
      </c>
      <c r="G113" s="3196" t="s">
        <v>3059</v>
      </c>
      <c r="H113" s="3196" t="s">
        <v>3207</v>
      </c>
      <c r="I113" s="3196">
        <v>125</v>
      </c>
      <c r="J113" s="3196">
        <v>736.33</v>
      </c>
      <c r="K113" s="3196">
        <v>1420.57</v>
      </c>
      <c r="L113" s="3196">
        <v>489.06</v>
      </c>
      <c r="M113" s="3196" t="s">
        <v>3208</v>
      </c>
      <c r="N113" s="3196" t="s">
        <v>3062</v>
      </c>
      <c r="O113">
        <f t="shared" si="1"/>
        <v>2415</v>
      </c>
    </row>
    <row r="114" spans="1:15">
      <c r="A114" s="3198" t="s">
        <v>3015</v>
      </c>
      <c r="B114" s="3198" t="s">
        <v>3056</v>
      </c>
      <c r="C114" s="3198" t="s">
        <v>3057</v>
      </c>
      <c r="D114" s="3198">
        <v>22010</v>
      </c>
      <c r="E114" s="3198">
        <v>44020</v>
      </c>
      <c r="F114" s="3198" t="s">
        <v>3209</v>
      </c>
      <c r="G114" s="3198" t="s">
        <v>3059</v>
      </c>
      <c r="H114" s="3198" t="s">
        <v>3207</v>
      </c>
      <c r="I114" s="3198" t="s">
        <v>2814</v>
      </c>
      <c r="J114" s="3198">
        <v>3631.65</v>
      </c>
      <c r="K114" s="3198">
        <v>825</v>
      </c>
      <c r="L114" s="3198" t="s">
        <v>2814</v>
      </c>
      <c r="M114" s="3198" t="s">
        <v>3210</v>
      </c>
      <c r="N114" s="3198" t="s">
        <v>3062</v>
      </c>
      <c r="O114">
        <f t="shared" si="1"/>
        <v>1650</v>
      </c>
    </row>
    <row r="115" spans="1:15">
      <c r="A115" s="3207" t="s">
        <v>3329</v>
      </c>
      <c r="B115" s="3198" t="s">
        <v>3056</v>
      </c>
      <c r="C115" s="3198" t="s">
        <v>3057</v>
      </c>
      <c r="D115" s="3198">
        <v>69351</v>
      </c>
      <c r="E115" s="3198">
        <v>83221.2</v>
      </c>
      <c r="F115" s="3198" t="s">
        <v>3212</v>
      </c>
      <c r="G115" s="3198" t="s">
        <v>3059</v>
      </c>
      <c r="H115" s="3198" t="s">
        <v>3213</v>
      </c>
      <c r="I115" s="3198" t="s">
        <v>2814</v>
      </c>
      <c r="J115" s="3198">
        <v>2392.61</v>
      </c>
      <c r="K115" s="3198">
        <v>287.5</v>
      </c>
      <c r="L115" s="3198" t="s">
        <v>2814</v>
      </c>
      <c r="M115" s="3198" t="s">
        <v>3214</v>
      </c>
      <c r="N115" s="3198" t="s">
        <v>3062</v>
      </c>
      <c r="O115">
        <f t="shared" si="1"/>
        <v>345</v>
      </c>
    </row>
    <row r="116" spans="1:15">
      <c r="A116" s="3198" t="s">
        <v>3211</v>
      </c>
      <c r="B116" s="3198" t="s">
        <v>3056</v>
      </c>
      <c r="C116" s="3198" t="s">
        <v>3057</v>
      </c>
      <c r="D116" s="3198">
        <v>68628</v>
      </c>
      <c r="E116" s="3198">
        <v>82353.600000000006</v>
      </c>
      <c r="F116" s="3198" t="s">
        <v>3212</v>
      </c>
      <c r="G116" s="3198" t="s">
        <v>3059</v>
      </c>
      <c r="H116" s="3198" t="s">
        <v>3213</v>
      </c>
      <c r="I116" s="3198" t="s">
        <v>2814</v>
      </c>
      <c r="J116" s="3198">
        <v>2367.67</v>
      </c>
      <c r="K116" s="3198">
        <v>287.5</v>
      </c>
      <c r="L116" s="3198" t="s">
        <v>2814</v>
      </c>
      <c r="M116" s="3198" t="s">
        <v>3214</v>
      </c>
      <c r="N116" s="3198" t="s">
        <v>3062</v>
      </c>
      <c r="O116">
        <f t="shared" si="1"/>
        <v>345</v>
      </c>
    </row>
    <row r="117" spans="1:15">
      <c r="A117" s="3198" t="s">
        <v>3211</v>
      </c>
      <c r="B117" s="3198" t="s">
        <v>3056</v>
      </c>
      <c r="C117" s="3198" t="s">
        <v>3057</v>
      </c>
      <c r="D117" s="3198">
        <v>67660</v>
      </c>
      <c r="E117" s="3198">
        <v>81192</v>
      </c>
      <c r="F117" s="3198" t="s">
        <v>3212</v>
      </c>
      <c r="G117" s="3198" t="s">
        <v>3059</v>
      </c>
      <c r="H117" s="3198" t="s">
        <v>3213</v>
      </c>
      <c r="I117" s="3198" t="s">
        <v>2814</v>
      </c>
      <c r="J117" s="3198">
        <v>2334.2600000000002</v>
      </c>
      <c r="K117" s="3198">
        <v>287.5</v>
      </c>
      <c r="L117" s="3198" t="s">
        <v>2814</v>
      </c>
      <c r="M117" s="3198" t="s">
        <v>3214</v>
      </c>
      <c r="N117" s="3198" t="s">
        <v>3062</v>
      </c>
      <c r="O117">
        <f t="shared" si="1"/>
        <v>345</v>
      </c>
    </row>
    <row r="118" spans="1:15">
      <c r="A118" s="3198" t="s">
        <v>3211</v>
      </c>
      <c r="B118" s="3198" t="s">
        <v>3056</v>
      </c>
      <c r="C118" s="3198" t="s">
        <v>3057</v>
      </c>
      <c r="D118" s="3198">
        <v>50249</v>
      </c>
      <c r="E118" s="3198">
        <v>60298.8</v>
      </c>
      <c r="F118" s="3198" t="s">
        <v>3212</v>
      </c>
      <c r="G118" s="3198" t="s">
        <v>3059</v>
      </c>
      <c r="H118" s="3198" t="s">
        <v>3213</v>
      </c>
      <c r="I118" s="3198" t="s">
        <v>2814</v>
      </c>
      <c r="J118" s="3198">
        <v>1733.58</v>
      </c>
      <c r="K118" s="3198">
        <v>287.5</v>
      </c>
      <c r="L118" s="3198" t="s">
        <v>2814</v>
      </c>
      <c r="M118" s="3198" t="s">
        <v>3214</v>
      </c>
      <c r="N118" s="3198" t="s">
        <v>3062</v>
      </c>
      <c r="O118">
        <f t="shared" si="1"/>
        <v>345</v>
      </c>
    </row>
    <row r="119" spans="1:15">
      <c r="A119" s="3198" t="s">
        <v>3211</v>
      </c>
      <c r="B119" s="3198" t="s">
        <v>3056</v>
      </c>
      <c r="C119" s="3198" t="s">
        <v>3057</v>
      </c>
      <c r="D119" s="3198">
        <v>56488</v>
      </c>
      <c r="E119" s="3198">
        <v>67785.600000000006</v>
      </c>
      <c r="F119" s="3198" t="s">
        <v>3212</v>
      </c>
      <c r="G119" s="3198" t="s">
        <v>3059</v>
      </c>
      <c r="H119" s="3198" t="s">
        <v>3213</v>
      </c>
      <c r="I119" s="3198" t="s">
        <v>2814</v>
      </c>
      <c r="J119" s="3198">
        <v>1948.83</v>
      </c>
      <c r="K119" s="3198">
        <v>287.5</v>
      </c>
      <c r="L119" s="3198" t="s">
        <v>2814</v>
      </c>
      <c r="M119" s="3198" t="s">
        <v>3214</v>
      </c>
      <c r="N119" s="3198" t="s">
        <v>3062</v>
      </c>
      <c r="O119">
        <f t="shared" si="1"/>
        <v>345</v>
      </c>
    </row>
    <row r="120" spans="1:15">
      <c r="A120" s="3198" t="s">
        <v>3013</v>
      </c>
      <c r="B120" s="3198" t="s">
        <v>3056</v>
      </c>
      <c r="C120" s="3198" t="s">
        <v>3057</v>
      </c>
      <c r="D120" s="3198">
        <v>15529</v>
      </c>
      <c r="E120" s="3198">
        <v>37269.599999999999</v>
      </c>
      <c r="F120" s="3198" t="s">
        <v>3215</v>
      </c>
      <c r="G120" s="3198" t="s">
        <v>3059</v>
      </c>
      <c r="H120" s="3198" t="s">
        <v>3216</v>
      </c>
      <c r="I120" s="3198" t="s">
        <v>2814</v>
      </c>
      <c r="J120" s="3198">
        <v>3494.03</v>
      </c>
      <c r="K120" s="3198">
        <v>937.5</v>
      </c>
      <c r="L120" s="3198" t="s">
        <v>2814</v>
      </c>
      <c r="M120" s="3198" t="s">
        <v>3217</v>
      </c>
      <c r="N120" s="3198" t="s">
        <v>3062</v>
      </c>
      <c r="O120">
        <f t="shared" si="1"/>
        <v>2250</v>
      </c>
    </row>
    <row r="121" spans="1:15">
      <c r="A121" s="3198" t="s">
        <v>3055</v>
      </c>
      <c r="B121" s="3198" t="s">
        <v>3056</v>
      </c>
      <c r="C121" s="3198" t="s">
        <v>3057</v>
      </c>
      <c r="D121" s="3198">
        <v>98</v>
      </c>
      <c r="E121" s="3198">
        <v>490</v>
      </c>
      <c r="F121" s="3198" t="s">
        <v>3058</v>
      </c>
      <c r="G121" s="3198" t="s">
        <v>3059</v>
      </c>
      <c r="H121" s="3198" t="s">
        <v>3218</v>
      </c>
      <c r="I121" s="3198" t="s">
        <v>2814</v>
      </c>
      <c r="J121" s="3198">
        <v>14.69</v>
      </c>
      <c r="K121" s="3198">
        <v>300</v>
      </c>
      <c r="L121" s="3198" t="s">
        <v>2814</v>
      </c>
      <c r="M121" s="3198" t="s">
        <v>3219</v>
      </c>
      <c r="N121" s="3198" t="s">
        <v>3062</v>
      </c>
      <c r="O121">
        <f t="shared" si="1"/>
        <v>1499</v>
      </c>
    </row>
    <row r="122" spans="1:15">
      <c r="A122" s="3198" t="s">
        <v>3081</v>
      </c>
      <c r="B122" s="3198" t="s">
        <v>3056</v>
      </c>
      <c r="C122" s="3198" t="s">
        <v>3057</v>
      </c>
      <c r="D122" s="3198">
        <v>101</v>
      </c>
      <c r="E122" s="3198">
        <v>505</v>
      </c>
      <c r="F122" s="3198" t="s">
        <v>3058</v>
      </c>
      <c r="G122" s="3198" t="s">
        <v>3059</v>
      </c>
      <c r="H122" s="3198" t="s">
        <v>3218</v>
      </c>
      <c r="I122" s="3198" t="s">
        <v>2814</v>
      </c>
      <c r="J122" s="3198">
        <v>15.15</v>
      </c>
      <c r="K122" s="3198">
        <v>300</v>
      </c>
      <c r="L122" s="3198" t="s">
        <v>2814</v>
      </c>
      <c r="M122" s="3198" t="s">
        <v>3220</v>
      </c>
      <c r="N122" s="3198" t="s">
        <v>3062</v>
      </c>
      <c r="O122">
        <f t="shared" si="1"/>
        <v>1500</v>
      </c>
    </row>
    <row r="123" spans="1:15">
      <c r="A123" s="3198" t="s">
        <v>3055</v>
      </c>
      <c r="B123" s="3198" t="s">
        <v>3056</v>
      </c>
      <c r="C123" s="3198" t="s">
        <v>3057</v>
      </c>
      <c r="D123" s="3198">
        <v>105</v>
      </c>
      <c r="E123" s="3198">
        <v>525</v>
      </c>
      <c r="F123" s="3198" t="s">
        <v>3058</v>
      </c>
      <c r="G123" s="3198" t="s">
        <v>3059</v>
      </c>
      <c r="H123" s="3198" t="s">
        <v>3218</v>
      </c>
      <c r="I123" s="3198" t="s">
        <v>2814</v>
      </c>
      <c r="J123" s="3198">
        <v>15.75</v>
      </c>
      <c r="K123" s="3198">
        <v>300</v>
      </c>
      <c r="L123" s="3198" t="s">
        <v>2814</v>
      </c>
      <c r="M123" s="3198" t="s">
        <v>3221</v>
      </c>
      <c r="N123" s="3198" t="s">
        <v>3062</v>
      </c>
      <c r="O123">
        <f t="shared" si="1"/>
        <v>1500</v>
      </c>
    </row>
    <row r="124" spans="1:15">
      <c r="A124" s="3198" t="s">
        <v>3055</v>
      </c>
      <c r="B124" s="3198" t="s">
        <v>3056</v>
      </c>
      <c r="C124" s="3198" t="s">
        <v>3057</v>
      </c>
      <c r="D124" s="3198">
        <v>96</v>
      </c>
      <c r="E124" s="3198">
        <v>480</v>
      </c>
      <c r="F124" s="3198" t="s">
        <v>3058</v>
      </c>
      <c r="G124" s="3198" t="s">
        <v>3059</v>
      </c>
      <c r="H124" s="3198" t="s">
        <v>3218</v>
      </c>
      <c r="I124" s="3198" t="s">
        <v>2814</v>
      </c>
      <c r="J124" s="3198">
        <v>14.4</v>
      </c>
      <c r="K124" s="3198">
        <v>300</v>
      </c>
      <c r="L124" s="3198" t="s">
        <v>2814</v>
      </c>
      <c r="M124" s="3198" t="s">
        <v>3222</v>
      </c>
      <c r="N124" s="3198" t="s">
        <v>3062</v>
      </c>
      <c r="O124">
        <f t="shared" si="1"/>
        <v>1500</v>
      </c>
    </row>
    <row r="125" spans="1:15">
      <c r="A125" s="3198" t="s">
        <v>3055</v>
      </c>
      <c r="B125" s="3198" t="s">
        <v>3056</v>
      </c>
      <c r="C125" s="3198" t="s">
        <v>3057</v>
      </c>
      <c r="D125" s="3198">
        <v>98</v>
      </c>
      <c r="E125" s="3198">
        <v>490</v>
      </c>
      <c r="F125" s="3198" t="s">
        <v>3058</v>
      </c>
      <c r="G125" s="3198" t="s">
        <v>3059</v>
      </c>
      <c r="H125" s="3198" t="s">
        <v>3218</v>
      </c>
      <c r="I125" s="3198" t="s">
        <v>2814</v>
      </c>
      <c r="J125" s="3198">
        <v>14.69</v>
      </c>
      <c r="K125" s="3198">
        <v>300</v>
      </c>
      <c r="L125" s="3198" t="s">
        <v>2814</v>
      </c>
      <c r="M125" s="3198" t="s">
        <v>3223</v>
      </c>
      <c r="N125" s="3198" t="s">
        <v>3062</v>
      </c>
      <c r="O125">
        <f t="shared" si="1"/>
        <v>1499</v>
      </c>
    </row>
    <row r="126" spans="1:15">
      <c r="A126" s="3198" t="s">
        <v>3081</v>
      </c>
      <c r="B126" s="3198" t="s">
        <v>3056</v>
      </c>
      <c r="C126" s="3198" t="s">
        <v>3057</v>
      </c>
      <c r="D126" s="3198">
        <v>100</v>
      </c>
      <c r="E126" s="3198">
        <v>500</v>
      </c>
      <c r="F126" s="3198" t="s">
        <v>3058</v>
      </c>
      <c r="G126" s="3198" t="s">
        <v>3059</v>
      </c>
      <c r="H126" s="3198" t="s">
        <v>3218</v>
      </c>
      <c r="I126" s="3198" t="s">
        <v>2814</v>
      </c>
      <c r="J126" s="3198">
        <v>15</v>
      </c>
      <c r="K126" s="3198">
        <v>300</v>
      </c>
      <c r="L126" s="3198" t="s">
        <v>2814</v>
      </c>
      <c r="M126" s="3198" t="s">
        <v>3224</v>
      </c>
      <c r="N126" s="3198" t="s">
        <v>3062</v>
      </c>
      <c r="O126">
        <f t="shared" si="1"/>
        <v>1500</v>
      </c>
    </row>
    <row r="127" spans="1:15">
      <c r="A127" s="3198" t="s">
        <v>3081</v>
      </c>
      <c r="B127" s="3198" t="s">
        <v>3056</v>
      </c>
      <c r="C127" s="3198" t="s">
        <v>3057</v>
      </c>
      <c r="D127" s="3198">
        <v>102</v>
      </c>
      <c r="E127" s="3198">
        <v>510</v>
      </c>
      <c r="F127" s="3198" t="s">
        <v>3058</v>
      </c>
      <c r="G127" s="3198" t="s">
        <v>3059</v>
      </c>
      <c r="H127" s="3198" t="s">
        <v>3218</v>
      </c>
      <c r="I127" s="3198" t="s">
        <v>2814</v>
      </c>
      <c r="J127" s="3198">
        <v>15.3</v>
      </c>
      <c r="K127" s="3198">
        <v>300</v>
      </c>
      <c r="L127" s="3198" t="s">
        <v>2814</v>
      </c>
      <c r="M127" s="3198" t="s">
        <v>3225</v>
      </c>
      <c r="N127" s="3198" t="s">
        <v>3062</v>
      </c>
      <c r="O127">
        <f t="shared" si="1"/>
        <v>1500</v>
      </c>
    </row>
    <row r="128" spans="1:15">
      <c r="A128" s="3198" t="s">
        <v>3055</v>
      </c>
      <c r="B128" s="3198" t="s">
        <v>3056</v>
      </c>
      <c r="C128" s="3198" t="s">
        <v>3057</v>
      </c>
      <c r="D128" s="3198">
        <v>100</v>
      </c>
      <c r="E128" s="3198">
        <v>500</v>
      </c>
      <c r="F128" s="3198" t="s">
        <v>3058</v>
      </c>
      <c r="G128" s="3198" t="s">
        <v>3059</v>
      </c>
      <c r="H128" s="3198" t="s">
        <v>3218</v>
      </c>
      <c r="I128" s="3198" t="s">
        <v>2814</v>
      </c>
      <c r="J128" s="3198">
        <v>15</v>
      </c>
      <c r="K128" s="3198">
        <v>300</v>
      </c>
      <c r="L128" s="3198" t="s">
        <v>2814</v>
      </c>
      <c r="M128" s="3198" t="s">
        <v>3226</v>
      </c>
      <c r="N128" s="3198" t="s">
        <v>3062</v>
      </c>
      <c r="O128">
        <f t="shared" si="1"/>
        <v>1500</v>
      </c>
    </row>
    <row r="129" spans="1:15">
      <c r="A129" s="3198" t="s">
        <v>3055</v>
      </c>
      <c r="B129" s="3198" t="s">
        <v>3056</v>
      </c>
      <c r="C129" s="3198" t="s">
        <v>3057</v>
      </c>
      <c r="D129" s="3198">
        <v>101</v>
      </c>
      <c r="E129" s="3198">
        <v>505</v>
      </c>
      <c r="F129" s="3198" t="s">
        <v>3058</v>
      </c>
      <c r="G129" s="3198" t="s">
        <v>3059</v>
      </c>
      <c r="H129" s="3198" t="s">
        <v>3218</v>
      </c>
      <c r="I129" s="3198" t="s">
        <v>2814</v>
      </c>
      <c r="J129" s="3198">
        <v>15.15</v>
      </c>
      <c r="K129" s="3198">
        <v>300</v>
      </c>
      <c r="L129" s="3198" t="s">
        <v>2814</v>
      </c>
      <c r="M129" s="3198" t="s">
        <v>3227</v>
      </c>
      <c r="N129" s="3198" t="s">
        <v>3062</v>
      </c>
      <c r="O129">
        <f t="shared" si="1"/>
        <v>1500</v>
      </c>
    </row>
    <row r="130" spans="1:15">
      <c r="A130" s="3198" t="s">
        <v>3081</v>
      </c>
      <c r="B130" s="3198" t="s">
        <v>3056</v>
      </c>
      <c r="C130" s="3198" t="s">
        <v>3057</v>
      </c>
      <c r="D130" s="3198">
        <v>102</v>
      </c>
      <c r="E130" s="3198">
        <v>510</v>
      </c>
      <c r="F130" s="3198" t="s">
        <v>3058</v>
      </c>
      <c r="G130" s="3198" t="s">
        <v>3059</v>
      </c>
      <c r="H130" s="3198" t="s">
        <v>3218</v>
      </c>
      <c r="I130" s="3198" t="s">
        <v>2814</v>
      </c>
      <c r="J130" s="3198">
        <v>15.3</v>
      </c>
      <c r="K130" s="3198">
        <v>300</v>
      </c>
      <c r="L130" s="3198" t="s">
        <v>2814</v>
      </c>
      <c r="M130" s="3198" t="s">
        <v>3228</v>
      </c>
      <c r="N130" s="3198" t="s">
        <v>3062</v>
      </c>
      <c r="O130">
        <f t="shared" si="1"/>
        <v>1500</v>
      </c>
    </row>
    <row r="131" spans="1:15">
      <c r="A131" s="3198" t="s">
        <v>3081</v>
      </c>
      <c r="B131" s="3198" t="s">
        <v>3056</v>
      </c>
      <c r="C131" s="3198" t="s">
        <v>3057</v>
      </c>
      <c r="D131" s="3198">
        <v>99</v>
      </c>
      <c r="E131" s="3198">
        <v>495</v>
      </c>
      <c r="F131" s="3198" t="s">
        <v>3058</v>
      </c>
      <c r="G131" s="3198" t="s">
        <v>3059</v>
      </c>
      <c r="H131" s="3198" t="s">
        <v>3218</v>
      </c>
      <c r="I131" s="3198" t="s">
        <v>2814</v>
      </c>
      <c r="J131" s="3198">
        <v>14.84</v>
      </c>
      <c r="K131" s="3198">
        <v>300</v>
      </c>
      <c r="L131" s="3198" t="s">
        <v>2814</v>
      </c>
      <c r="M131" s="3198" t="s">
        <v>3229</v>
      </c>
      <c r="N131" s="3198" t="s">
        <v>3062</v>
      </c>
      <c r="O131">
        <f t="shared" ref="O131:O194" si="2">ROUND(J131/D131*10000,0)</f>
        <v>1499</v>
      </c>
    </row>
    <row r="132" spans="1:15">
      <c r="A132" s="3198" t="s">
        <v>3081</v>
      </c>
      <c r="B132" s="3198" t="s">
        <v>3056</v>
      </c>
      <c r="C132" s="3198" t="s">
        <v>3057</v>
      </c>
      <c r="D132" s="3198">
        <v>102</v>
      </c>
      <c r="E132" s="3198">
        <v>510</v>
      </c>
      <c r="F132" s="3198" t="s">
        <v>3058</v>
      </c>
      <c r="G132" s="3198" t="s">
        <v>3059</v>
      </c>
      <c r="H132" s="3198" t="s">
        <v>3218</v>
      </c>
      <c r="I132" s="3198" t="s">
        <v>2814</v>
      </c>
      <c r="J132" s="3198">
        <v>15.3</v>
      </c>
      <c r="K132" s="3198">
        <v>300</v>
      </c>
      <c r="L132" s="3198" t="s">
        <v>2814</v>
      </c>
      <c r="M132" s="3198" t="s">
        <v>3230</v>
      </c>
      <c r="N132" s="3198" t="s">
        <v>3062</v>
      </c>
      <c r="O132">
        <f t="shared" si="2"/>
        <v>1500</v>
      </c>
    </row>
    <row r="133" spans="1:15">
      <c r="A133" s="3198" t="s">
        <v>3081</v>
      </c>
      <c r="B133" s="3198" t="s">
        <v>3056</v>
      </c>
      <c r="C133" s="3198" t="s">
        <v>3057</v>
      </c>
      <c r="D133" s="3198">
        <v>113</v>
      </c>
      <c r="E133" s="3198">
        <v>565</v>
      </c>
      <c r="F133" s="3198" t="s">
        <v>3058</v>
      </c>
      <c r="G133" s="3198" t="s">
        <v>3059</v>
      </c>
      <c r="H133" s="3198" t="s">
        <v>3218</v>
      </c>
      <c r="I133" s="3198" t="s">
        <v>2814</v>
      </c>
      <c r="J133" s="3198">
        <v>16.940000000000001</v>
      </c>
      <c r="K133" s="3198">
        <v>300</v>
      </c>
      <c r="L133" s="3198" t="s">
        <v>2814</v>
      </c>
      <c r="M133" s="3198" t="s">
        <v>3231</v>
      </c>
      <c r="N133" s="3198" t="s">
        <v>3062</v>
      </c>
      <c r="O133">
        <f t="shared" si="2"/>
        <v>1499</v>
      </c>
    </row>
    <row r="134" spans="1:15">
      <c r="A134" s="3198" t="s">
        <v>3055</v>
      </c>
      <c r="B134" s="3198" t="s">
        <v>3056</v>
      </c>
      <c r="C134" s="3198" t="s">
        <v>3057</v>
      </c>
      <c r="D134" s="3198">
        <v>102</v>
      </c>
      <c r="E134" s="3198">
        <v>510</v>
      </c>
      <c r="F134" s="3198" t="s">
        <v>3058</v>
      </c>
      <c r="G134" s="3198" t="s">
        <v>3059</v>
      </c>
      <c r="H134" s="3198" t="s">
        <v>3218</v>
      </c>
      <c r="I134" s="3198" t="s">
        <v>2814</v>
      </c>
      <c r="J134" s="3198">
        <v>15.3</v>
      </c>
      <c r="K134" s="3198">
        <v>300</v>
      </c>
      <c r="L134" s="3198" t="s">
        <v>2814</v>
      </c>
      <c r="M134" s="3198" t="s">
        <v>3232</v>
      </c>
      <c r="N134" s="3198" t="s">
        <v>3062</v>
      </c>
      <c r="O134">
        <f t="shared" si="2"/>
        <v>1500</v>
      </c>
    </row>
    <row r="135" spans="1:15">
      <c r="A135" s="3198" t="s">
        <v>3081</v>
      </c>
      <c r="B135" s="3198" t="s">
        <v>3056</v>
      </c>
      <c r="C135" s="3198" t="s">
        <v>3057</v>
      </c>
      <c r="D135" s="3198">
        <v>100</v>
      </c>
      <c r="E135" s="3198">
        <v>500</v>
      </c>
      <c r="F135" s="3198" t="s">
        <v>3058</v>
      </c>
      <c r="G135" s="3198" t="s">
        <v>3059</v>
      </c>
      <c r="H135" s="3198" t="s">
        <v>3218</v>
      </c>
      <c r="I135" s="3198" t="s">
        <v>2814</v>
      </c>
      <c r="J135" s="3198">
        <v>15</v>
      </c>
      <c r="K135" s="3198">
        <v>300</v>
      </c>
      <c r="L135" s="3198" t="s">
        <v>2814</v>
      </c>
      <c r="M135" s="3198" t="s">
        <v>3233</v>
      </c>
      <c r="N135" s="3198" t="s">
        <v>3062</v>
      </c>
      <c r="O135">
        <f t="shared" si="2"/>
        <v>1500</v>
      </c>
    </row>
    <row r="136" spans="1:15">
      <c r="A136" s="3198" t="s">
        <v>3055</v>
      </c>
      <c r="B136" s="3198" t="s">
        <v>3056</v>
      </c>
      <c r="C136" s="3198" t="s">
        <v>3057</v>
      </c>
      <c r="D136" s="3198">
        <v>96</v>
      </c>
      <c r="E136" s="3198">
        <v>480</v>
      </c>
      <c r="F136" s="3198" t="s">
        <v>3058</v>
      </c>
      <c r="G136" s="3198" t="s">
        <v>3059</v>
      </c>
      <c r="H136" s="3198" t="s">
        <v>3218</v>
      </c>
      <c r="I136" s="3198" t="s">
        <v>2814</v>
      </c>
      <c r="J136" s="3198">
        <v>14.4</v>
      </c>
      <c r="K136" s="3198">
        <v>300</v>
      </c>
      <c r="L136" s="3198" t="s">
        <v>2814</v>
      </c>
      <c r="M136" s="3198" t="s">
        <v>3234</v>
      </c>
      <c r="N136" s="3198" t="s">
        <v>3062</v>
      </c>
      <c r="O136">
        <f t="shared" si="2"/>
        <v>1500</v>
      </c>
    </row>
    <row r="137" spans="1:15">
      <c r="A137" s="3198" t="s">
        <v>3235</v>
      </c>
      <c r="B137" s="3198" t="s">
        <v>3056</v>
      </c>
      <c r="C137" s="3198" t="s">
        <v>3057</v>
      </c>
      <c r="D137" s="3198">
        <v>16741</v>
      </c>
      <c r="E137" s="3198">
        <v>33482</v>
      </c>
      <c r="F137" s="3198" t="s">
        <v>3236</v>
      </c>
      <c r="G137" s="3198" t="s">
        <v>3059</v>
      </c>
      <c r="H137" s="3198" t="s">
        <v>3237</v>
      </c>
      <c r="I137" s="3198" t="s">
        <v>2814</v>
      </c>
      <c r="J137" s="3198">
        <v>3013.38</v>
      </c>
      <c r="K137" s="3198">
        <v>900</v>
      </c>
      <c r="L137" s="3198" t="s">
        <v>2814</v>
      </c>
      <c r="M137" s="3198" t="s">
        <v>3238</v>
      </c>
      <c r="N137" s="3198" t="s">
        <v>3062</v>
      </c>
      <c r="O137">
        <f t="shared" si="2"/>
        <v>1800</v>
      </c>
    </row>
    <row r="138" spans="1:15">
      <c r="A138" s="3198" t="s">
        <v>3239</v>
      </c>
      <c r="B138" s="3198" t="s">
        <v>3056</v>
      </c>
      <c r="C138" s="3198" t="s">
        <v>3057</v>
      </c>
      <c r="D138" s="3198">
        <v>833</v>
      </c>
      <c r="E138" s="3198">
        <v>1499.4</v>
      </c>
      <c r="F138" s="3198" t="s">
        <v>3240</v>
      </c>
      <c r="G138" s="3198" t="s">
        <v>3059</v>
      </c>
      <c r="H138" s="3198" t="s">
        <v>3241</v>
      </c>
      <c r="I138" s="3198">
        <v>60</v>
      </c>
      <c r="J138" s="3198">
        <v>74.959999999999994</v>
      </c>
      <c r="K138" s="3198">
        <v>500</v>
      </c>
      <c r="L138" s="3198">
        <v>24.95</v>
      </c>
      <c r="M138" s="3198" t="s">
        <v>3242</v>
      </c>
      <c r="N138" s="3198" t="s">
        <v>3062</v>
      </c>
      <c r="O138">
        <f t="shared" si="2"/>
        <v>900</v>
      </c>
    </row>
    <row r="139" spans="1:15">
      <c r="A139" s="3198" t="s">
        <v>3243</v>
      </c>
      <c r="B139" s="3198" t="s">
        <v>3056</v>
      </c>
      <c r="C139" s="3198" t="s">
        <v>3057</v>
      </c>
      <c r="D139" s="3198">
        <v>8130</v>
      </c>
      <c r="E139" s="3198">
        <v>12195</v>
      </c>
      <c r="F139" s="3198" t="s">
        <v>3244</v>
      </c>
      <c r="G139" s="3198" t="s">
        <v>3059</v>
      </c>
      <c r="H139" s="3198" t="s">
        <v>3241</v>
      </c>
      <c r="I139" s="3198" t="s">
        <v>2814</v>
      </c>
      <c r="J139" s="3198">
        <v>256.10000000000002</v>
      </c>
      <c r="K139" s="3198">
        <v>210</v>
      </c>
      <c r="L139" s="3198" t="s">
        <v>2814</v>
      </c>
      <c r="M139" s="3198" t="s">
        <v>3245</v>
      </c>
      <c r="N139" s="3198" t="s">
        <v>3062</v>
      </c>
      <c r="O139">
        <f t="shared" si="2"/>
        <v>315</v>
      </c>
    </row>
    <row r="140" spans="1:15">
      <c r="A140" s="3198" t="s">
        <v>3243</v>
      </c>
      <c r="B140" s="3198" t="s">
        <v>3056</v>
      </c>
      <c r="C140" s="3198" t="s">
        <v>3057</v>
      </c>
      <c r="D140" s="3198">
        <v>2325</v>
      </c>
      <c r="E140" s="3198">
        <v>3487.5</v>
      </c>
      <c r="F140" s="3198" t="s">
        <v>3244</v>
      </c>
      <c r="G140" s="3198" t="s">
        <v>3059</v>
      </c>
      <c r="H140" s="3198" t="s">
        <v>3241</v>
      </c>
      <c r="I140" s="3198" t="s">
        <v>2814</v>
      </c>
      <c r="J140" s="3198">
        <v>73.23</v>
      </c>
      <c r="K140" s="3198">
        <v>210</v>
      </c>
      <c r="L140" s="3198" t="s">
        <v>2814</v>
      </c>
      <c r="M140" s="3198" t="s">
        <v>3245</v>
      </c>
      <c r="N140" s="3198" t="s">
        <v>3062</v>
      </c>
      <c r="O140">
        <f t="shared" si="2"/>
        <v>315</v>
      </c>
    </row>
    <row r="141" spans="1:15" s="3200" customFormat="1">
      <c r="A141" s="3196" t="s">
        <v>3037</v>
      </c>
      <c r="B141" s="3196" t="s">
        <v>3056</v>
      </c>
      <c r="C141" s="3196" t="s">
        <v>3057</v>
      </c>
      <c r="D141" s="3196">
        <v>31220</v>
      </c>
      <c r="E141" s="3196">
        <v>53074</v>
      </c>
      <c r="F141" s="3196" t="s">
        <v>3174</v>
      </c>
      <c r="G141" s="3196" t="s">
        <v>3059</v>
      </c>
      <c r="H141" s="3196" t="s">
        <v>3246</v>
      </c>
      <c r="I141" s="3196" t="s">
        <v>2814</v>
      </c>
      <c r="J141" s="3196">
        <v>8429.39</v>
      </c>
      <c r="K141" s="3196">
        <v>1588.24</v>
      </c>
      <c r="L141" s="3196" t="s">
        <v>2814</v>
      </c>
      <c r="M141" s="3196" t="s">
        <v>3247</v>
      </c>
      <c r="N141" s="3196" t="s">
        <v>3062</v>
      </c>
      <c r="O141">
        <f t="shared" si="2"/>
        <v>2700</v>
      </c>
    </row>
    <row r="142" spans="1:15">
      <c r="A142" s="3198" t="s">
        <v>3248</v>
      </c>
      <c r="B142" s="3198" t="s">
        <v>3056</v>
      </c>
      <c r="C142" s="3198" t="s">
        <v>3057</v>
      </c>
      <c r="D142" s="3198">
        <v>17261</v>
      </c>
      <c r="E142" s="3198">
        <v>25891.5</v>
      </c>
      <c r="F142" s="3198" t="s">
        <v>3244</v>
      </c>
      <c r="G142" s="3198" t="s">
        <v>3059</v>
      </c>
      <c r="H142" s="3198" t="s">
        <v>3246</v>
      </c>
      <c r="I142" s="3198" t="s">
        <v>2814</v>
      </c>
      <c r="J142" s="3198">
        <v>5359.53</v>
      </c>
      <c r="K142" s="3198">
        <v>2070</v>
      </c>
      <c r="L142" s="3198" t="s">
        <v>2814</v>
      </c>
      <c r="M142" s="3198" t="s">
        <v>3247</v>
      </c>
      <c r="N142" s="3198" t="s">
        <v>3062</v>
      </c>
      <c r="O142">
        <f t="shared" si="2"/>
        <v>3105</v>
      </c>
    </row>
    <row r="143" spans="1:15">
      <c r="A143" s="3198" t="s">
        <v>3171</v>
      </c>
      <c r="B143" s="3198" t="s">
        <v>3056</v>
      </c>
      <c r="C143" s="3198" t="s">
        <v>3057</v>
      </c>
      <c r="D143" s="3198">
        <v>4254</v>
      </c>
      <c r="E143" s="3198">
        <v>21695.4</v>
      </c>
      <c r="F143" s="3198" t="s">
        <v>3249</v>
      </c>
      <c r="G143" s="3198" t="s">
        <v>3059</v>
      </c>
      <c r="H143" s="3198" t="s">
        <v>3246</v>
      </c>
      <c r="I143" s="3198" t="s">
        <v>2814</v>
      </c>
      <c r="J143" s="3198">
        <v>893.34</v>
      </c>
      <c r="K143" s="3198">
        <v>411.75</v>
      </c>
      <c r="L143" s="3198" t="s">
        <v>2814</v>
      </c>
      <c r="M143" s="3198" t="s">
        <v>3250</v>
      </c>
      <c r="N143" s="3198" t="s">
        <v>3062</v>
      </c>
      <c r="O143">
        <f t="shared" si="2"/>
        <v>2100</v>
      </c>
    </row>
    <row r="144" spans="1:15" s="3209" customFormat="1">
      <c r="A144" s="3221" t="s">
        <v>3336</v>
      </c>
      <c r="B144" s="3208" t="s">
        <v>3056</v>
      </c>
      <c r="C144" s="3208" t="s">
        <v>3057</v>
      </c>
      <c r="D144" s="3208">
        <v>16584</v>
      </c>
      <c r="E144" s="3208">
        <v>28192.799999999999</v>
      </c>
      <c r="F144" s="3208" t="s">
        <v>3174</v>
      </c>
      <c r="G144" s="3208" t="s">
        <v>3059</v>
      </c>
      <c r="H144" s="3208" t="s">
        <v>3246</v>
      </c>
      <c r="I144" s="3208" t="s">
        <v>2814</v>
      </c>
      <c r="J144" s="3208">
        <v>4975.1899999999996</v>
      </c>
      <c r="K144" s="3208">
        <v>1764.71</v>
      </c>
      <c r="L144" s="3208" t="s">
        <v>2814</v>
      </c>
      <c r="M144" s="3208" t="s">
        <v>3247</v>
      </c>
      <c r="N144" s="3208" t="s">
        <v>3062</v>
      </c>
      <c r="O144" s="3209">
        <f t="shared" si="2"/>
        <v>3000</v>
      </c>
    </row>
    <row r="145" spans="1:15" s="3200" customFormat="1">
      <c r="A145" s="3196" t="s">
        <v>3039</v>
      </c>
      <c r="B145" s="3196" t="s">
        <v>3056</v>
      </c>
      <c r="C145" s="3196" t="s">
        <v>3057</v>
      </c>
      <c r="D145" s="3196">
        <v>54632</v>
      </c>
      <c r="E145" s="3196">
        <v>92874.4</v>
      </c>
      <c r="F145" s="3196" t="s">
        <v>3174</v>
      </c>
      <c r="G145" s="3196" t="s">
        <v>3059</v>
      </c>
      <c r="H145" s="3196" t="s">
        <v>3246</v>
      </c>
      <c r="I145" s="3196" t="s">
        <v>2814</v>
      </c>
      <c r="J145" s="3196">
        <v>14750.63</v>
      </c>
      <c r="K145" s="3196">
        <v>1588.24</v>
      </c>
      <c r="L145" s="3196" t="s">
        <v>2814</v>
      </c>
      <c r="M145" s="3196" t="s">
        <v>3247</v>
      </c>
      <c r="N145" s="3196" t="s">
        <v>3062</v>
      </c>
      <c r="O145">
        <f t="shared" si="2"/>
        <v>2700</v>
      </c>
    </row>
    <row r="146" spans="1:15">
      <c r="A146" s="3198" t="s">
        <v>3252</v>
      </c>
      <c r="B146" s="3198" t="s">
        <v>3056</v>
      </c>
      <c r="C146" s="3198" t="s">
        <v>3057</v>
      </c>
      <c r="D146" s="3198">
        <v>28672</v>
      </c>
      <c r="E146" s="3198">
        <v>17203.2</v>
      </c>
      <c r="F146" s="3198" t="s">
        <v>3253</v>
      </c>
      <c r="G146" s="3198" t="s">
        <v>3059</v>
      </c>
      <c r="H146" s="3198" t="s">
        <v>3254</v>
      </c>
      <c r="I146" s="3198" t="s">
        <v>2814</v>
      </c>
      <c r="J146" s="3198">
        <v>1720.31</v>
      </c>
      <c r="K146" s="3198">
        <v>1000</v>
      </c>
      <c r="L146" s="3198" t="s">
        <v>2814</v>
      </c>
      <c r="M146" s="3198" t="s">
        <v>3255</v>
      </c>
      <c r="N146" s="3198" t="s">
        <v>3062</v>
      </c>
      <c r="O146">
        <f t="shared" si="2"/>
        <v>600</v>
      </c>
    </row>
    <row r="147" spans="1:15">
      <c r="A147" s="3198" t="s">
        <v>3256</v>
      </c>
      <c r="B147" s="3198" t="s">
        <v>3056</v>
      </c>
      <c r="C147" s="3198" t="s">
        <v>3057</v>
      </c>
      <c r="D147" s="3198">
        <v>55506</v>
      </c>
      <c r="E147" s="3198">
        <v>33303.599999999999</v>
      </c>
      <c r="F147" s="3198" t="s">
        <v>3253</v>
      </c>
      <c r="G147" s="3198" t="s">
        <v>3059</v>
      </c>
      <c r="H147" s="3198" t="s">
        <v>3254</v>
      </c>
      <c r="I147" s="3198" t="s">
        <v>2814</v>
      </c>
      <c r="J147" s="3198">
        <v>3330.36</v>
      </c>
      <c r="K147" s="3198">
        <v>1000</v>
      </c>
      <c r="L147" s="3198" t="s">
        <v>2814</v>
      </c>
      <c r="M147" s="3198" t="s">
        <v>3255</v>
      </c>
      <c r="N147" s="3198" t="s">
        <v>3062</v>
      </c>
      <c r="O147">
        <f t="shared" si="2"/>
        <v>600</v>
      </c>
    </row>
    <row r="148" spans="1:15">
      <c r="A148" s="3198" t="s">
        <v>3257</v>
      </c>
      <c r="B148" s="3198" t="s">
        <v>3056</v>
      </c>
      <c r="C148" s="3198" t="s">
        <v>3057</v>
      </c>
      <c r="D148" s="3198">
        <v>66954</v>
      </c>
      <c r="E148" s="3198">
        <v>40172.400000000001</v>
      </c>
      <c r="F148" s="3198" t="s">
        <v>3253</v>
      </c>
      <c r="G148" s="3198" t="s">
        <v>3059</v>
      </c>
      <c r="H148" s="3198" t="s">
        <v>3254</v>
      </c>
      <c r="I148" s="3198" t="s">
        <v>2814</v>
      </c>
      <c r="J148" s="3198">
        <v>4017.23</v>
      </c>
      <c r="K148" s="3198">
        <v>1000</v>
      </c>
      <c r="L148" s="3198" t="s">
        <v>2814</v>
      </c>
      <c r="M148" s="3198" t="s">
        <v>3255</v>
      </c>
      <c r="N148" s="3198" t="s">
        <v>3062</v>
      </c>
      <c r="O148">
        <f t="shared" si="2"/>
        <v>600</v>
      </c>
    </row>
    <row r="149" spans="1:15">
      <c r="A149" s="3198" t="s">
        <v>3258</v>
      </c>
      <c r="B149" s="3198" t="s">
        <v>3056</v>
      </c>
      <c r="C149" s="3198" t="s">
        <v>3057</v>
      </c>
      <c r="D149" s="3198">
        <v>67424</v>
      </c>
      <c r="E149" s="3198">
        <v>40454.400000000001</v>
      </c>
      <c r="F149" s="3198" t="s">
        <v>3253</v>
      </c>
      <c r="G149" s="3198" t="s">
        <v>3059</v>
      </c>
      <c r="H149" s="3198" t="s">
        <v>3254</v>
      </c>
      <c r="I149" s="3198" t="s">
        <v>2814</v>
      </c>
      <c r="J149" s="3198">
        <v>4045.44</v>
      </c>
      <c r="K149" s="3198">
        <v>1000</v>
      </c>
      <c r="L149" s="3198" t="s">
        <v>2814</v>
      </c>
      <c r="M149" s="3198" t="s">
        <v>3255</v>
      </c>
      <c r="N149" s="3198" t="s">
        <v>3062</v>
      </c>
      <c r="O149">
        <f t="shared" si="2"/>
        <v>600</v>
      </c>
    </row>
    <row r="150" spans="1:15">
      <c r="A150" s="3198" t="s">
        <v>3259</v>
      </c>
      <c r="B150" s="3198" t="s">
        <v>3056</v>
      </c>
      <c r="C150" s="3198" t="s">
        <v>3057</v>
      </c>
      <c r="D150" s="3198">
        <v>63963</v>
      </c>
      <c r="E150" s="3198">
        <v>38377.800000000003</v>
      </c>
      <c r="F150" s="3198" t="s">
        <v>3253</v>
      </c>
      <c r="G150" s="3198" t="s">
        <v>3059</v>
      </c>
      <c r="H150" s="3198" t="s">
        <v>3254</v>
      </c>
      <c r="I150" s="3198" t="s">
        <v>2814</v>
      </c>
      <c r="J150" s="3198">
        <v>3837.78</v>
      </c>
      <c r="K150" s="3198">
        <v>1000</v>
      </c>
      <c r="L150" s="3198" t="s">
        <v>2814</v>
      </c>
      <c r="M150" s="3198" t="s">
        <v>3255</v>
      </c>
      <c r="N150" s="3198" t="s">
        <v>3062</v>
      </c>
      <c r="O150">
        <f t="shared" si="2"/>
        <v>600</v>
      </c>
    </row>
    <row r="151" spans="1:15">
      <c r="A151" s="3198" t="s">
        <v>3260</v>
      </c>
      <c r="B151" s="3198" t="s">
        <v>3056</v>
      </c>
      <c r="C151" s="3198" t="s">
        <v>3057</v>
      </c>
      <c r="D151" s="3198">
        <v>69511</v>
      </c>
      <c r="E151" s="3198">
        <v>41706.6</v>
      </c>
      <c r="F151" s="3198" t="s">
        <v>3253</v>
      </c>
      <c r="G151" s="3198" t="s">
        <v>3059</v>
      </c>
      <c r="H151" s="3198" t="s">
        <v>3254</v>
      </c>
      <c r="I151" s="3198" t="s">
        <v>2814</v>
      </c>
      <c r="J151" s="3198">
        <v>4170.6499999999996</v>
      </c>
      <c r="K151" s="3198">
        <v>1000</v>
      </c>
      <c r="L151" s="3198" t="s">
        <v>2814</v>
      </c>
      <c r="M151" s="3198" t="s">
        <v>3255</v>
      </c>
      <c r="N151" s="3198" t="s">
        <v>3062</v>
      </c>
      <c r="O151">
        <f t="shared" si="2"/>
        <v>600</v>
      </c>
    </row>
    <row r="152" spans="1:15">
      <c r="A152" s="3199" t="s">
        <v>3261</v>
      </c>
      <c r="B152" s="3199" t="s">
        <v>3056</v>
      </c>
      <c r="C152" s="3199" t="s">
        <v>3057</v>
      </c>
      <c r="D152" s="3199">
        <v>66835</v>
      </c>
      <c r="E152" s="3199">
        <v>40101</v>
      </c>
      <c r="F152" s="3199" t="s">
        <v>3253</v>
      </c>
      <c r="G152" s="3199" t="s">
        <v>3059</v>
      </c>
      <c r="H152" s="3199" t="s">
        <v>3254</v>
      </c>
      <c r="I152" s="3199" t="s">
        <v>2814</v>
      </c>
      <c r="J152" s="3199">
        <v>4010.09</v>
      </c>
      <c r="K152" s="3199">
        <v>1000</v>
      </c>
      <c r="L152" s="3199" t="s">
        <v>2814</v>
      </c>
      <c r="M152" s="3199" t="s">
        <v>3255</v>
      </c>
      <c r="N152" s="3199" t="s">
        <v>3062</v>
      </c>
      <c r="O152">
        <f t="shared" si="2"/>
        <v>600</v>
      </c>
    </row>
    <row r="153" spans="1:15">
      <c r="A153" s="3199" t="s">
        <v>3262</v>
      </c>
      <c r="B153" s="3199" t="s">
        <v>3056</v>
      </c>
      <c r="C153" s="3199" t="s">
        <v>3057</v>
      </c>
      <c r="D153" s="3199">
        <v>38542</v>
      </c>
      <c r="E153" s="3199">
        <v>23125.200000000001</v>
      </c>
      <c r="F153" s="3199" t="s">
        <v>3253</v>
      </c>
      <c r="G153" s="3199" t="s">
        <v>3059</v>
      </c>
      <c r="H153" s="3199" t="s">
        <v>3254</v>
      </c>
      <c r="I153" s="3199" t="s">
        <v>2814</v>
      </c>
      <c r="J153" s="3199">
        <v>2312.5100000000002</v>
      </c>
      <c r="K153" s="3199">
        <v>1000</v>
      </c>
      <c r="L153" s="3199" t="s">
        <v>2814</v>
      </c>
      <c r="M153" s="3199" t="s">
        <v>3255</v>
      </c>
      <c r="N153" s="3199" t="s">
        <v>3062</v>
      </c>
      <c r="O153">
        <f t="shared" si="2"/>
        <v>600</v>
      </c>
    </row>
    <row r="154" spans="1:15">
      <c r="A154" s="3199" t="s">
        <v>3263</v>
      </c>
      <c r="B154" s="3199" t="s">
        <v>3056</v>
      </c>
      <c r="C154" s="3199" t="s">
        <v>3057</v>
      </c>
      <c r="D154" s="3199">
        <v>58508</v>
      </c>
      <c r="E154" s="3199">
        <v>35104.800000000003</v>
      </c>
      <c r="F154" s="3199" t="s">
        <v>3253</v>
      </c>
      <c r="G154" s="3199" t="s">
        <v>3059</v>
      </c>
      <c r="H154" s="3199" t="s">
        <v>3254</v>
      </c>
      <c r="I154" s="3199" t="s">
        <v>2814</v>
      </c>
      <c r="J154" s="3199">
        <v>3510.48</v>
      </c>
      <c r="K154" s="3199">
        <v>1000</v>
      </c>
      <c r="L154" s="3199" t="s">
        <v>2814</v>
      </c>
      <c r="M154" s="3199" t="s">
        <v>3255</v>
      </c>
      <c r="N154" s="3199" t="s">
        <v>3062</v>
      </c>
      <c r="O154">
        <f t="shared" si="2"/>
        <v>600</v>
      </c>
    </row>
    <row r="155" spans="1:15">
      <c r="A155" s="3199" t="s">
        <v>3264</v>
      </c>
      <c r="B155" s="3199" t="s">
        <v>3056</v>
      </c>
      <c r="C155" s="3199" t="s">
        <v>3057</v>
      </c>
      <c r="D155" s="3199">
        <v>34503</v>
      </c>
      <c r="E155" s="3199">
        <v>20701.8</v>
      </c>
      <c r="F155" s="3199" t="s">
        <v>3253</v>
      </c>
      <c r="G155" s="3199" t="s">
        <v>3059</v>
      </c>
      <c r="H155" s="3199" t="s">
        <v>3254</v>
      </c>
      <c r="I155" s="3199" t="s">
        <v>2814</v>
      </c>
      <c r="J155" s="3199">
        <v>2070.17</v>
      </c>
      <c r="K155" s="3199">
        <v>1000</v>
      </c>
      <c r="L155" s="3199" t="s">
        <v>2814</v>
      </c>
      <c r="M155" s="3199" t="s">
        <v>3255</v>
      </c>
      <c r="N155" s="3199" t="s">
        <v>3062</v>
      </c>
      <c r="O155">
        <f t="shared" si="2"/>
        <v>600</v>
      </c>
    </row>
    <row r="156" spans="1:15">
      <c r="A156" s="3199" t="s">
        <v>3265</v>
      </c>
      <c r="B156" s="3199" t="s">
        <v>3056</v>
      </c>
      <c r="C156" s="3199" t="s">
        <v>3057</v>
      </c>
      <c r="D156" s="3199">
        <v>64978</v>
      </c>
      <c r="E156" s="3199">
        <v>38986.800000000003</v>
      </c>
      <c r="F156" s="3199" t="s">
        <v>3253</v>
      </c>
      <c r="G156" s="3199" t="s">
        <v>3059</v>
      </c>
      <c r="H156" s="3199" t="s">
        <v>3254</v>
      </c>
      <c r="I156" s="3199" t="s">
        <v>2814</v>
      </c>
      <c r="J156" s="3199">
        <v>3898.67</v>
      </c>
      <c r="K156" s="3199">
        <v>1000</v>
      </c>
      <c r="L156" s="3199" t="s">
        <v>2814</v>
      </c>
      <c r="M156" s="3199" t="s">
        <v>3255</v>
      </c>
      <c r="N156" s="3199" t="s">
        <v>3062</v>
      </c>
      <c r="O156">
        <f t="shared" si="2"/>
        <v>600</v>
      </c>
    </row>
    <row r="157" spans="1:15">
      <c r="A157" s="3199" t="s">
        <v>3266</v>
      </c>
      <c r="B157" s="3199" t="s">
        <v>3056</v>
      </c>
      <c r="C157" s="3199" t="s">
        <v>3057</v>
      </c>
      <c r="D157" s="3199">
        <v>3333</v>
      </c>
      <c r="E157" s="3199">
        <v>333.3</v>
      </c>
      <c r="F157" s="3199" t="s">
        <v>3184</v>
      </c>
      <c r="G157" s="3199" t="s">
        <v>3059</v>
      </c>
      <c r="H157" s="3199" t="s">
        <v>3267</v>
      </c>
      <c r="I157" s="3199">
        <v>35</v>
      </c>
      <c r="J157" s="3199">
        <v>174.97</v>
      </c>
      <c r="K157" s="3199">
        <v>5249.92</v>
      </c>
      <c r="L157" s="3199">
        <v>399.94</v>
      </c>
      <c r="M157" s="3199" t="s">
        <v>3268</v>
      </c>
      <c r="N157" s="3199" t="s">
        <v>3062</v>
      </c>
      <c r="O157">
        <f t="shared" si="2"/>
        <v>525</v>
      </c>
    </row>
    <row r="158" spans="1:15">
      <c r="A158" s="3199" t="s">
        <v>3269</v>
      </c>
      <c r="B158" s="3199" t="s">
        <v>3056</v>
      </c>
      <c r="C158" s="3199" t="s">
        <v>3057</v>
      </c>
      <c r="D158" s="3199">
        <v>20018</v>
      </c>
      <c r="E158" s="3199">
        <v>34030.6</v>
      </c>
      <c r="F158" s="3199" t="s">
        <v>3174</v>
      </c>
      <c r="G158" s="3199" t="s">
        <v>3059</v>
      </c>
      <c r="H158" s="3199" t="s">
        <v>3270</v>
      </c>
      <c r="I158" s="3199" t="s">
        <v>2814</v>
      </c>
      <c r="J158" s="3199">
        <v>3753.38</v>
      </c>
      <c r="K158" s="3199">
        <v>1102.94</v>
      </c>
      <c r="L158" s="3199" t="s">
        <v>2814</v>
      </c>
      <c r="M158" s="3199" t="s">
        <v>3255</v>
      </c>
      <c r="N158" s="3199" t="s">
        <v>3062</v>
      </c>
      <c r="O158">
        <f t="shared" si="2"/>
        <v>1875</v>
      </c>
    </row>
    <row r="159" spans="1:15">
      <c r="A159" s="3199" t="s">
        <v>3248</v>
      </c>
      <c r="B159" s="3199" t="s">
        <v>3056</v>
      </c>
      <c r="C159" s="3199" t="s">
        <v>3057</v>
      </c>
      <c r="D159" s="3199">
        <v>2336</v>
      </c>
      <c r="E159" s="3199">
        <v>9811.2000000000007</v>
      </c>
      <c r="F159" s="3199" t="s">
        <v>3271</v>
      </c>
      <c r="G159" s="3199" t="s">
        <v>3059</v>
      </c>
      <c r="H159" s="3199" t="s">
        <v>3272</v>
      </c>
      <c r="I159" s="3199" t="s">
        <v>2814</v>
      </c>
      <c r="J159" s="3199">
        <v>490.56</v>
      </c>
      <c r="K159" s="3199">
        <v>500</v>
      </c>
      <c r="L159" s="3199" t="s">
        <v>2814</v>
      </c>
      <c r="M159" s="3199" t="s">
        <v>3273</v>
      </c>
      <c r="N159" s="3199" t="s">
        <v>3062</v>
      </c>
      <c r="O159">
        <f t="shared" si="2"/>
        <v>2100</v>
      </c>
    </row>
    <row r="160" spans="1:15">
      <c r="A160" s="3199" t="s">
        <v>3274</v>
      </c>
      <c r="B160" s="3199" t="s">
        <v>3056</v>
      </c>
      <c r="C160" s="3199" t="s">
        <v>3057</v>
      </c>
      <c r="D160" s="3199">
        <v>2337</v>
      </c>
      <c r="E160" s="3199">
        <v>1168.5</v>
      </c>
      <c r="F160" s="3199" t="s">
        <v>3275</v>
      </c>
      <c r="G160" s="3199" t="s">
        <v>3059</v>
      </c>
      <c r="H160" s="3199" t="s">
        <v>3276</v>
      </c>
      <c r="I160" s="3199">
        <v>58</v>
      </c>
      <c r="J160" s="3199">
        <v>203.31</v>
      </c>
      <c r="K160" s="3199">
        <v>1740</v>
      </c>
      <c r="L160" s="3199">
        <v>250.55</v>
      </c>
      <c r="M160" s="3199" t="s">
        <v>3277</v>
      </c>
      <c r="N160" s="3199" t="s">
        <v>3062</v>
      </c>
      <c r="O160">
        <f t="shared" si="2"/>
        <v>870</v>
      </c>
    </row>
    <row r="161" spans="1:15">
      <c r="A161" s="3199" t="s">
        <v>3278</v>
      </c>
      <c r="B161" s="3199" t="s">
        <v>3056</v>
      </c>
      <c r="C161" s="3199" t="s">
        <v>3057</v>
      </c>
      <c r="D161" s="3199">
        <v>3281</v>
      </c>
      <c r="E161" s="3199">
        <v>4921.5</v>
      </c>
      <c r="F161" s="3199" t="s">
        <v>3279</v>
      </c>
      <c r="G161" s="3199" t="s">
        <v>3059</v>
      </c>
      <c r="H161" s="3199" t="s">
        <v>3280</v>
      </c>
      <c r="I161" s="3199">
        <v>516.75</v>
      </c>
      <c r="J161" s="3199">
        <v>516.75</v>
      </c>
      <c r="K161" s="3199">
        <v>1050</v>
      </c>
      <c r="L161" s="3199">
        <v>0</v>
      </c>
      <c r="M161" s="3199" t="s">
        <v>3281</v>
      </c>
      <c r="N161" s="3199" t="s">
        <v>3062</v>
      </c>
      <c r="O161">
        <f t="shared" si="2"/>
        <v>1575</v>
      </c>
    </row>
    <row r="162" spans="1:15">
      <c r="A162" s="3199" t="s">
        <v>3282</v>
      </c>
      <c r="B162" s="3199" t="s">
        <v>3056</v>
      </c>
      <c r="C162" s="3199" t="s">
        <v>3057</v>
      </c>
      <c r="D162" s="3199">
        <v>66650</v>
      </c>
      <c r="E162" s="3199">
        <v>99975</v>
      </c>
      <c r="F162" s="3199" t="s">
        <v>3244</v>
      </c>
      <c r="G162" s="3199" t="s">
        <v>3059</v>
      </c>
      <c r="H162" s="3199" t="s">
        <v>3283</v>
      </c>
      <c r="I162" s="3199" t="s">
        <v>2814</v>
      </c>
      <c r="J162" s="3199">
        <v>17995.5</v>
      </c>
      <c r="K162" s="3199">
        <v>1800</v>
      </c>
      <c r="L162" s="3199" t="s">
        <v>2814</v>
      </c>
      <c r="M162" s="3199" t="s">
        <v>3284</v>
      </c>
      <c r="N162" s="3199" t="s">
        <v>3062</v>
      </c>
      <c r="O162">
        <f t="shared" si="2"/>
        <v>2700</v>
      </c>
    </row>
    <row r="163" spans="1:15">
      <c r="A163" s="3199" t="s">
        <v>3282</v>
      </c>
      <c r="B163" s="3199" t="s">
        <v>3056</v>
      </c>
      <c r="C163" s="3199" t="s">
        <v>3057</v>
      </c>
      <c r="D163" s="3199">
        <v>61338</v>
      </c>
      <c r="E163" s="3199">
        <v>92007</v>
      </c>
      <c r="F163" s="3199" t="s">
        <v>3244</v>
      </c>
      <c r="G163" s="3199" t="s">
        <v>3059</v>
      </c>
      <c r="H163" s="3199" t="s">
        <v>3283</v>
      </c>
      <c r="I163" s="3199" t="s">
        <v>2814</v>
      </c>
      <c r="J163" s="3199">
        <v>16561.25</v>
      </c>
      <c r="K163" s="3199">
        <v>1800</v>
      </c>
      <c r="L163" s="3199" t="s">
        <v>2814</v>
      </c>
      <c r="M163" s="3199" t="s">
        <v>3284</v>
      </c>
      <c r="N163" s="3199" t="s">
        <v>3062</v>
      </c>
      <c r="O163">
        <f t="shared" si="2"/>
        <v>2700</v>
      </c>
    </row>
    <row r="164" spans="1:15">
      <c r="A164" s="3199" t="s">
        <v>3282</v>
      </c>
      <c r="B164" s="3199" t="s">
        <v>3056</v>
      </c>
      <c r="C164" s="3199" t="s">
        <v>3057</v>
      </c>
      <c r="D164" s="3199">
        <v>69642</v>
      </c>
      <c r="E164" s="3199">
        <v>104463</v>
      </c>
      <c r="F164" s="3199" t="s">
        <v>3244</v>
      </c>
      <c r="G164" s="3199" t="s">
        <v>3059</v>
      </c>
      <c r="H164" s="3199" t="s">
        <v>3283</v>
      </c>
      <c r="I164" s="3199" t="s">
        <v>2814</v>
      </c>
      <c r="J164" s="3199">
        <v>18803.34</v>
      </c>
      <c r="K164" s="3199">
        <v>1800</v>
      </c>
      <c r="L164" s="3199" t="s">
        <v>2814</v>
      </c>
      <c r="M164" s="3199" t="s">
        <v>3284</v>
      </c>
      <c r="N164" s="3199" t="s">
        <v>3062</v>
      </c>
      <c r="O164">
        <f t="shared" si="2"/>
        <v>2700</v>
      </c>
    </row>
    <row r="165" spans="1:15">
      <c r="A165" s="3199" t="s">
        <v>3282</v>
      </c>
      <c r="B165" s="3199" t="s">
        <v>3056</v>
      </c>
      <c r="C165" s="3199" t="s">
        <v>3057</v>
      </c>
      <c r="D165" s="3199">
        <v>69894</v>
      </c>
      <c r="E165" s="3199">
        <v>104841</v>
      </c>
      <c r="F165" s="3199" t="s">
        <v>3244</v>
      </c>
      <c r="G165" s="3199" t="s">
        <v>3059</v>
      </c>
      <c r="H165" s="3199" t="s">
        <v>3283</v>
      </c>
      <c r="I165" s="3199" t="s">
        <v>2814</v>
      </c>
      <c r="J165" s="3199">
        <v>18871.38</v>
      </c>
      <c r="K165" s="3199">
        <v>1800</v>
      </c>
      <c r="L165" s="3199" t="s">
        <v>2814</v>
      </c>
      <c r="M165" s="3199" t="s">
        <v>3284</v>
      </c>
      <c r="N165" s="3199" t="s">
        <v>3062</v>
      </c>
      <c r="O165">
        <f t="shared" si="2"/>
        <v>2700</v>
      </c>
    </row>
    <row r="166" spans="1:15">
      <c r="A166" s="3199" t="s">
        <v>3282</v>
      </c>
      <c r="B166" s="3199" t="s">
        <v>3056</v>
      </c>
      <c r="C166" s="3199" t="s">
        <v>3057</v>
      </c>
      <c r="D166" s="3199">
        <v>69165</v>
      </c>
      <c r="E166" s="3199">
        <v>103747.5</v>
      </c>
      <c r="F166" s="3199" t="s">
        <v>3244</v>
      </c>
      <c r="G166" s="3199" t="s">
        <v>3059</v>
      </c>
      <c r="H166" s="3199" t="s">
        <v>3283</v>
      </c>
      <c r="I166" s="3199" t="s">
        <v>2814</v>
      </c>
      <c r="J166" s="3199">
        <v>18674.54</v>
      </c>
      <c r="K166" s="3199">
        <v>1800</v>
      </c>
      <c r="L166" s="3199" t="s">
        <v>2814</v>
      </c>
      <c r="M166" s="3199" t="s">
        <v>3284</v>
      </c>
      <c r="N166" s="3199" t="s">
        <v>3062</v>
      </c>
      <c r="O166">
        <f t="shared" si="2"/>
        <v>2700</v>
      </c>
    </row>
    <row r="167" spans="1:15">
      <c r="A167" s="3199" t="s">
        <v>3285</v>
      </c>
      <c r="B167" s="3199" t="s">
        <v>3056</v>
      </c>
      <c r="C167" s="3199" t="s">
        <v>3057</v>
      </c>
      <c r="D167" s="3199">
        <v>53541</v>
      </c>
      <c r="E167" s="3199">
        <v>80311.5</v>
      </c>
      <c r="F167" s="3199" t="s">
        <v>3244</v>
      </c>
      <c r="G167" s="3199" t="s">
        <v>3059</v>
      </c>
      <c r="H167" s="3199" t="s">
        <v>3286</v>
      </c>
      <c r="I167" s="3199" t="s">
        <v>2814</v>
      </c>
      <c r="J167" s="3199">
        <v>14456.06</v>
      </c>
      <c r="K167" s="3199">
        <v>1800</v>
      </c>
      <c r="L167" s="3199" t="s">
        <v>2814</v>
      </c>
      <c r="M167" s="3199" t="s">
        <v>3287</v>
      </c>
      <c r="N167" s="3199" t="s">
        <v>3062</v>
      </c>
      <c r="O167">
        <f t="shared" si="2"/>
        <v>2700</v>
      </c>
    </row>
    <row r="168" spans="1:15">
      <c r="A168" s="3199" t="s">
        <v>3288</v>
      </c>
      <c r="B168" s="3199" t="s">
        <v>3056</v>
      </c>
      <c r="C168" s="3199" t="s">
        <v>3057</v>
      </c>
      <c r="D168" s="3199">
        <v>25040</v>
      </c>
      <c r="E168" s="3199">
        <v>37560</v>
      </c>
      <c r="F168" s="3199" t="s">
        <v>3244</v>
      </c>
      <c r="G168" s="3199" t="s">
        <v>3059</v>
      </c>
      <c r="H168" s="3199" t="s">
        <v>3286</v>
      </c>
      <c r="I168" s="3199" t="s">
        <v>2814</v>
      </c>
      <c r="J168" s="3199">
        <v>6760.8</v>
      </c>
      <c r="K168" s="3199">
        <v>1800</v>
      </c>
      <c r="L168" s="3199" t="s">
        <v>2814</v>
      </c>
      <c r="M168" s="3199" t="s">
        <v>3287</v>
      </c>
      <c r="N168" s="3199" t="s">
        <v>3062</v>
      </c>
      <c r="O168">
        <f t="shared" si="2"/>
        <v>2700</v>
      </c>
    </row>
    <row r="169" spans="1:15">
      <c r="A169" s="3199" t="s">
        <v>3289</v>
      </c>
      <c r="B169" s="3199" t="s">
        <v>3056</v>
      </c>
      <c r="C169" s="3199" t="s">
        <v>3057</v>
      </c>
      <c r="D169" s="3199">
        <v>46935</v>
      </c>
      <c r="E169" s="3199">
        <v>70402.5</v>
      </c>
      <c r="F169" s="3199" t="s">
        <v>3244</v>
      </c>
      <c r="G169" s="3199" t="s">
        <v>3059</v>
      </c>
      <c r="H169" s="3199" t="s">
        <v>3286</v>
      </c>
      <c r="I169" s="3199" t="s">
        <v>2814</v>
      </c>
      <c r="J169" s="3199">
        <v>12672.45</v>
      </c>
      <c r="K169" s="3199">
        <v>1800</v>
      </c>
      <c r="L169" s="3199" t="s">
        <v>2814</v>
      </c>
      <c r="M169" s="3199" t="s">
        <v>3287</v>
      </c>
      <c r="N169" s="3199" t="s">
        <v>3062</v>
      </c>
      <c r="O169">
        <f t="shared" si="2"/>
        <v>2700</v>
      </c>
    </row>
    <row r="170" spans="1:15">
      <c r="A170" s="3199" t="s">
        <v>3289</v>
      </c>
      <c r="B170" s="3199" t="s">
        <v>3056</v>
      </c>
      <c r="C170" s="3199" t="s">
        <v>3057</v>
      </c>
      <c r="D170" s="3199">
        <v>47252</v>
      </c>
      <c r="E170" s="3199">
        <v>70878</v>
      </c>
      <c r="F170" s="3199" t="s">
        <v>3244</v>
      </c>
      <c r="G170" s="3199" t="s">
        <v>3059</v>
      </c>
      <c r="H170" s="3199" t="s">
        <v>3286</v>
      </c>
      <c r="I170" s="3199" t="s">
        <v>2814</v>
      </c>
      <c r="J170" s="3199">
        <v>12758.04</v>
      </c>
      <c r="K170" s="3199">
        <v>1800</v>
      </c>
      <c r="L170" s="3199" t="s">
        <v>2814</v>
      </c>
      <c r="M170" s="3199" t="s">
        <v>3287</v>
      </c>
      <c r="N170" s="3199" t="s">
        <v>3062</v>
      </c>
      <c r="O170">
        <f t="shared" si="2"/>
        <v>2700</v>
      </c>
    </row>
    <row r="171" spans="1:15">
      <c r="A171" s="3199" t="s">
        <v>3166</v>
      </c>
      <c r="B171" s="3199" t="s">
        <v>3056</v>
      </c>
      <c r="C171" s="3199" t="s">
        <v>3057</v>
      </c>
      <c r="D171" s="3199">
        <v>68251</v>
      </c>
      <c r="E171" s="3199">
        <v>102376.5</v>
      </c>
      <c r="F171" s="3199" t="s">
        <v>3244</v>
      </c>
      <c r="G171" s="3199" t="s">
        <v>3059</v>
      </c>
      <c r="H171" s="3199" t="s">
        <v>3286</v>
      </c>
      <c r="I171" s="3199" t="s">
        <v>2814</v>
      </c>
      <c r="J171" s="3199">
        <v>18427.77</v>
      </c>
      <c r="K171" s="3199">
        <v>1800</v>
      </c>
      <c r="L171" s="3199" t="s">
        <v>2814</v>
      </c>
      <c r="M171" s="3199" t="s">
        <v>3287</v>
      </c>
      <c r="N171" s="3199" t="s">
        <v>3062</v>
      </c>
      <c r="O171">
        <f t="shared" si="2"/>
        <v>2700</v>
      </c>
    </row>
    <row r="172" spans="1:15">
      <c r="A172" s="3199" t="s">
        <v>3166</v>
      </c>
      <c r="B172" s="3199" t="s">
        <v>3056</v>
      </c>
      <c r="C172" s="3199" t="s">
        <v>3057</v>
      </c>
      <c r="D172" s="3199">
        <v>66666</v>
      </c>
      <c r="E172" s="3199">
        <v>99999</v>
      </c>
      <c r="F172" s="3199" t="s">
        <v>3244</v>
      </c>
      <c r="G172" s="3199" t="s">
        <v>3059</v>
      </c>
      <c r="H172" s="3199" t="s">
        <v>3286</v>
      </c>
      <c r="I172" s="3199" t="s">
        <v>2814</v>
      </c>
      <c r="J172" s="3199">
        <v>17999.810000000001</v>
      </c>
      <c r="K172" s="3199">
        <v>1800</v>
      </c>
      <c r="L172" s="3199" t="s">
        <v>2814</v>
      </c>
      <c r="M172" s="3199" t="s">
        <v>3287</v>
      </c>
      <c r="N172" s="3199" t="s">
        <v>3062</v>
      </c>
      <c r="O172">
        <f t="shared" si="2"/>
        <v>2700</v>
      </c>
    </row>
    <row r="173" spans="1:15">
      <c r="A173" s="3199" t="s">
        <v>3166</v>
      </c>
      <c r="B173" s="3199" t="s">
        <v>3056</v>
      </c>
      <c r="C173" s="3199" t="s">
        <v>3057</v>
      </c>
      <c r="D173" s="3199">
        <v>68606</v>
      </c>
      <c r="E173" s="3199">
        <v>102909</v>
      </c>
      <c r="F173" s="3199" t="s">
        <v>3244</v>
      </c>
      <c r="G173" s="3199" t="s">
        <v>3059</v>
      </c>
      <c r="H173" s="3199" t="s">
        <v>3286</v>
      </c>
      <c r="I173" s="3199" t="s">
        <v>2814</v>
      </c>
      <c r="J173" s="3199">
        <v>18523.61</v>
      </c>
      <c r="K173" s="3199">
        <v>1800</v>
      </c>
      <c r="L173" s="3199" t="s">
        <v>2814</v>
      </c>
      <c r="M173" s="3199" t="s">
        <v>3287</v>
      </c>
      <c r="N173" s="3199" t="s">
        <v>3062</v>
      </c>
      <c r="O173">
        <f t="shared" si="2"/>
        <v>2700</v>
      </c>
    </row>
    <row r="174" spans="1:15">
      <c r="A174" s="3199" t="s">
        <v>3290</v>
      </c>
      <c r="B174" s="3199" t="s">
        <v>3056</v>
      </c>
      <c r="C174" s="3199" t="s">
        <v>3057</v>
      </c>
      <c r="D174" s="3199">
        <v>25446.2</v>
      </c>
      <c r="E174" s="3199">
        <v>38169.300000000003</v>
      </c>
      <c r="F174" s="3199" t="s">
        <v>3244</v>
      </c>
      <c r="G174" s="3199" t="s">
        <v>3059</v>
      </c>
      <c r="H174" s="3199" t="s">
        <v>3286</v>
      </c>
      <c r="I174" s="3199" t="s">
        <v>2814</v>
      </c>
      <c r="J174" s="3199">
        <v>6107.09</v>
      </c>
      <c r="K174" s="3199">
        <v>1600</v>
      </c>
      <c r="L174" s="3199" t="s">
        <v>2814</v>
      </c>
      <c r="M174" s="3199" t="s">
        <v>3291</v>
      </c>
      <c r="N174" s="3199" t="s">
        <v>3062</v>
      </c>
      <c r="O174">
        <f t="shared" si="2"/>
        <v>2400</v>
      </c>
    </row>
    <row r="175" spans="1:15">
      <c r="A175" s="3199" t="s">
        <v>3290</v>
      </c>
      <c r="B175" s="3199" t="s">
        <v>3056</v>
      </c>
      <c r="C175" s="3199" t="s">
        <v>3057</v>
      </c>
      <c r="D175" s="3199">
        <v>49237.8</v>
      </c>
      <c r="E175" s="3199">
        <v>73856.7</v>
      </c>
      <c r="F175" s="3199" t="s">
        <v>3244</v>
      </c>
      <c r="G175" s="3199" t="s">
        <v>3059</v>
      </c>
      <c r="H175" s="3199" t="s">
        <v>3286</v>
      </c>
      <c r="I175" s="3199" t="s">
        <v>2814</v>
      </c>
      <c r="J175" s="3199">
        <v>11817.06</v>
      </c>
      <c r="K175" s="3199">
        <v>1600</v>
      </c>
      <c r="L175" s="3199" t="s">
        <v>2814</v>
      </c>
      <c r="M175" s="3199" t="s">
        <v>3291</v>
      </c>
      <c r="N175" s="3199" t="s">
        <v>3062</v>
      </c>
      <c r="O175">
        <f t="shared" si="2"/>
        <v>2400</v>
      </c>
    </row>
    <row r="176" spans="1:15">
      <c r="A176" s="3199" t="s">
        <v>3282</v>
      </c>
      <c r="B176" s="3199" t="s">
        <v>3056</v>
      </c>
      <c r="C176" s="3199" t="s">
        <v>3057</v>
      </c>
      <c r="D176" s="3199">
        <v>62846</v>
      </c>
      <c r="E176" s="3199">
        <v>94269</v>
      </c>
      <c r="F176" s="3199" t="s">
        <v>3244</v>
      </c>
      <c r="G176" s="3199" t="s">
        <v>3059</v>
      </c>
      <c r="H176" s="3199" t="s">
        <v>3286</v>
      </c>
      <c r="I176" s="3199" t="s">
        <v>2814</v>
      </c>
      <c r="J176" s="3199">
        <v>16968.41</v>
      </c>
      <c r="K176" s="3199">
        <v>1800</v>
      </c>
      <c r="L176" s="3199" t="s">
        <v>2814</v>
      </c>
      <c r="M176" s="3199" t="s">
        <v>3287</v>
      </c>
      <c r="N176" s="3199" t="s">
        <v>3062</v>
      </c>
      <c r="O176">
        <f t="shared" si="2"/>
        <v>2700</v>
      </c>
    </row>
    <row r="177" spans="1:15">
      <c r="A177" s="3199" t="s">
        <v>3292</v>
      </c>
      <c r="B177" s="3199" t="s">
        <v>3056</v>
      </c>
      <c r="C177" s="3199" t="s">
        <v>3057</v>
      </c>
      <c r="D177" s="3199">
        <v>16562</v>
      </c>
      <c r="E177" s="3199">
        <v>28155.4</v>
      </c>
      <c r="F177" s="3199" t="s">
        <v>3174</v>
      </c>
      <c r="G177" s="3199" t="s">
        <v>3059</v>
      </c>
      <c r="H177" s="3199" t="s">
        <v>3293</v>
      </c>
      <c r="I177" s="3199" t="s">
        <v>2814</v>
      </c>
      <c r="J177" s="3199">
        <v>4471.7299999999996</v>
      </c>
      <c r="K177" s="3199">
        <v>1588.24</v>
      </c>
      <c r="L177" s="3199" t="s">
        <v>2814</v>
      </c>
      <c r="M177" s="3199" t="s">
        <v>3284</v>
      </c>
      <c r="N177" s="3199" t="s">
        <v>3062</v>
      </c>
      <c r="O177">
        <f t="shared" si="2"/>
        <v>2700</v>
      </c>
    </row>
    <row r="178" spans="1:15">
      <c r="A178" s="3199" t="s">
        <v>3294</v>
      </c>
      <c r="B178" s="3199" t="s">
        <v>3056</v>
      </c>
      <c r="C178" s="3199" t="s">
        <v>3057</v>
      </c>
      <c r="D178" s="3199">
        <v>55960</v>
      </c>
      <c r="E178" s="3199">
        <v>83940</v>
      </c>
      <c r="F178" s="3199" t="s">
        <v>3244</v>
      </c>
      <c r="G178" s="3199" t="s">
        <v>3059</v>
      </c>
      <c r="H178" s="3199" t="s">
        <v>3293</v>
      </c>
      <c r="I178" s="3199" t="s">
        <v>2814</v>
      </c>
      <c r="J178" s="3199">
        <v>15109.2</v>
      </c>
      <c r="K178" s="3199">
        <v>1800</v>
      </c>
      <c r="L178" s="3199" t="s">
        <v>2814</v>
      </c>
      <c r="M178" s="3199" t="s">
        <v>3295</v>
      </c>
      <c r="N178" s="3199" t="s">
        <v>3062</v>
      </c>
      <c r="O178">
        <f t="shared" si="2"/>
        <v>2700</v>
      </c>
    </row>
    <row r="179" spans="1:15">
      <c r="A179" s="3199" t="s">
        <v>3296</v>
      </c>
      <c r="B179" s="3199" t="s">
        <v>3056</v>
      </c>
      <c r="C179" s="3199" t="s">
        <v>3057</v>
      </c>
      <c r="D179" s="3199">
        <v>57876</v>
      </c>
      <c r="E179" s="3199">
        <v>86814</v>
      </c>
      <c r="F179" s="3199" t="s">
        <v>3244</v>
      </c>
      <c r="G179" s="3199" t="s">
        <v>3059</v>
      </c>
      <c r="H179" s="3199" t="s">
        <v>3293</v>
      </c>
      <c r="I179" s="3199" t="s">
        <v>2814</v>
      </c>
      <c r="J179" s="3199">
        <v>16060.59</v>
      </c>
      <c r="K179" s="3199">
        <v>1850</v>
      </c>
      <c r="L179" s="3199" t="s">
        <v>2814</v>
      </c>
      <c r="M179" s="3199" t="s">
        <v>3295</v>
      </c>
      <c r="N179" s="3199" t="s">
        <v>3062</v>
      </c>
      <c r="O179">
        <f t="shared" si="2"/>
        <v>2775</v>
      </c>
    </row>
    <row r="180" spans="1:15">
      <c r="A180" s="3199" t="s">
        <v>3251</v>
      </c>
      <c r="B180" s="3199" t="s">
        <v>3056</v>
      </c>
      <c r="C180" s="3199" t="s">
        <v>3057</v>
      </c>
      <c r="D180" s="3199">
        <v>16584</v>
      </c>
      <c r="E180" s="3199">
        <v>28192.799999999999</v>
      </c>
      <c r="F180" s="3199" t="s">
        <v>3174</v>
      </c>
      <c r="G180" s="3199" t="s">
        <v>3059</v>
      </c>
      <c r="H180" s="3199" t="s">
        <v>3293</v>
      </c>
      <c r="I180" s="3199" t="s">
        <v>2814</v>
      </c>
      <c r="J180" s="3199">
        <v>4477.68</v>
      </c>
      <c r="K180" s="3199">
        <v>1588.24</v>
      </c>
      <c r="L180" s="3199" t="s">
        <v>2814</v>
      </c>
      <c r="M180" s="3199" t="s">
        <v>3284</v>
      </c>
      <c r="N180" s="3199" t="s">
        <v>3062</v>
      </c>
      <c r="O180">
        <f t="shared" si="2"/>
        <v>2700</v>
      </c>
    </row>
    <row r="181" spans="1:15">
      <c r="A181" s="3199" t="s">
        <v>3297</v>
      </c>
      <c r="B181" s="3199" t="s">
        <v>3056</v>
      </c>
      <c r="C181" s="3199" t="s">
        <v>3057</v>
      </c>
      <c r="D181" s="3199">
        <v>22896</v>
      </c>
      <c r="E181" s="3199">
        <v>34344</v>
      </c>
      <c r="F181" s="3199" t="s">
        <v>3244</v>
      </c>
      <c r="G181" s="3199" t="s">
        <v>3059</v>
      </c>
      <c r="H181" s="3199" t="s">
        <v>3293</v>
      </c>
      <c r="I181" s="3199" t="s">
        <v>2814</v>
      </c>
      <c r="J181" s="3199">
        <v>6181.92</v>
      </c>
      <c r="K181" s="3199">
        <v>1800</v>
      </c>
      <c r="L181" s="3199" t="s">
        <v>2814</v>
      </c>
      <c r="M181" s="3199" t="s">
        <v>3284</v>
      </c>
      <c r="N181" s="3199" t="s">
        <v>3062</v>
      </c>
      <c r="O181">
        <f t="shared" si="2"/>
        <v>2700</v>
      </c>
    </row>
    <row r="182" spans="1:15">
      <c r="A182" s="3199" t="s">
        <v>3039</v>
      </c>
      <c r="B182" s="3199" t="s">
        <v>3056</v>
      </c>
      <c r="C182" s="3199" t="s">
        <v>3057</v>
      </c>
      <c r="D182" s="3199">
        <v>54632</v>
      </c>
      <c r="E182" s="3199">
        <v>92874.4</v>
      </c>
      <c r="F182" s="3199" t="s">
        <v>3174</v>
      </c>
      <c r="G182" s="3199" t="s">
        <v>3059</v>
      </c>
      <c r="H182" s="3199" t="s">
        <v>3293</v>
      </c>
      <c r="I182" s="3199" t="s">
        <v>2814</v>
      </c>
      <c r="J182" s="3199">
        <v>15160.37</v>
      </c>
      <c r="K182" s="3199">
        <v>1632.34</v>
      </c>
      <c r="L182" s="3199" t="s">
        <v>2814</v>
      </c>
      <c r="M182" s="3199" t="s">
        <v>3295</v>
      </c>
      <c r="N182" s="3199" t="s">
        <v>3062</v>
      </c>
      <c r="O182">
        <f t="shared" si="2"/>
        <v>2775</v>
      </c>
    </row>
    <row r="183" spans="1:15">
      <c r="A183" s="3199" t="s">
        <v>3248</v>
      </c>
      <c r="B183" s="3199" t="s">
        <v>3056</v>
      </c>
      <c r="C183" s="3199" t="s">
        <v>3057</v>
      </c>
      <c r="D183" s="3199">
        <v>17261</v>
      </c>
      <c r="E183" s="3199">
        <v>25891.5</v>
      </c>
      <c r="F183" s="3199" t="s">
        <v>3244</v>
      </c>
      <c r="G183" s="3199" t="s">
        <v>3059</v>
      </c>
      <c r="H183" s="3199" t="s">
        <v>3293</v>
      </c>
      <c r="I183" s="3199" t="s">
        <v>2814</v>
      </c>
      <c r="J183" s="3199">
        <v>4660.47</v>
      </c>
      <c r="K183" s="3199">
        <v>1800</v>
      </c>
      <c r="L183" s="3199" t="s">
        <v>2814</v>
      </c>
      <c r="M183" s="3199" t="s">
        <v>3284</v>
      </c>
      <c r="N183" s="3199" t="s">
        <v>3062</v>
      </c>
      <c r="O183">
        <f t="shared" si="2"/>
        <v>2700</v>
      </c>
    </row>
    <row r="184" spans="1:15">
      <c r="A184" s="3199" t="s">
        <v>3298</v>
      </c>
      <c r="B184" s="3199" t="s">
        <v>3056</v>
      </c>
      <c r="C184" s="3199" t="s">
        <v>3057</v>
      </c>
      <c r="D184" s="3199">
        <v>19573</v>
      </c>
      <c r="E184" s="3199">
        <v>29359.5</v>
      </c>
      <c r="F184" s="3199" t="s">
        <v>3244</v>
      </c>
      <c r="G184" s="3199" t="s">
        <v>3059</v>
      </c>
      <c r="H184" s="3199" t="s">
        <v>3293</v>
      </c>
      <c r="I184" s="3199" t="s">
        <v>2814</v>
      </c>
      <c r="J184" s="3199">
        <v>5284.71</v>
      </c>
      <c r="K184" s="3199">
        <v>1800</v>
      </c>
      <c r="L184" s="3199" t="s">
        <v>2814</v>
      </c>
      <c r="M184" s="3199" t="s">
        <v>3291</v>
      </c>
      <c r="N184" s="3199" t="s">
        <v>3062</v>
      </c>
      <c r="O184">
        <f t="shared" si="2"/>
        <v>2700</v>
      </c>
    </row>
    <row r="185" spans="1:15">
      <c r="A185" s="3199" t="s">
        <v>3299</v>
      </c>
      <c r="B185" s="3199" t="s">
        <v>3056</v>
      </c>
      <c r="C185" s="3199" t="s">
        <v>3057</v>
      </c>
      <c r="D185" s="3199">
        <v>40134</v>
      </c>
      <c r="E185" s="3199">
        <v>60201</v>
      </c>
      <c r="F185" s="3199" t="s">
        <v>3244</v>
      </c>
      <c r="G185" s="3199" t="s">
        <v>3059</v>
      </c>
      <c r="H185" s="3199" t="s">
        <v>3293</v>
      </c>
      <c r="I185" s="3199" t="s">
        <v>2814</v>
      </c>
      <c r="J185" s="3199">
        <v>10836.18</v>
      </c>
      <c r="K185" s="3199">
        <v>1800</v>
      </c>
      <c r="L185" s="3199" t="s">
        <v>2814</v>
      </c>
      <c r="M185" s="3199" t="s">
        <v>3291</v>
      </c>
      <c r="N185" s="3199" t="s">
        <v>3062</v>
      </c>
      <c r="O185">
        <f t="shared" si="2"/>
        <v>2700</v>
      </c>
    </row>
    <row r="186" spans="1:15">
      <c r="A186" s="3199" t="s">
        <v>3294</v>
      </c>
      <c r="B186" s="3199" t="s">
        <v>3056</v>
      </c>
      <c r="C186" s="3199" t="s">
        <v>3057</v>
      </c>
      <c r="D186" s="3199">
        <v>26058</v>
      </c>
      <c r="E186" s="3199">
        <v>39087</v>
      </c>
      <c r="F186" s="3199" t="s">
        <v>3244</v>
      </c>
      <c r="G186" s="3199" t="s">
        <v>3059</v>
      </c>
      <c r="H186" s="3199" t="s">
        <v>3293</v>
      </c>
      <c r="I186" s="3199" t="s">
        <v>2814</v>
      </c>
      <c r="J186" s="3199">
        <v>7035.65</v>
      </c>
      <c r="K186" s="3199">
        <v>1800</v>
      </c>
      <c r="L186" s="3199" t="s">
        <v>2814</v>
      </c>
      <c r="M186" s="3199" t="s">
        <v>3295</v>
      </c>
      <c r="N186" s="3199" t="s">
        <v>3062</v>
      </c>
      <c r="O186">
        <f t="shared" si="2"/>
        <v>2700</v>
      </c>
    </row>
    <row r="187" spans="1:15">
      <c r="A187" s="3199" t="s">
        <v>3300</v>
      </c>
      <c r="B187" s="3199" t="s">
        <v>3056</v>
      </c>
      <c r="C187" s="3199" t="s">
        <v>3057</v>
      </c>
      <c r="D187" s="3199">
        <v>18047</v>
      </c>
      <c r="E187" s="3199">
        <v>27070.5</v>
      </c>
      <c r="F187" s="3199" t="s">
        <v>3244</v>
      </c>
      <c r="G187" s="3199" t="s">
        <v>3059</v>
      </c>
      <c r="H187" s="3199" t="s">
        <v>3293</v>
      </c>
      <c r="I187" s="3199" t="s">
        <v>2814</v>
      </c>
      <c r="J187" s="3199">
        <v>4872.68</v>
      </c>
      <c r="K187" s="3199">
        <v>1800</v>
      </c>
      <c r="L187" s="3199" t="s">
        <v>2814</v>
      </c>
      <c r="M187" s="3199" t="s">
        <v>3284</v>
      </c>
      <c r="N187" s="3199" t="s">
        <v>3062</v>
      </c>
      <c r="O187">
        <f t="shared" si="2"/>
        <v>2700</v>
      </c>
    </row>
    <row r="188" spans="1:15">
      <c r="A188" s="3199" t="s">
        <v>3037</v>
      </c>
      <c r="B188" s="3199" t="s">
        <v>3056</v>
      </c>
      <c r="C188" s="3199" t="s">
        <v>3057</v>
      </c>
      <c r="D188" s="3199">
        <v>31220</v>
      </c>
      <c r="E188" s="3199">
        <v>53074</v>
      </c>
      <c r="F188" s="3199" t="s">
        <v>3174</v>
      </c>
      <c r="G188" s="3199" t="s">
        <v>3059</v>
      </c>
      <c r="H188" s="3199" t="s">
        <v>3293</v>
      </c>
      <c r="I188" s="3199" t="s">
        <v>2814</v>
      </c>
      <c r="J188" s="3199">
        <v>8663.5400000000009</v>
      </c>
      <c r="K188" s="3199">
        <v>1632.34</v>
      </c>
      <c r="L188" s="3199" t="s">
        <v>2814</v>
      </c>
      <c r="M188" s="3199" t="s">
        <v>3295</v>
      </c>
      <c r="N188" s="3199" t="s">
        <v>3062</v>
      </c>
      <c r="O188">
        <f t="shared" si="2"/>
        <v>2775</v>
      </c>
    </row>
    <row r="189" spans="1:15">
      <c r="A189" s="3199" t="s">
        <v>3296</v>
      </c>
      <c r="B189" s="3199" t="s">
        <v>3056</v>
      </c>
      <c r="C189" s="3199" t="s">
        <v>3057</v>
      </c>
      <c r="D189" s="3199">
        <v>30689</v>
      </c>
      <c r="E189" s="3199">
        <v>46033.5</v>
      </c>
      <c r="F189" s="3199" t="s">
        <v>3244</v>
      </c>
      <c r="G189" s="3199" t="s">
        <v>3059</v>
      </c>
      <c r="H189" s="3199" t="s">
        <v>3293</v>
      </c>
      <c r="I189" s="3199" t="s">
        <v>2814</v>
      </c>
      <c r="J189" s="3199">
        <v>8516.2000000000007</v>
      </c>
      <c r="K189" s="3199">
        <v>1850</v>
      </c>
      <c r="L189" s="3199" t="s">
        <v>2814</v>
      </c>
      <c r="M189" s="3199" t="s">
        <v>3295</v>
      </c>
      <c r="N189" s="3199" t="s">
        <v>3062</v>
      </c>
      <c r="O189">
        <f t="shared" si="2"/>
        <v>2775</v>
      </c>
    </row>
    <row r="190" spans="1:15">
      <c r="A190" s="3199" t="s">
        <v>3301</v>
      </c>
      <c r="B190" s="3199" t="s">
        <v>3056</v>
      </c>
      <c r="C190" s="3199" t="s">
        <v>3057</v>
      </c>
      <c r="D190" s="3199">
        <v>19729</v>
      </c>
      <c r="E190" s="3199">
        <v>29593.5</v>
      </c>
      <c r="F190" s="3199" t="s">
        <v>3244</v>
      </c>
      <c r="G190" s="3199" t="s">
        <v>3059</v>
      </c>
      <c r="H190" s="3199" t="s">
        <v>3293</v>
      </c>
      <c r="I190" s="3199" t="s">
        <v>2814</v>
      </c>
      <c r="J190" s="3199">
        <v>5326.82</v>
      </c>
      <c r="K190" s="3199">
        <v>1800</v>
      </c>
      <c r="L190" s="3199" t="s">
        <v>2814</v>
      </c>
      <c r="M190" s="3199" t="s">
        <v>3284</v>
      </c>
      <c r="N190" s="3199" t="s">
        <v>3062</v>
      </c>
      <c r="O190">
        <f t="shared" si="2"/>
        <v>2700</v>
      </c>
    </row>
    <row r="191" spans="1:15">
      <c r="A191" s="3199" t="s">
        <v>3302</v>
      </c>
      <c r="B191" s="3199" t="s">
        <v>3056</v>
      </c>
      <c r="C191" s="3199" t="s">
        <v>3057</v>
      </c>
      <c r="D191" s="3199">
        <v>20540</v>
      </c>
      <c r="E191" s="3199">
        <v>30810</v>
      </c>
      <c r="F191" s="3199" t="s">
        <v>3244</v>
      </c>
      <c r="G191" s="3199" t="s">
        <v>3059</v>
      </c>
      <c r="H191" s="3199" t="s">
        <v>3303</v>
      </c>
      <c r="I191" s="3199" t="s">
        <v>2814</v>
      </c>
      <c r="J191" s="3199">
        <v>862.67</v>
      </c>
      <c r="K191" s="3199">
        <v>280</v>
      </c>
      <c r="L191" s="3199" t="s">
        <v>2814</v>
      </c>
      <c r="M191" s="3199" t="s">
        <v>3304</v>
      </c>
      <c r="N191" s="3199" t="s">
        <v>3062</v>
      </c>
      <c r="O191">
        <f t="shared" si="2"/>
        <v>420</v>
      </c>
    </row>
    <row r="192" spans="1:15">
      <c r="A192" s="3199" t="s">
        <v>3302</v>
      </c>
      <c r="B192" s="3199" t="s">
        <v>3056</v>
      </c>
      <c r="C192" s="3199" t="s">
        <v>3057</v>
      </c>
      <c r="D192" s="3199">
        <v>4784</v>
      </c>
      <c r="E192" s="3199">
        <v>7176</v>
      </c>
      <c r="F192" s="3199" t="s">
        <v>3244</v>
      </c>
      <c r="G192" s="3199" t="s">
        <v>3059</v>
      </c>
      <c r="H192" s="3199" t="s">
        <v>3303</v>
      </c>
      <c r="I192" s="3199" t="s">
        <v>2814</v>
      </c>
      <c r="J192" s="3199">
        <v>200.93</v>
      </c>
      <c r="K192" s="3199">
        <v>280</v>
      </c>
      <c r="L192" s="3199" t="s">
        <v>2814</v>
      </c>
      <c r="M192" s="3199" t="s">
        <v>3304</v>
      </c>
      <c r="N192" s="3199" t="s">
        <v>3062</v>
      </c>
      <c r="O192">
        <f t="shared" si="2"/>
        <v>420</v>
      </c>
    </row>
    <row r="193" spans="1:15">
      <c r="A193" s="3199" t="s">
        <v>3305</v>
      </c>
      <c r="B193" s="3199" t="s">
        <v>3056</v>
      </c>
      <c r="C193" s="3199" t="s">
        <v>3057</v>
      </c>
      <c r="D193" s="3199">
        <v>2500</v>
      </c>
      <c r="E193" s="3199">
        <v>450</v>
      </c>
      <c r="F193" s="3199" t="s">
        <v>3306</v>
      </c>
      <c r="G193" s="3199" t="s">
        <v>3059</v>
      </c>
      <c r="H193" s="3199" t="s">
        <v>3307</v>
      </c>
      <c r="I193" s="3199">
        <v>50</v>
      </c>
      <c r="J193" s="3199">
        <v>187.5</v>
      </c>
      <c r="K193" s="3199">
        <v>4166.67</v>
      </c>
      <c r="L193" s="3199">
        <v>275</v>
      </c>
      <c r="M193" s="3199" t="s">
        <v>3308</v>
      </c>
      <c r="N193" s="3199" t="s">
        <v>3062</v>
      </c>
      <c r="O193">
        <f t="shared" si="2"/>
        <v>750</v>
      </c>
    </row>
    <row r="194" spans="1:15">
      <c r="A194" s="3199" t="s">
        <v>3309</v>
      </c>
      <c r="B194" s="3199" t="s">
        <v>3056</v>
      </c>
      <c r="C194" s="3199" t="s">
        <v>3057</v>
      </c>
      <c r="D194" s="3199">
        <v>524</v>
      </c>
      <c r="E194" s="3199">
        <v>1048</v>
      </c>
      <c r="F194" s="3199" t="s">
        <v>3310</v>
      </c>
      <c r="G194" s="3199" t="s">
        <v>3059</v>
      </c>
      <c r="H194" s="3199" t="s">
        <v>3311</v>
      </c>
      <c r="I194" s="3199" t="s">
        <v>2814</v>
      </c>
      <c r="J194" s="3199">
        <v>27.51</v>
      </c>
      <c r="K194" s="3199">
        <v>262.5</v>
      </c>
      <c r="L194" s="3199" t="s">
        <v>2814</v>
      </c>
      <c r="M194" s="3199" t="s">
        <v>3312</v>
      </c>
      <c r="N194" s="3199" t="s">
        <v>3062</v>
      </c>
      <c r="O194">
        <f t="shared" si="2"/>
        <v>525</v>
      </c>
    </row>
    <row r="195" spans="1:15">
      <c r="A195" s="3199" t="s">
        <v>3313</v>
      </c>
      <c r="B195" s="3199" t="s">
        <v>3056</v>
      </c>
      <c r="C195" s="3199" t="s">
        <v>3057</v>
      </c>
      <c r="D195" s="3199">
        <v>9203</v>
      </c>
      <c r="E195" s="3199">
        <v>46935.3</v>
      </c>
      <c r="F195" s="3199" t="s">
        <v>3314</v>
      </c>
      <c r="G195" s="3199" t="s">
        <v>3315</v>
      </c>
      <c r="H195" s="3199" t="s">
        <v>3316</v>
      </c>
      <c r="I195" s="3199" t="s">
        <v>2814</v>
      </c>
      <c r="J195" s="3199">
        <v>1656.53</v>
      </c>
      <c r="K195" s="3199">
        <v>352.93</v>
      </c>
      <c r="L195" s="3199" t="s">
        <v>2814</v>
      </c>
      <c r="M195" s="3199" t="s">
        <v>3238</v>
      </c>
      <c r="N195" s="3199" t="s">
        <v>3062</v>
      </c>
      <c r="O195">
        <f t="shared" ref="O195:O200" si="3">ROUND(J195/D195*10000,0)</f>
        <v>1800</v>
      </c>
    </row>
    <row r="196" spans="1:15">
      <c r="A196" s="3199" t="s">
        <v>3317</v>
      </c>
      <c r="B196" s="3199" t="s">
        <v>3056</v>
      </c>
      <c r="C196" s="3199" t="s">
        <v>3057</v>
      </c>
      <c r="D196" s="3199">
        <v>26025</v>
      </c>
      <c r="E196" s="3199">
        <v>39037.5</v>
      </c>
      <c r="F196" s="3199" t="s">
        <v>3244</v>
      </c>
      <c r="G196" s="3199" t="s">
        <v>3315</v>
      </c>
      <c r="H196" s="3199" t="s">
        <v>3316</v>
      </c>
      <c r="I196" s="3199" t="s">
        <v>2814</v>
      </c>
      <c r="J196" s="3199">
        <v>4684.5</v>
      </c>
      <c r="K196" s="3199">
        <v>1200</v>
      </c>
      <c r="L196" s="3199" t="s">
        <v>2814</v>
      </c>
      <c r="M196" s="3199" t="s">
        <v>3291</v>
      </c>
      <c r="N196" s="3199" t="s">
        <v>3062</v>
      </c>
      <c r="O196">
        <f t="shared" si="3"/>
        <v>1800</v>
      </c>
    </row>
    <row r="197" spans="1:15">
      <c r="A197" s="3199" t="s">
        <v>3318</v>
      </c>
      <c r="B197" s="3199" t="s">
        <v>3056</v>
      </c>
      <c r="C197" s="3199" t="s">
        <v>3057</v>
      </c>
      <c r="D197" s="3199">
        <v>35274</v>
      </c>
      <c r="E197" s="3199">
        <v>59965.8</v>
      </c>
      <c r="F197" s="3199" t="s">
        <v>3174</v>
      </c>
      <c r="G197" s="3199" t="s">
        <v>3315</v>
      </c>
      <c r="H197" s="3199" t="s">
        <v>3316</v>
      </c>
      <c r="I197" s="3199" t="s">
        <v>2814</v>
      </c>
      <c r="J197" s="3199">
        <v>2645.55</v>
      </c>
      <c r="K197" s="3199">
        <v>441.18</v>
      </c>
      <c r="L197" s="3199" t="s">
        <v>2814</v>
      </c>
      <c r="M197" s="3199" t="s">
        <v>3291</v>
      </c>
      <c r="N197" s="3199" t="s">
        <v>3062</v>
      </c>
      <c r="O197">
        <f t="shared" si="3"/>
        <v>750</v>
      </c>
    </row>
    <row r="198" spans="1:15">
      <c r="A198" s="3199" t="s">
        <v>3318</v>
      </c>
      <c r="B198" s="3199" t="s">
        <v>3056</v>
      </c>
      <c r="C198" s="3199" t="s">
        <v>3057</v>
      </c>
      <c r="D198" s="3199">
        <v>39216</v>
      </c>
      <c r="E198" s="3199">
        <v>66667.199999999997</v>
      </c>
      <c r="F198" s="3199" t="s">
        <v>3174</v>
      </c>
      <c r="G198" s="3199" t="s">
        <v>3315</v>
      </c>
      <c r="H198" s="3199" t="s">
        <v>3316</v>
      </c>
      <c r="I198" s="3199" t="s">
        <v>2814</v>
      </c>
      <c r="J198" s="3199">
        <v>2941.19</v>
      </c>
      <c r="K198" s="3199">
        <v>441.18</v>
      </c>
      <c r="L198" s="3199" t="s">
        <v>2814</v>
      </c>
      <c r="M198" s="3199" t="s">
        <v>3291</v>
      </c>
      <c r="N198" s="3199" t="s">
        <v>3062</v>
      </c>
      <c r="O198">
        <f t="shared" si="3"/>
        <v>750</v>
      </c>
    </row>
    <row r="199" spans="1:15">
      <c r="A199" s="3199" t="s">
        <v>3319</v>
      </c>
      <c r="B199" s="3199" t="s">
        <v>3056</v>
      </c>
      <c r="C199" s="3199" t="s">
        <v>3057</v>
      </c>
      <c r="D199" s="3199">
        <v>17058</v>
      </c>
      <c r="E199" s="3199">
        <v>25587</v>
      </c>
      <c r="F199" s="3199" t="s">
        <v>3244</v>
      </c>
      <c r="G199" s="3199" t="s">
        <v>3315</v>
      </c>
      <c r="H199" s="3199" t="s">
        <v>3320</v>
      </c>
      <c r="I199" s="3199" t="s">
        <v>2814</v>
      </c>
      <c r="J199" s="3199">
        <v>946.72</v>
      </c>
      <c r="K199" s="3199">
        <v>370</v>
      </c>
      <c r="L199" s="3199" t="s">
        <v>2814</v>
      </c>
      <c r="M199" s="3199" t="s">
        <v>3321</v>
      </c>
      <c r="N199" s="3199" t="s">
        <v>3062</v>
      </c>
      <c r="O199">
        <f t="shared" si="3"/>
        <v>555</v>
      </c>
    </row>
    <row r="200" spans="1:15">
      <c r="A200" s="3199" t="s">
        <v>3322</v>
      </c>
      <c r="B200" s="3199" t="s">
        <v>3056</v>
      </c>
      <c r="C200" s="3199" t="s">
        <v>3057</v>
      </c>
      <c r="D200" s="3199">
        <v>32206</v>
      </c>
      <c r="E200" s="3199">
        <v>128824</v>
      </c>
      <c r="F200" s="3199" t="s">
        <v>3323</v>
      </c>
      <c r="G200" s="3199" t="s">
        <v>3315</v>
      </c>
      <c r="H200" s="3199" t="s">
        <v>3320</v>
      </c>
      <c r="I200" s="3199" t="s">
        <v>2814</v>
      </c>
      <c r="J200" s="3199">
        <v>4830.8900000000003</v>
      </c>
      <c r="K200" s="3199">
        <v>375</v>
      </c>
      <c r="L200" s="3199" t="s">
        <v>2814</v>
      </c>
      <c r="M200" s="3199" t="s">
        <v>3134</v>
      </c>
      <c r="N200" s="3199" t="s">
        <v>3062</v>
      </c>
      <c r="O200">
        <f t="shared" si="3"/>
        <v>1500</v>
      </c>
    </row>
    <row r="201" spans="1:15">
      <c r="A201" s="3199" t="s">
        <v>3324</v>
      </c>
      <c r="B201" s="3199" t="s">
        <v>3056</v>
      </c>
      <c r="C201" s="3199" t="s">
        <v>3057</v>
      </c>
      <c r="D201" s="3199">
        <v>1747</v>
      </c>
      <c r="E201" s="3199">
        <v>2969.9</v>
      </c>
      <c r="F201" s="3199" t="s">
        <v>3174</v>
      </c>
      <c r="G201" s="3199" t="s">
        <v>3315</v>
      </c>
      <c r="H201" s="3199" t="s">
        <v>3325</v>
      </c>
      <c r="I201" s="3199" t="s">
        <v>2814</v>
      </c>
      <c r="J201" s="3199">
        <v>262.05</v>
      </c>
      <c r="K201" s="3199">
        <v>882.35</v>
      </c>
      <c r="L201" s="3199" t="s">
        <v>2814</v>
      </c>
      <c r="M201" s="3199" t="s">
        <v>3326</v>
      </c>
      <c r="N201" s="3199" t="s">
        <v>3062</v>
      </c>
    </row>
  </sheetData>
  <phoneticPr fontId="229"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topLeftCell="B1" workbookViewId="0">
      <selection activeCell="I16" sqref="I16"/>
    </sheetView>
  </sheetViews>
  <sheetFormatPr defaultRowHeight="13.5"/>
  <cols>
    <col min="1" max="1" width="26.125" customWidth="1"/>
    <col min="2" max="2" width="19.75" customWidth="1"/>
    <col min="3" max="3" width="16.625" customWidth="1"/>
    <col min="4" max="4" width="14.125" customWidth="1"/>
    <col min="5" max="5" width="17.5" customWidth="1"/>
    <col min="6" max="7" width="14.125" customWidth="1"/>
    <col min="8" max="8" width="9.875" customWidth="1"/>
  </cols>
  <sheetData>
    <row r="1" spans="1:9" ht="27">
      <c r="A1" s="3222" t="s">
        <v>3373</v>
      </c>
      <c r="B1" s="3222" t="s">
        <v>3374</v>
      </c>
      <c r="C1" s="3222" t="s">
        <v>3375</v>
      </c>
      <c r="D1" s="3222" t="s">
        <v>3371</v>
      </c>
      <c r="E1" s="3222" t="s">
        <v>3372</v>
      </c>
      <c r="F1" s="3222" t="s">
        <v>3378</v>
      </c>
      <c r="G1" s="3222" t="s">
        <v>3377</v>
      </c>
      <c r="H1" s="3222" t="s">
        <v>3376</v>
      </c>
      <c r="I1" s="3223"/>
    </row>
    <row r="2" spans="1:9">
      <c r="A2" s="3224" t="s">
        <v>3347</v>
      </c>
      <c r="B2" s="3224" t="s">
        <v>3356</v>
      </c>
      <c r="C2" s="3224" t="s">
        <v>3348</v>
      </c>
      <c r="D2" s="3223">
        <v>40652</v>
      </c>
      <c r="E2" s="3223">
        <v>60978</v>
      </c>
      <c r="F2" s="3223">
        <f>E2/D2</f>
        <v>1.5</v>
      </c>
      <c r="G2" s="3223">
        <v>1.7</v>
      </c>
      <c r="H2" s="3223">
        <v>10976.04</v>
      </c>
      <c r="I2" s="3223">
        <f>H2/D2</f>
        <v>0.27</v>
      </c>
    </row>
    <row r="3" spans="1:9">
      <c r="A3" s="3224" t="s">
        <v>3364</v>
      </c>
      <c r="B3" s="3224" t="s">
        <v>3357</v>
      </c>
      <c r="C3" s="3224" t="s">
        <v>3349</v>
      </c>
      <c r="D3" s="3223">
        <v>23778</v>
      </c>
      <c r="E3" s="3223">
        <v>35667</v>
      </c>
      <c r="F3" s="3223">
        <f t="shared" ref="F3:F7" si="0">E3/D3</f>
        <v>1.5</v>
      </c>
      <c r="G3" s="3223">
        <v>1.7</v>
      </c>
      <c r="H3" s="3223">
        <v>6420.06</v>
      </c>
      <c r="I3" s="3223">
        <f t="shared" ref="I3:I9" si="1">H3/D3</f>
        <v>0.27</v>
      </c>
    </row>
    <row r="4" spans="1:9">
      <c r="A4" s="3224" t="s">
        <v>3365</v>
      </c>
      <c r="B4" s="3224" t="s">
        <v>3358</v>
      </c>
      <c r="C4" s="3224" t="s">
        <v>3350</v>
      </c>
      <c r="D4" s="3223">
        <v>3856</v>
      </c>
      <c r="E4" s="3223">
        <v>5784</v>
      </c>
      <c r="F4" s="3223">
        <f t="shared" si="0"/>
        <v>1.5</v>
      </c>
      <c r="G4" s="3223">
        <v>1.7</v>
      </c>
      <c r="H4" s="3223">
        <v>1041.1199999999999</v>
      </c>
      <c r="I4" s="3223">
        <f t="shared" si="1"/>
        <v>0.26999999999999996</v>
      </c>
    </row>
    <row r="5" spans="1:9">
      <c r="A5" s="3224" t="s">
        <v>3366</v>
      </c>
      <c r="B5" s="3224" t="s">
        <v>3359</v>
      </c>
      <c r="C5" s="3224" t="s">
        <v>3351</v>
      </c>
      <c r="D5" s="3223">
        <v>31355</v>
      </c>
      <c r="E5" s="3223">
        <v>47032.5</v>
      </c>
      <c r="F5" s="3223">
        <f t="shared" si="0"/>
        <v>1.5</v>
      </c>
      <c r="G5" s="3223">
        <v>1.7</v>
      </c>
      <c r="H5" s="3223">
        <v>8465.85</v>
      </c>
      <c r="I5" s="3223">
        <f t="shared" si="1"/>
        <v>0.27</v>
      </c>
    </row>
    <row r="6" spans="1:9">
      <c r="A6" s="3224" t="s">
        <v>3367</v>
      </c>
      <c r="B6" s="3224" t="s">
        <v>3360</v>
      </c>
      <c r="C6" s="3224" t="s">
        <v>3352</v>
      </c>
      <c r="D6" s="3223">
        <v>31462</v>
      </c>
      <c r="E6" s="3223">
        <v>47193</v>
      </c>
      <c r="F6" s="3223">
        <f t="shared" si="0"/>
        <v>1.5</v>
      </c>
      <c r="G6" s="3223">
        <v>1.7</v>
      </c>
      <c r="H6" s="3223">
        <v>8494.74</v>
      </c>
      <c r="I6" s="3223">
        <f t="shared" si="1"/>
        <v>0.27</v>
      </c>
    </row>
    <row r="7" spans="1:9">
      <c r="A7" s="3224" t="s">
        <v>3368</v>
      </c>
      <c r="B7" s="3224" t="s">
        <v>3361</v>
      </c>
      <c r="C7" s="3224" t="s">
        <v>3353</v>
      </c>
      <c r="D7" s="3223">
        <v>29452</v>
      </c>
      <c r="E7" s="3223">
        <v>44178</v>
      </c>
      <c r="F7" s="3223">
        <f t="shared" si="0"/>
        <v>1.5</v>
      </c>
      <c r="G7" s="3223">
        <v>1.7</v>
      </c>
      <c r="H7" s="3223">
        <v>7952.04</v>
      </c>
      <c r="I7" s="3223">
        <f t="shared" si="1"/>
        <v>0.27</v>
      </c>
    </row>
    <row r="8" spans="1:9">
      <c r="A8" s="3224" t="s">
        <v>3369</v>
      </c>
      <c r="B8" s="3224" t="s">
        <v>3362</v>
      </c>
      <c r="C8" s="3224" t="s">
        <v>3354</v>
      </c>
      <c r="D8" s="3223">
        <v>7004</v>
      </c>
      <c r="E8" s="3223">
        <v>16779</v>
      </c>
      <c r="F8" s="3223">
        <f>ROUND(E8/D8,2)</f>
        <v>2.4</v>
      </c>
      <c r="G8" s="3223">
        <v>1.7</v>
      </c>
      <c r="H8" s="3223">
        <v>1891.08</v>
      </c>
      <c r="I8" s="3223">
        <f t="shared" si="1"/>
        <v>0.26999999999999996</v>
      </c>
    </row>
    <row r="9" spans="1:9">
      <c r="A9" s="3224" t="s">
        <v>3370</v>
      </c>
      <c r="B9" s="3224" t="s">
        <v>3363</v>
      </c>
      <c r="C9" s="3224" t="s">
        <v>3355</v>
      </c>
      <c r="D9" s="3223">
        <v>7792</v>
      </c>
      <c r="E9" s="3223">
        <v>11688</v>
      </c>
      <c r="F9" s="3223">
        <f>E9/D9</f>
        <v>1.5</v>
      </c>
      <c r="G9" s="3223">
        <v>1.7</v>
      </c>
      <c r="H9" s="3223">
        <v>2103.84</v>
      </c>
      <c r="I9" s="3223">
        <f t="shared" si="1"/>
        <v>0.27</v>
      </c>
    </row>
    <row r="10" spans="1:9">
      <c r="A10" s="3223"/>
      <c r="B10" s="3223"/>
      <c r="C10" s="3223"/>
      <c r="D10" s="3223">
        <f>SUM(D2:D9)</f>
        <v>175351</v>
      </c>
      <c r="E10" s="3223">
        <f>SUM(E2:E9)</f>
        <v>269299.5</v>
      </c>
      <c r="F10" s="3224" t="s">
        <v>3379</v>
      </c>
      <c r="G10" s="3224" t="s">
        <v>3380</v>
      </c>
      <c r="H10" s="3223">
        <f>SUM(H2:H9)</f>
        <v>47344.770000000004</v>
      </c>
      <c r="I10" s="3223"/>
    </row>
    <row r="23" spans="2:6" ht="14.25" thickBot="1"/>
    <row r="24" spans="2:6" ht="14.25" thickBot="1">
      <c r="B24" s="3529">
        <v>40652</v>
      </c>
      <c r="C24" s="3530">
        <v>60978</v>
      </c>
      <c r="D24" s="3530">
        <f>ROUND(F24/B24*10000,0)</f>
        <v>4740</v>
      </c>
      <c r="E24" s="3530">
        <v>3160</v>
      </c>
      <c r="F24" s="3531">
        <v>19269</v>
      </c>
    </row>
    <row r="25" spans="2:6" ht="14.25" thickBot="1">
      <c r="B25" s="3532">
        <v>23778</v>
      </c>
      <c r="C25" s="3533">
        <v>35667</v>
      </c>
      <c r="D25" s="3530">
        <f t="shared" ref="D25:D31" si="2">ROUND(F25/B25*10000,0)</f>
        <v>4598</v>
      </c>
      <c r="E25" s="3533">
        <v>3065</v>
      </c>
      <c r="F25" s="3533">
        <v>10932</v>
      </c>
    </row>
    <row r="26" spans="2:6" ht="14.25" thickBot="1">
      <c r="B26" s="3532">
        <v>3856</v>
      </c>
      <c r="C26" s="3533">
        <v>5784</v>
      </c>
      <c r="D26" s="3530">
        <f t="shared" si="2"/>
        <v>4455</v>
      </c>
      <c r="E26" s="3533">
        <v>2970</v>
      </c>
      <c r="F26" s="3533">
        <v>1718</v>
      </c>
    </row>
    <row r="27" spans="2:6" ht="14.25" thickBot="1">
      <c r="B27" s="3532">
        <v>31355</v>
      </c>
      <c r="C27" s="3533">
        <v>47032.5</v>
      </c>
      <c r="D27" s="3530">
        <f t="shared" si="2"/>
        <v>4646</v>
      </c>
      <c r="E27" s="3533">
        <v>3097</v>
      </c>
      <c r="F27" s="3533">
        <v>14566</v>
      </c>
    </row>
    <row r="28" spans="2:6" ht="14.25" thickBot="1">
      <c r="B28" s="3532">
        <v>31462</v>
      </c>
      <c r="C28" s="3533">
        <v>47193</v>
      </c>
      <c r="D28" s="3530">
        <f t="shared" si="2"/>
        <v>4646</v>
      </c>
      <c r="E28" s="3533">
        <v>3097</v>
      </c>
      <c r="F28" s="3533">
        <v>14616</v>
      </c>
    </row>
    <row r="29" spans="2:6" ht="14.25" thickBot="1">
      <c r="B29" s="3532">
        <v>29452</v>
      </c>
      <c r="C29" s="3533">
        <v>44178</v>
      </c>
      <c r="D29" s="3530">
        <f t="shared" si="2"/>
        <v>4646</v>
      </c>
      <c r="E29" s="3533">
        <v>3097</v>
      </c>
      <c r="F29" s="3533">
        <v>13682</v>
      </c>
    </row>
    <row r="30" spans="2:6" ht="14.25" thickBot="1">
      <c r="B30" s="3532">
        <v>7004</v>
      </c>
      <c r="C30" s="3533">
        <v>11906.8</v>
      </c>
      <c r="D30" s="3530">
        <f t="shared" si="2"/>
        <v>5103</v>
      </c>
      <c r="E30" s="3533">
        <v>3002</v>
      </c>
      <c r="F30" s="3533">
        <v>3574</v>
      </c>
    </row>
    <row r="31" spans="2:6" ht="14.25" thickBot="1">
      <c r="B31" s="3532">
        <v>7792</v>
      </c>
      <c r="C31" s="3533">
        <v>11688</v>
      </c>
      <c r="D31" s="3530">
        <f t="shared" si="2"/>
        <v>4503</v>
      </c>
      <c r="E31" s="3533">
        <v>3002</v>
      </c>
      <c r="F31" s="3534">
        <v>3509</v>
      </c>
    </row>
    <row r="32" spans="2:6">
      <c r="D32" s="3535">
        <f>81886/175351*10000</f>
        <v>4669.833647940417</v>
      </c>
    </row>
  </sheetData>
  <phoneticPr fontId="22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9" t="s">
        <v>2036</v>
      </c>
      <c r="B1" s="3229"/>
      <c r="C1" s="3229"/>
      <c r="D1" s="3229"/>
      <c r="E1" s="3229"/>
      <c r="F1" s="3229"/>
      <c r="G1" s="3229"/>
      <c r="H1" s="3229"/>
      <c r="I1" s="3229"/>
      <c r="J1" s="3229"/>
      <c r="K1" s="3229"/>
      <c r="L1" s="3229"/>
      <c r="M1" s="3229"/>
      <c r="N1" s="3229"/>
      <c r="O1" s="3229"/>
      <c r="P1" s="3229"/>
      <c r="Q1" s="3229"/>
      <c r="R1" s="3229"/>
    </row>
    <row r="2" spans="1:18">
      <c r="A2" s="1793" t="s">
        <v>2038</v>
      </c>
      <c r="B2" s="1793"/>
      <c r="C2" s="1793"/>
      <c r="D2" s="1793"/>
      <c r="E2" s="1793"/>
      <c r="F2" s="1793"/>
      <c r="G2" s="1793"/>
      <c r="H2" s="1793"/>
      <c r="I2" s="1794"/>
      <c r="J2" s="1794"/>
      <c r="K2" s="1795" t="str">
        <f>"估价期日："&amp;TEXT(项目基本情况!D3,"yyyy年m月d日;;")</f>
        <v>估价期日：2019年5月22日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0" t="s">
        <v>2027</v>
      </c>
      <c r="B3" s="3230" t="s">
        <v>2727</v>
      </c>
      <c r="C3" s="3231" t="s">
        <v>2028</v>
      </c>
      <c r="D3" s="3230" t="s">
        <v>2731</v>
      </c>
      <c r="E3" s="3233" t="s">
        <v>2029</v>
      </c>
      <c r="F3" s="3233"/>
      <c r="G3" s="3233"/>
      <c r="H3" s="3233" t="s">
        <v>2030</v>
      </c>
      <c r="I3" s="3233"/>
      <c r="J3" s="3233"/>
      <c r="K3" s="3231" t="s">
        <v>2031</v>
      </c>
      <c r="L3" s="3231" t="s">
        <v>2032</v>
      </c>
      <c r="M3" s="3230" t="s">
        <v>2728</v>
      </c>
      <c r="N3" s="3232" t="str">
        <f>"（分摊）"&amp;项目基本情况!B16&amp;"国有建设用地使用权面积/㎡"</f>
        <v>（分摊）出让国有建设用地使用权面积/㎡</v>
      </c>
      <c r="O3" s="3230" t="s">
        <v>2061</v>
      </c>
      <c r="P3" s="3231" t="s">
        <v>2041</v>
      </c>
      <c r="Q3" s="3231" t="s">
        <v>2062</v>
      </c>
      <c r="R3" s="3231" t="s">
        <v>2033</v>
      </c>
    </row>
    <row r="4" spans="1:18" ht="36.75" customHeight="1">
      <c r="A4" s="3230"/>
      <c r="B4" s="3230"/>
      <c r="C4" s="3231"/>
      <c r="D4" s="3230"/>
      <c r="E4" s="2614" t="s">
        <v>2040</v>
      </c>
      <c r="F4" s="2614" t="s">
        <v>2740</v>
      </c>
      <c r="G4" s="2614" t="s">
        <v>2034</v>
      </c>
      <c r="H4" s="2614" t="s">
        <v>2035</v>
      </c>
      <c r="I4" s="2614" t="s">
        <v>2741</v>
      </c>
      <c r="J4" s="2614" t="s">
        <v>2034</v>
      </c>
      <c r="K4" s="3231"/>
      <c r="L4" s="3231"/>
      <c r="M4" s="3230"/>
      <c r="N4" s="3232"/>
      <c r="O4" s="3230"/>
      <c r="P4" s="3231"/>
      <c r="Q4" s="3231"/>
      <c r="R4" s="3231"/>
    </row>
    <row r="5" spans="1:18" ht="135" customHeight="1">
      <c r="A5" s="1929" t="s">
        <v>2651</v>
      </c>
      <c r="B5" s="2823" t="s">
        <v>2649</v>
      </c>
      <c r="C5" s="2613">
        <v>22</v>
      </c>
      <c r="D5" s="2612" t="s">
        <v>2650</v>
      </c>
      <c r="E5" s="1796" t="str">
        <f>项目基本情况!B12</f>
        <v>其它商服用地</v>
      </c>
      <c r="F5" s="2612">
        <v>258</v>
      </c>
      <c r="G5" s="1796" t="str">
        <f>项目基本情况!B13</f>
        <v>商业</v>
      </c>
      <c r="H5" s="2612">
        <v>1.5</v>
      </c>
      <c r="I5" s="2612">
        <v>1.5</v>
      </c>
      <c r="J5" s="2612">
        <v>1.5</v>
      </c>
      <c r="K5" s="1796" t="str">
        <f>"红线外"&amp;项目基本情况!T40&amp;"、宗地红线内"&amp;项目基本情况!B35</f>
        <v>红线外七通、宗地红线内场地平整</v>
      </c>
      <c r="L5" s="1796" t="str">
        <f>"红线外"&amp;项目基本情况!T40&amp;"、宗地红线内场地"&amp;项目基本情况!D36</f>
        <v>红线外七通、宗地红线内场地平整</v>
      </c>
      <c r="M5" s="1796">
        <f>IF(项目基本情况!B16="出让",项目基本情况!D20,"——")</f>
        <v>0</v>
      </c>
      <c r="N5" s="1796">
        <f>项目基本情况!C22</f>
        <v>40652</v>
      </c>
      <c r="O5" s="1796">
        <f>项目基本情况!C21</f>
        <v>60978</v>
      </c>
      <c r="P5" s="1796">
        <f ca="1">结果表!E42</f>
        <v>4740</v>
      </c>
      <c r="Q5" s="1796">
        <f ca="1">结果表!D42</f>
        <v>3160</v>
      </c>
      <c r="R5" s="1797">
        <f ca="1">结果表!C42</f>
        <v>19269</v>
      </c>
    </row>
    <row r="6" spans="1:18">
      <c r="A6" s="3226" t="str">
        <f>IF(项目基本情况!B9="市场价格","——","抵押价格")</f>
        <v>抵押价格</v>
      </c>
      <c r="B6" s="3227"/>
      <c r="C6" s="3227"/>
      <c r="D6" s="3227"/>
      <c r="E6" s="3227"/>
      <c r="F6" s="3227"/>
      <c r="G6" s="3227"/>
      <c r="H6" s="3227"/>
      <c r="I6" s="3227"/>
      <c r="J6" s="3227"/>
      <c r="K6" s="3227"/>
      <c r="L6" s="3227"/>
      <c r="M6" s="3227"/>
      <c r="N6" s="3227"/>
      <c r="O6" s="3227"/>
      <c r="P6" s="3227"/>
      <c r="Q6" s="3228"/>
      <c r="R6" s="1798">
        <f ca="1">结果表!O39</f>
        <v>19269</v>
      </c>
    </row>
    <row r="7" spans="1:18">
      <c r="A7" s="3226" t="str">
        <f>IF(项目基本情况!B9="市场价格","——",IF(项目基本情况!E8="已注销及未注销","抵押担保权已注销时的抵押价格","——"))</f>
        <v>——</v>
      </c>
      <c r="B7" s="3227"/>
      <c r="C7" s="3227"/>
      <c r="D7" s="3227"/>
      <c r="E7" s="3227"/>
      <c r="F7" s="3227"/>
      <c r="G7" s="3227"/>
      <c r="H7" s="3227"/>
      <c r="I7" s="3227"/>
      <c r="J7" s="3227"/>
      <c r="K7" s="3227"/>
      <c r="L7" s="3227"/>
      <c r="M7" s="3227"/>
      <c r="N7" s="3227"/>
      <c r="O7" s="3227"/>
      <c r="P7" s="3227"/>
      <c r="Q7" s="3228"/>
      <c r="R7" s="1798" t="str">
        <f>结果表!O40</f>
        <v>——</v>
      </c>
    </row>
    <row r="8" spans="1:18">
      <c r="A8" s="3226" t="str">
        <f>IF(项目基本情况!B9="市场价格","——",项目基本情况!E9)</f>
        <v>抵押净值</v>
      </c>
      <c r="B8" s="3227"/>
      <c r="C8" s="3227"/>
      <c r="D8" s="3227"/>
      <c r="E8" s="3227"/>
      <c r="F8" s="3227"/>
      <c r="G8" s="3227"/>
      <c r="H8" s="3227"/>
      <c r="I8" s="3227"/>
      <c r="J8" s="3227"/>
      <c r="K8" s="3227"/>
      <c r="L8" s="3227"/>
      <c r="M8" s="3227"/>
      <c r="N8" s="3227"/>
      <c r="O8" s="3227"/>
      <c r="P8" s="3227"/>
      <c r="Q8" s="3228"/>
      <c r="R8" s="1798">
        <f ca="1">结果表!O41</f>
        <v>6893</v>
      </c>
    </row>
    <row r="9" spans="1:18">
      <c r="A9" s="1799" t="s">
        <v>2039</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2026</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34" t="s">
        <v>2063</v>
      </c>
      <c r="B1" s="3234"/>
      <c r="C1" s="3234"/>
      <c r="D1" s="3234"/>
    </row>
    <row r="2" spans="1:4" ht="47.25" customHeight="1">
      <c r="A2" s="3238" t="str">
        <f>"1.权利限制："&amp;项目基本情况!L24&amp;"未设定租赁等其他他项权利。"</f>
        <v>1.权利限制：根据估价对象《国有土地使用证》原件，截至估价期日，估价对象已设定抵押。未设定租赁等其他他项权利。</v>
      </c>
      <c r="B2" s="3238"/>
      <c r="C2" s="3238"/>
      <c r="D2" s="3238"/>
    </row>
    <row r="3" spans="1:4" ht="48" customHeight="1">
      <c r="A3" s="32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34"/>
      <c r="C3" s="3234"/>
      <c r="D3" s="3234"/>
    </row>
    <row r="4" spans="1:4" ht="36.75" customHeight="1">
      <c r="A4" s="3234" t="str">
        <f>"3.估价规划限制条件：详见"&amp;项目基本情况!E21&amp;"。"</f>
        <v>3.估价规划限制条件：详见《建设工程规划许可证》[]、《出让合同》[]。</v>
      </c>
      <c r="B4" s="3234"/>
      <c r="C4" s="3234"/>
      <c r="D4" s="3234"/>
    </row>
    <row r="5" spans="1:4">
      <c r="A5" s="3237" t="s">
        <v>2064</v>
      </c>
      <c r="B5" s="3237"/>
      <c r="C5" s="3237"/>
      <c r="D5" s="3237"/>
    </row>
    <row r="6" spans="1:4">
      <c r="A6" s="3234" t="s">
        <v>2042</v>
      </c>
      <c r="B6" s="3234"/>
      <c r="C6" s="3234"/>
      <c r="D6" s="3234"/>
    </row>
    <row r="7" spans="1:4" ht="33" customHeight="1">
      <c r="A7" s="3234" t="s">
        <v>2571</v>
      </c>
      <c r="B7" s="3234"/>
      <c r="C7" s="3234"/>
      <c r="D7" s="3234"/>
    </row>
    <row r="8" spans="1:4" ht="32.25" customHeight="1">
      <c r="A8" s="32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4"/>
      <c r="C8" s="3234"/>
      <c r="D8" s="3234"/>
    </row>
    <row r="9" spans="1:4" ht="33.75" customHeight="1">
      <c r="A9" s="32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4"/>
      <c r="C9" s="3234"/>
      <c r="D9" s="3234"/>
    </row>
    <row r="10" spans="1:4">
      <c r="A10" s="3234" t="str">
        <f>IF(项目基本情况!B8="抵押","4.估价师所知悉的法定优先受偿款情况为：","——")</f>
        <v>4.估价师所知悉的法定优先受偿款情况为：</v>
      </c>
      <c r="B10" s="3234"/>
      <c r="C10" s="3234"/>
      <c r="D10" s="3234"/>
    </row>
    <row r="11" spans="1:4" ht="37.5" customHeight="1">
      <c r="A11" s="3236"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6"/>
      <c r="C11" s="3236"/>
      <c r="D11" s="3236"/>
    </row>
    <row r="12" spans="1:4" ht="168" customHeight="1">
      <c r="A12" s="3237" t="s">
        <v>2066</v>
      </c>
      <c r="B12" s="3237"/>
      <c r="C12" s="3237"/>
      <c r="D12" s="3237"/>
    </row>
    <row r="13" spans="1:4">
      <c r="A13" s="3235" t="s">
        <v>2742</v>
      </c>
      <c r="B13" s="3235"/>
      <c r="C13" s="3235"/>
      <c r="D13" s="3235"/>
    </row>
    <row r="14" spans="1:4">
      <c r="A14" s="3236" t="str">
        <f>IF(项目基本情况!B8="抵押","综上，"&amp;结果表!K47,"——")</f>
        <v>综上，本次评估不存在估价师知悉的法定优先受偿款</v>
      </c>
      <c r="B14" s="3236"/>
      <c r="C14" s="3236"/>
      <c r="D14" s="3236"/>
    </row>
    <row r="15" spans="1:4" ht="58.5" customHeight="1">
      <c r="A15" s="32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4"/>
      <c r="C15" s="3234"/>
      <c r="D15" s="3234"/>
    </row>
    <row r="16" spans="1:4" ht="70.5" customHeight="1">
      <c r="A16" s="32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4"/>
      <c r="C16" s="3234"/>
      <c r="D16" s="3234"/>
    </row>
    <row r="17" spans="1:4">
      <c r="A17" s="3234" t="s">
        <v>2698</v>
      </c>
      <c r="B17" s="3234"/>
      <c r="C17" s="3234"/>
      <c r="D17" s="3234"/>
    </row>
    <row r="18" spans="1:4">
      <c r="A18" s="3234" t="s">
        <v>2690</v>
      </c>
      <c r="B18" s="3234"/>
      <c r="C18" s="3234"/>
      <c r="D18" s="3234"/>
    </row>
    <row r="19" spans="1:4">
      <c r="A19" s="2824" t="s">
        <v>2691</v>
      </c>
      <c r="B19" s="2824" t="s">
        <v>2692</v>
      </c>
      <c r="C19" s="2824" t="s">
        <v>2693</v>
      </c>
      <c r="D19" s="2824" t="s">
        <v>2694</v>
      </c>
    </row>
    <row r="20" spans="1:4">
      <c r="A20" s="2824" t="str">
        <f>项目基本情况!B4</f>
        <v>王鹏</v>
      </c>
      <c r="B20" s="2824">
        <f ca="1">项目基本情况!C4</f>
        <v>2002110030</v>
      </c>
      <c r="C20" s="2826"/>
      <c r="D20" s="1786" t="s">
        <v>2699</v>
      </c>
    </row>
    <row r="21" spans="1:4">
      <c r="A21" s="2824" t="str">
        <f>项目基本情况!D4</f>
        <v>郑燚</v>
      </c>
      <c r="B21" s="2824">
        <f ca="1">项目基本情况!E4</f>
        <v>2014110011</v>
      </c>
      <c r="C21" s="2826"/>
      <c r="D21" s="1786" t="s">
        <v>2700</v>
      </c>
    </row>
    <row r="23" spans="1:4">
      <c r="A23" s="3234" t="s">
        <v>2695</v>
      </c>
      <c r="B23" s="3234"/>
      <c r="C23" s="3234"/>
      <c r="D23" s="3234"/>
    </row>
    <row r="24" spans="1:4">
      <c r="A24" s="2824" t="s">
        <v>2691</v>
      </c>
      <c r="B24" s="2824" t="s">
        <v>2696</v>
      </c>
      <c r="C24" s="2824" t="s">
        <v>2693</v>
      </c>
      <c r="D24" s="2824" t="s">
        <v>2694</v>
      </c>
    </row>
    <row r="25" spans="1:4">
      <c r="A25" s="2827" t="s">
        <v>2697</v>
      </c>
      <c r="B25" s="2824" t="s">
        <v>951</v>
      </c>
      <c r="C25" s="2826"/>
      <c r="D25" s="1786" t="s">
        <v>2700</v>
      </c>
    </row>
    <row r="29" spans="1:4">
      <c r="D29" s="2825" t="s">
        <v>2037</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25">
      <c r="A15" s="3246" t="s">
        <v>53</v>
      </c>
      <c r="B15" s="3247" t="s">
        <v>845</v>
      </c>
      <c r="C15" s="3243"/>
    </row>
    <row r="16" spans="1:7" ht="14.25">
      <c r="A16" s="3246"/>
      <c r="B16" s="3244" t="s">
        <v>54</v>
      </c>
      <c r="C16" s="1168" t="s">
        <v>53</v>
      </c>
    </row>
    <row r="17" spans="1:3" ht="14.25">
      <c r="A17" s="3246"/>
      <c r="B17" s="3244"/>
      <c r="C17" s="1168" t="s">
        <v>55</v>
      </c>
    </row>
    <row r="18" spans="1:3" ht="14.25">
      <c r="A18" s="3246"/>
      <c r="B18" s="3244"/>
      <c r="C18" s="1168" t="s">
        <v>56</v>
      </c>
    </row>
    <row r="19" spans="1:3" ht="14.25">
      <c r="A19" s="3246"/>
      <c r="B19" s="3242" t="s">
        <v>57</v>
      </c>
      <c r="C19" s="3243"/>
    </row>
    <row r="20" spans="1:3" ht="14.25">
      <c r="A20" s="1169" t="s">
        <v>58</v>
      </c>
      <c r="B20" s="1170"/>
      <c r="C20" s="1171"/>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2" t="s">
        <v>836</v>
      </c>
    </row>
    <row r="25" spans="1:3" ht="14.25">
      <c r="A25" s="3245"/>
      <c r="B25" s="3249"/>
      <c r="C25" s="1172" t="s">
        <v>837</v>
      </c>
    </row>
    <row r="26" spans="1:3" ht="14.25">
      <c r="A26" s="3245"/>
      <c r="B26" s="3249"/>
      <c r="C26" s="1172" t="s">
        <v>838</v>
      </c>
    </row>
    <row r="27" spans="1:3" ht="14.25">
      <c r="A27" s="3245"/>
      <c r="B27" s="3249"/>
      <c r="C27" s="1172" t="s">
        <v>839</v>
      </c>
    </row>
    <row r="28" spans="1:3" ht="14.25">
      <c r="A28" s="3245"/>
      <c r="B28" s="3249"/>
      <c r="C28" s="1172" t="s">
        <v>840</v>
      </c>
    </row>
    <row r="29" spans="1:3" ht="14.25">
      <c r="A29" s="3245"/>
      <c r="B29" s="3249"/>
      <c r="C29" s="1172" t="s">
        <v>841</v>
      </c>
    </row>
    <row r="30" spans="1:3" ht="14.25">
      <c r="A30" s="3245"/>
      <c r="B30" s="3249"/>
      <c r="C30" s="1172" t="s">
        <v>842</v>
      </c>
    </row>
    <row r="31" spans="1:3" ht="14.25">
      <c r="A31" s="3245"/>
      <c r="B31" s="3249"/>
      <c r="C31" s="1172" t="s">
        <v>843</v>
      </c>
    </row>
    <row r="32" spans="1:3" ht="14.25">
      <c r="A32" s="3245"/>
      <c r="B32" s="3249"/>
      <c r="C32" s="1172" t="s">
        <v>1645</v>
      </c>
    </row>
    <row r="33" spans="1:3" ht="14.25">
      <c r="A33" s="3245"/>
      <c r="B33" s="3239" t="s">
        <v>1651</v>
      </c>
      <c r="C33" s="1172" t="s">
        <v>1646</v>
      </c>
    </row>
    <row r="34" spans="1:3" ht="14.25">
      <c r="A34" s="3245"/>
      <c r="B34" s="3240"/>
      <c r="C34" s="1177" t="s">
        <v>1647</v>
      </c>
    </row>
    <row r="35" spans="1:3" ht="14.25">
      <c r="A35" s="3245"/>
      <c r="B35" s="3240"/>
      <c r="C35" s="1178" t="s">
        <v>1648</v>
      </c>
    </row>
    <row r="36" spans="1:3" ht="14.25">
      <c r="A36" s="3245"/>
      <c r="B36" s="3240"/>
      <c r="C36" s="1178" t="s">
        <v>1649</v>
      </c>
    </row>
    <row r="37" spans="1:3" ht="14.25">
      <c r="A37" s="3245"/>
      <c r="B37" s="3241"/>
      <c r="C37" s="1179" t="s">
        <v>1650</v>
      </c>
    </row>
    <row r="38" spans="1:3">
      <c r="A38" s="1173" t="s">
        <v>844</v>
      </c>
    </row>
    <row r="41" spans="1:3">
      <c r="A41" s="1173" t="s">
        <v>68</v>
      </c>
    </row>
    <row r="42" spans="1:3" ht="14.25">
      <c r="A42" s="1174" t="s">
        <v>852</v>
      </c>
    </row>
    <row r="43" spans="1:3" ht="14.25">
      <c r="A43" s="1175" t="s">
        <v>69</v>
      </c>
    </row>
    <row r="44" spans="1:3" ht="14.25">
      <c r="A44" s="1174" t="s">
        <v>851</v>
      </c>
    </row>
    <row r="45" spans="1:3" ht="14.25">
      <c r="A45" s="1176" t="s">
        <v>853</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31" customWidth="1"/>
    <col min="2" max="5" width="22.625" style="3131"/>
    <col min="6" max="6" width="25.625" style="3131" customWidth="1"/>
    <col min="7" max="16384" width="22.625" style="3131"/>
  </cols>
  <sheetData>
    <row r="2" spans="1:6" ht="20.25" customHeight="1">
      <c r="A2" s="3128" t="s">
        <v>1906</v>
      </c>
      <c r="B2" s="3129">
        <f ca="1">TODAY()</f>
        <v>43622</v>
      </c>
      <c r="C2" s="3130" t="s">
        <v>1907</v>
      </c>
      <c r="D2" s="3130"/>
    </row>
    <row r="3" spans="1:6" ht="20.25" customHeight="1">
      <c r="A3" s="3132" t="s">
        <v>1908</v>
      </c>
      <c r="B3" s="3133" t="s">
        <v>1909</v>
      </c>
      <c r="C3" s="3133" t="s">
        <v>1910</v>
      </c>
      <c r="D3" s="3134" t="s">
        <v>1911</v>
      </c>
      <c r="E3" s="3133" t="s">
        <v>1912</v>
      </c>
      <c r="F3" s="3133" t="s">
        <v>1910</v>
      </c>
    </row>
    <row r="4" spans="1:6" ht="20.25" customHeight="1">
      <c r="A4" s="3133" t="s">
        <v>1913</v>
      </c>
      <c r="B4" s="3133">
        <f ca="1">IF(C4&lt;B2,"已过期",1119970066)</f>
        <v>1119970066</v>
      </c>
      <c r="C4" s="3135">
        <v>43849</v>
      </c>
      <c r="D4" s="3133" t="s">
        <v>1913</v>
      </c>
      <c r="E4" s="3133">
        <f ca="1">IF(F4&lt;B2,"已过期",96010014)</f>
        <v>96010014</v>
      </c>
      <c r="F4" s="3136">
        <v>47118</v>
      </c>
    </row>
    <row r="5" spans="1:6" ht="20.25" customHeight="1">
      <c r="A5" s="3133" t="s">
        <v>1914</v>
      </c>
      <c r="B5" s="3133">
        <f ca="1">IF(C5&lt;B2,"已过期",1119970074)</f>
        <v>1119970074</v>
      </c>
      <c r="C5" s="3135">
        <v>43849</v>
      </c>
      <c r="D5" s="3133" t="s">
        <v>1914</v>
      </c>
      <c r="E5" s="3133">
        <f ca="1">IF(F5&lt;B2,"已过期",2002110027)</f>
        <v>2002110027</v>
      </c>
      <c r="F5" s="3136">
        <v>46752</v>
      </c>
    </row>
    <row r="6" spans="1:6" ht="20.25" customHeight="1">
      <c r="A6" s="3133" t="s">
        <v>1915</v>
      </c>
      <c r="B6" s="3133">
        <f ca="1">IF(C6&lt;B2,"已过期",1119970111)</f>
        <v>1119970111</v>
      </c>
      <c r="C6" s="3135">
        <v>43849</v>
      </c>
      <c r="D6" s="3133" t="s">
        <v>1915</v>
      </c>
      <c r="E6" s="3133">
        <f ca="1">IF(F6&lt;B2,"已过期",94010078)</f>
        <v>94010078</v>
      </c>
      <c r="F6" s="3136">
        <v>46387</v>
      </c>
    </row>
    <row r="7" spans="1:6" ht="20.25" customHeight="1">
      <c r="A7" s="3133" t="s">
        <v>1916</v>
      </c>
      <c r="B7" s="3133">
        <f ca="1">IF(C7&lt;B2,"已过期",1120050019)</f>
        <v>1120050019</v>
      </c>
      <c r="C7" s="3135">
        <v>44395</v>
      </c>
      <c r="D7" s="3133" t="s">
        <v>1916</v>
      </c>
      <c r="E7" s="3133">
        <f ca="1">IF(F7&lt;B2,"已过期",2002110030)</f>
        <v>2002110030</v>
      </c>
      <c r="F7" s="3136">
        <v>46387</v>
      </c>
    </row>
    <row r="8" spans="1:6" ht="20.25" customHeight="1">
      <c r="A8" s="3133" t="s">
        <v>1917</v>
      </c>
      <c r="B8" s="3133">
        <f ca="1">IF(C8&lt;B2,"已过期",1120000080)</f>
        <v>1120000080</v>
      </c>
      <c r="C8" s="3135">
        <v>43849</v>
      </c>
      <c r="D8" s="3133" t="s">
        <v>1917</v>
      </c>
      <c r="E8" s="3133">
        <f ca="1">IF(F8&lt;B2,"已过期",2000110082)</f>
        <v>2000110082</v>
      </c>
      <c r="F8" s="3136">
        <v>46387</v>
      </c>
    </row>
    <row r="9" spans="1:6" ht="20.25" customHeight="1">
      <c r="A9" s="3133" t="s">
        <v>1918</v>
      </c>
      <c r="B9" s="3133">
        <f ca="1">IF(C9&lt;B2,"已过期",1419970001)</f>
        <v>1419970001</v>
      </c>
      <c r="C9" s="3135">
        <v>43867</v>
      </c>
      <c r="D9" s="3133" t="s">
        <v>1918</v>
      </c>
      <c r="E9" s="3133">
        <f ca="1">IF(F9&lt;B2,"已过期",2002110125)</f>
        <v>2002110125</v>
      </c>
      <c r="F9" s="3136">
        <v>47118</v>
      </c>
    </row>
    <row r="10" spans="1:6" ht="20.25" customHeight="1">
      <c r="A10" s="3133" t="s">
        <v>1919</v>
      </c>
      <c r="B10" s="3133" t="str">
        <f ca="1">IF(C10&lt;B2,"已过期",1120060040)</f>
        <v>已过期</v>
      </c>
      <c r="C10" s="3135">
        <v>43483</v>
      </c>
      <c r="D10" s="3133" t="s">
        <v>1919</v>
      </c>
      <c r="E10" s="3133">
        <f ca="1">IF(F10&lt;B2,"已过期",2004110096)</f>
        <v>2004110096</v>
      </c>
      <c r="F10" s="3136">
        <v>47118</v>
      </c>
    </row>
    <row r="11" spans="1:6" ht="20.25" customHeight="1">
      <c r="A11" s="3133" t="s">
        <v>1920</v>
      </c>
      <c r="B11" s="3133">
        <f ca="1">IF(C11&lt;B2,"已过期",1120100036)</f>
        <v>1120100036</v>
      </c>
      <c r="C11" s="3135">
        <v>43622</v>
      </c>
      <c r="D11" s="3133" t="s">
        <v>1920</v>
      </c>
      <c r="E11" s="3133">
        <f ca="1">IF(F11&lt;B2,"已过期",2010110070)</f>
        <v>2010110070</v>
      </c>
      <c r="F11" s="3136">
        <v>47907</v>
      </c>
    </row>
    <row r="12" spans="1:6" ht="20.25" customHeight="1">
      <c r="A12" s="3133"/>
      <c r="B12" s="3133"/>
      <c r="C12" s="3135"/>
      <c r="D12" s="3133"/>
      <c r="E12" s="3133"/>
      <c r="F12" s="3136"/>
    </row>
    <row r="13" spans="1:6" ht="20.25" customHeight="1">
      <c r="A13" s="3133" t="s">
        <v>1921</v>
      </c>
      <c r="B13" s="3133">
        <f ca="1">IF(C13&lt;B2,"已过期",1120070131)</f>
        <v>1120070131</v>
      </c>
      <c r="C13" s="3135">
        <v>43814</v>
      </c>
      <c r="D13" s="3133" t="s">
        <v>1921</v>
      </c>
      <c r="E13" s="3133">
        <f ca="1">IF(F13&lt;B2,"已过期",2014110011)</f>
        <v>2014110011</v>
      </c>
      <c r="F13" s="3136">
        <v>49302</v>
      </c>
    </row>
    <row r="14" spans="1:6" ht="20.25" customHeight="1">
      <c r="A14" s="3133" t="s">
        <v>2977</v>
      </c>
      <c r="B14" s="3133">
        <f ca="1">IF(C14&lt;B2,"已过期",1120040230)</f>
        <v>1120040230</v>
      </c>
      <c r="C14" s="3137">
        <v>43835</v>
      </c>
      <c r="D14" s="3138" t="s">
        <v>2978</v>
      </c>
      <c r="E14" s="3133">
        <f ca="1">IF(F14&lt;B2,"已过期",98030020)</f>
        <v>98030020</v>
      </c>
      <c r="F14" s="3136">
        <v>47118</v>
      </c>
    </row>
    <row r="15" spans="1:6" ht="20.25" customHeight="1">
      <c r="A15" s="3133" t="s">
        <v>2570</v>
      </c>
      <c r="B15" s="3133">
        <f ca="1">IF(C15&lt;B2,"已过期",1120070085)</f>
        <v>1120070085</v>
      </c>
      <c r="C15" s="3137">
        <v>43814</v>
      </c>
      <c r="D15" s="3133" t="s">
        <v>2979</v>
      </c>
      <c r="E15" s="3133">
        <f ca="1">IF(F15&lt;B2,"已过期",2004110128)</f>
        <v>2004110128</v>
      </c>
      <c r="F15" s="3139">
        <v>47118</v>
      </c>
    </row>
    <row r="16" spans="1:6" ht="20.25" customHeight="1">
      <c r="A16" s="3133" t="s">
        <v>1922</v>
      </c>
      <c r="B16" s="3133">
        <f ca="1">IF(C16&lt;B2,"已过期",1120140022)</f>
        <v>1120140022</v>
      </c>
      <c r="C16" s="3135">
        <v>44029</v>
      </c>
      <c r="D16" s="3133" t="s">
        <v>2980</v>
      </c>
      <c r="E16" s="3133">
        <f ca="1">IF(F16&lt;B2,"已过期",2008110059)</f>
        <v>2008110059</v>
      </c>
      <c r="F16" s="3136">
        <v>47177</v>
      </c>
    </row>
    <row r="17" spans="1:7" ht="20.25" customHeight="1">
      <c r="A17" s="3133"/>
      <c r="B17" s="3133"/>
      <c r="C17" s="3135"/>
      <c r="D17" s="3138" t="s">
        <v>2981</v>
      </c>
      <c r="E17" s="3133">
        <f ca="1">IF(F17&lt;B2,"已过期",2014110076)</f>
        <v>2014110076</v>
      </c>
      <c r="F17" s="3136">
        <v>49302</v>
      </c>
    </row>
    <row r="18" spans="1:7" ht="20.25" customHeight="1">
      <c r="A18" s="3133"/>
      <c r="B18" s="3133"/>
      <c r="C18" s="3135"/>
      <c r="D18" s="3133"/>
      <c r="E18" s="3133"/>
      <c r="F18" s="3136"/>
    </row>
    <row r="19" spans="1:7" ht="20.25" customHeight="1">
      <c r="A19" s="3133"/>
      <c r="B19" s="3133"/>
      <c r="C19" s="3135"/>
      <c r="D19" s="3133"/>
      <c r="E19" s="3133"/>
      <c r="F19" s="3133"/>
    </row>
    <row r="20" spans="1:7" ht="20.25" customHeight="1">
      <c r="A20" s="3133"/>
      <c r="B20" s="3133"/>
      <c r="C20" s="3135"/>
      <c r="D20" s="3133"/>
      <c r="E20" s="3133"/>
      <c r="F20" s="3133"/>
    </row>
    <row r="21" spans="1:7" ht="20.25" customHeight="1">
      <c r="A21" s="3133"/>
      <c r="B21" s="3133"/>
      <c r="C21" s="3135"/>
      <c r="D21" s="3133" t="s">
        <v>1923</v>
      </c>
      <c r="E21" s="3133">
        <f ca="1">IF(F21&lt;B2,"已过期",2011110090)</f>
        <v>2011110090</v>
      </c>
      <c r="F21" s="3136">
        <v>48302</v>
      </c>
    </row>
    <row r="22" spans="1:7" ht="20.25" customHeight="1">
      <c r="A22" s="3133" t="s">
        <v>1924</v>
      </c>
      <c r="B22" s="3133">
        <f ca="1">IF(C22&lt;B2,"已过期",1120020033)</f>
        <v>1120020033</v>
      </c>
      <c r="C22" s="3135">
        <v>44339</v>
      </c>
      <c r="D22" s="3133" t="s">
        <v>1924</v>
      </c>
      <c r="E22" s="3133">
        <f ca="1">IF(F22&lt;B2,"已过期",2000110137)</f>
        <v>2000110137</v>
      </c>
      <c r="F22" s="3136">
        <v>46387</v>
      </c>
    </row>
    <row r="23" spans="1:7" ht="20.25" customHeight="1">
      <c r="A23" s="3133"/>
      <c r="B23" s="3133"/>
      <c r="C23" s="3135"/>
      <c r="D23" s="3133"/>
      <c r="E23" s="3133"/>
      <c r="F23" s="3133"/>
    </row>
    <row r="24" spans="1:7" s="3141" customFormat="1" ht="20.25" customHeight="1">
      <c r="A24" s="3132" t="s">
        <v>2051</v>
      </c>
      <c r="B24" s="3132" t="s">
        <v>2051</v>
      </c>
      <c r="C24" s="3135"/>
      <c r="D24" s="3140" t="s">
        <v>2051</v>
      </c>
      <c r="E24" s="3132" t="s">
        <v>2051</v>
      </c>
      <c r="F24" s="3139"/>
    </row>
    <row r="25" spans="1:7" ht="20.25" customHeight="1">
      <c r="A25" s="3250" t="s">
        <v>1925</v>
      </c>
      <c r="B25" s="3250"/>
      <c r="C25" s="3250"/>
      <c r="D25" s="3250"/>
      <c r="E25" s="3250"/>
      <c r="F25" s="3250"/>
      <c r="G25" s="3250"/>
    </row>
    <row r="26" spans="1:7" ht="20.25" customHeight="1">
      <c r="A26" s="3251" t="s">
        <v>1926</v>
      </c>
      <c r="B26" s="3251"/>
      <c r="C26" s="3251"/>
      <c r="D26" s="3251" t="s">
        <v>1927</v>
      </c>
      <c r="E26" s="3251"/>
      <c r="F26" s="3251"/>
    </row>
    <row r="27" spans="1:7" s="3128" customFormat="1" ht="20.25" customHeight="1">
      <c r="A27" s="3142" t="s">
        <v>1928</v>
      </c>
      <c r="B27" s="3143" t="s">
        <v>1929</v>
      </c>
      <c r="C27" s="3143" t="s">
        <v>1930</v>
      </c>
      <c r="D27" s="3133" t="s">
        <v>1928</v>
      </c>
      <c r="E27" s="3143" t="s">
        <v>1929</v>
      </c>
      <c r="F27" s="3143" t="s">
        <v>1930</v>
      </c>
    </row>
    <row r="28" spans="1:7" s="3128" customFormat="1" ht="20.25" customHeight="1">
      <c r="A28" s="3144" t="s">
        <v>1931</v>
      </c>
      <c r="B28" s="3144" t="s">
        <v>1932</v>
      </c>
      <c r="C28" s="3136">
        <v>43725</v>
      </c>
      <c r="D28" s="3144" t="s">
        <v>1933</v>
      </c>
      <c r="E28" s="3144" t="s">
        <v>1934</v>
      </c>
      <c r="F28" s="3145">
        <v>44377</v>
      </c>
    </row>
    <row r="29" spans="1:7" s="3128" customFormat="1" ht="20.25" customHeight="1">
      <c r="A29" s="3144"/>
      <c r="B29" s="3144"/>
      <c r="C29" s="3146"/>
      <c r="D29" s="3144" t="s">
        <v>1935</v>
      </c>
      <c r="E29" s="3147" t="s">
        <v>2939</v>
      </c>
      <c r="F29" s="3148">
        <v>43281</v>
      </c>
    </row>
    <row r="30" spans="1:7" ht="20.25" customHeight="1">
      <c r="C30" s="3149"/>
      <c r="D30" s="3149"/>
    </row>
  </sheetData>
  <sheetProtection password="C66D" sheet="1" objects="1" scenarios="1"/>
  <mergeCells count="3">
    <mergeCell ref="A25:G25"/>
    <mergeCell ref="A26:C26"/>
    <mergeCell ref="D26:F26"/>
  </mergeCells>
  <phoneticPr fontId="4"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855</v>
      </c>
      <c r="B1" s="5" t="s">
        <v>132</v>
      </c>
      <c r="C1" s="1537"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2541</v>
      </c>
      <c r="R1" s="2547" t="s">
        <v>2535</v>
      </c>
      <c r="S1" s="6" t="s">
        <v>146</v>
      </c>
      <c r="T1" s="7" t="s">
        <v>147</v>
      </c>
      <c r="U1" s="6" t="s">
        <v>148</v>
      </c>
      <c r="V1" s="6" t="s">
        <v>149</v>
      </c>
      <c r="W1" s="1004" t="s">
        <v>873</v>
      </c>
    </row>
    <row r="2" spans="1:23">
      <c r="A2" s="8" t="s">
        <v>73</v>
      </c>
      <c r="B2" s="8" t="s">
        <v>150</v>
      </c>
      <c r="C2" s="1538"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9" t="s">
        <v>1709</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2537</v>
      </c>
      <c r="S3" s="9" t="s">
        <v>84</v>
      </c>
      <c r="T3" s="9" t="s">
        <v>85</v>
      </c>
      <c r="U3" s="9" t="s">
        <v>84</v>
      </c>
      <c r="V3" s="9" t="s">
        <v>86</v>
      </c>
      <c r="W3" s="9" t="s">
        <v>875</v>
      </c>
    </row>
    <row r="4" spans="1:23">
      <c r="A4" s="8" t="s">
        <v>87</v>
      </c>
      <c r="B4" s="8" t="s">
        <v>152</v>
      </c>
      <c r="C4" s="1538" t="s">
        <v>1710</v>
      </c>
      <c r="D4" s="9" t="s">
        <v>1992</v>
      </c>
      <c r="E4" s="9" t="s">
        <v>88</v>
      </c>
      <c r="F4" s="9" t="s">
        <v>89</v>
      </c>
      <c r="G4" s="9">
        <v>70</v>
      </c>
      <c r="H4" s="9" t="s">
        <v>90</v>
      </c>
      <c r="I4" s="9" t="s">
        <v>91</v>
      </c>
      <c r="K4" s="9" t="s">
        <v>92</v>
      </c>
      <c r="L4" s="9" t="s">
        <v>92</v>
      </c>
      <c r="M4" s="9" t="s">
        <v>92</v>
      </c>
      <c r="N4" s="9" t="s">
        <v>92</v>
      </c>
      <c r="O4" s="9" t="s">
        <v>92</v>
      </c>
      <c r="P4" s="1006" t="s">
        <v>760</v>
      </c>
      <c r="Q4" s="9" t="s">
        <v>92</v>
      </c>
      <c r="R4" s="1006" t="s">
        <v>2538</v>
      </c>
      <c r="S4" s="9" t="s">
        <v>92</v>
      </c>
      <c r="T4" s="9" t="s">
        <v>93</v>
      </c>
      <c r="U4" s="9" t="s">
        <v>92</v>
      </c>
      <c r="W4" s="9" t="s">
        <v>876</v>
      </c>
    </row>
    <row r="5" spans="1:23">
      <c r="A5" s="8" t="s">
        <v>94</v>
      </c>
      <c r="B5" s="8" t="s">
        <v>153</v>
      </c>
      <c r="C5" s="1538" t="s">
        <v>1711</v>
      </c>
      <c r="F5" s="9" t="s">
        <v>95</v>
      </c>
      <c r="H5" s="9" t="s">
        <v>70</v>
      </c>
      <c r="I5" s="9" t="s">
        <v>96</v>
      </c>
      <c r="K5" s="9" t="s">
        <v>97</v>
      </c>
      <c r="L5" s="9" t="s">
        <v>97</v>
      </c>
      <c r="M5" s="9" t="s">
        <v>97</v>
      </c>
      <c r="N5" s="9" t="s">
        <v>97</v>
      </c>
      <c r="O5" s="9" t="s">
        <v>97</v>
      </c>
      <c r="P5" s="1006" t="s">
        <v>546</v>
      </c>
      <c r="Q5" s="9" t="s">
        <v>97</v>
      </c>
      <c r="R5" s="1006" t="s">
        <v>2539</v>
      </c>
      <c r="S5" s="9" t="s">
        <v>97</v>
      </c>
      <c r="T5" s="9" t="s">
        <v>98</v>
      </c>
      <c r="U5" s="9" t="s">
        <v>97</v>
      </c>
      <c r="W5" s="9" t="s">
        <v>877</v>
      </c>
    </row>
    <row r="6" spans="1:23">
      <c r="A6" s="8" t="s">
        <v>99</v>
      </c>
      <c r="B6" s="1145" t="s">
        <v>1639</v>
      </c>
      <c r="C6" s="1540"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8" t="s">
        <v>1713</v>
      </c>
      <c r="F7" s="9" t="s">
        <v>154</v>
      </c>
      <c r="H7" s="9" t="s">
        <v>104</v>
      </c>
      <c r="I7" s="9" t="s">
        <v>105</v>
      </c>
    </row>
    <row r="8" spans="1:23">
      <c r="A8" s="8" t="s">
        <v>106</v>
      </c>
      <c r="B8" s="8" t="s">
        <v>107</v>
      </c>
      <c r="C8" s="1538" t="s">
        <v>1714</v>
      </c>
      <c r="F8" s="9" t="s">
        <v>155</v>
      </c>
      <c r="H8" s="9"/>
      <c r="I8" s="9" t="s">
        <v>108</v>
      </c>
    </row>
    <row r="9" spans="1:23">
      <c r="A9" s="8" t="s">
        <v>109</v>
      </c>
      <c r="B9" s="8" t="s">
        <v>156</v>
      </c>
      <c r="C9" s="1538" t="s">
        <v>1715</v>
      </c>
      <c r="F9" s="9" t="s">
        <v>110</v>
      </c>
      <c r="H9" s="9"/>
    </row>
    <row r="10" spans="1:23">
      <c r="A10" s="8" t="s">
        <v>111</v>
      </c>
      <c r="B10" s="8" t="s">
        <v>157</v>
      </c>
      <c r="C10" s="1538" t="s">
        <v>1716</v>
      </c>
      <c r="F10" s="9" t="s">
        <v>6</v>
      </c>
    </row>
    <row r="11" spans="1:23">
      <c r="A11" s="8" t="s">
        <v>112</v>
      </c>
      <c r="B11" s="8" t="s">
        <v>158</v>
      </c>
      <c r="C11" s="1538" t="s">
        <v>1717</v>
      </c>
    </row>
    <row r="12" spans="1:23">
      <c r="A12" s="8" t="s">
        <v>113</v>
      </c>
      <c r="B12" s="8" t="s">
        <v>159</v>
      </c>
      <c r="C12" s="1538" t="s">
        <v>1718</v>
      </c>
    </row>
    <row r="13" spans="1:23">
      <c r="A13" s="8" t="s">
        <v>114</v>
      </c>
      <c r="B13" s="8" t="s">
        <v>160</v>
      </c>
      <c r="C13" s="1538" t="s">
        <v>1719</v>
      </c>
    </row>
    <row r="14" spans="1:23">
      <c r="A14" s="8" t="s">
        <v>115</v>
      </c>
      <c r="B14" s="8" t="s">
        <v>161</v>
      </c>
      <c r="C14" s="1541" t="s">
        <v>1895</v>
      </c>
    </row>
    <row r="15" spans="1:23">
      <c r="A15" s="8" t="s">
        <v>116</v>
      </c>
      <c r="B15" s="8" t="s">
        <v>1680</v>
      </c>
      <c r="C15" s="1541"/>
    </row>
    <row r="16" spans="1:23">
      <c r="A16" s="8" t="s">
        <v>117</v>
      </c>
      <c r="B16" s="8" t="s">
        <v>1681</v>
      </c>
      <c r="C16" s="1541"/>
    </row>
    <row r="17" spans="1:3">
      <c r="A17" s="8" t="s">
        <v>118</v>
      </c>
      <c r="B17" s="8" t="s">
        <v>1682</v>
      </c>
      <c r="C17" s="1541"/>
    </row>
    <row r="18" spans="1:3">
      <c r="A18" s="8" t="s">
        <v>119</v>
      </c>
      <c r="B18" s="3065" t="s">
        <v>2951</v>
      </c>
      <c r="C18" s="1541"/>
    </row>
    <row r="19" spans="1:3">
      <c r="A19" s="8" t="s">
        <v>120</v>
      </c>
      <c r="B19" s="3065" t="s">
        <v>2959</v>
      </c>
      <c r="C19" s="1541"/>
    </row>
    <row r="20" spans="1:3">
      <c r="A20" s="8" t="s">
        <v>121</v>
      </c>
      <c r="B20" s="8" t="s">
        <v>3040</v>
      </c>
      <c r="C20" s="1541"/>
    </row>
    <row r="21" spans="1:3">
      <c r="A21" s="8" t="s">
        <v>122</v>
      </c>
      <c r="B21" s="8" t="s">
        <v>1640</v>
      </c>
      <c r="C21" s="1541"/>
    </row>
    <row r="22" spans="1:3">
      <c r="A22" s="8" t="s">
        <v>123</v>
      </c>
      <c r="B22" s="8" t="s">
        <v>1640</v>
      </c>
      <c r="C22" s="1541"/>
    </row>
    <row r="23" spans="1:3">
      <c r="A23" s="8" t="s">
        <v>124</v>
      </c>
      <c r="B23" s="8" t="s">
        <v>1640</v>
      </c>
      <c r="C23" s="1541"/>
    </row>
    <row r="24" spans="1:3">
      <c r="A24" s="8" t="s">
        <v>12</v>
      </c>
      <c r="B24" s="8" t="s">
        <v>1640</v>
      </c>
      <c r="C24" s="1541"/>
    </row>
    <row r="25" spans="1:3">
      <c r="A25" s="8" t="s">
        <v>125</v>
      </c>
      <c r="B25" s="8" t="s">
        <v>1640</v>
      </c>
      <c r="C25" s="1541"/>
    </row>
    <row r="26" spans="1:3">
      <c r="A26" s="8" t="s">
        <v>126</v>
      </c>
      <c r="B26" s="8" t="s">
        <v>1640</v>
      </c>
      <c r="C26" s="1541"/>
    </row>
    <row r="27" spans="1:3">
      <c r="A27" s="8" t="s">
        <v>1640</v>
      </c>
      <c r="B27" s="8" t="s">
        <v>1640</v>
      </c>
      <c r="C27" s="1541"/>
    </row>
    <row r="28" spans="1:3">
      <c r="A28" s="8" t="s">
        <v>1640</v>
      </c>
      <c r="B28" s="8" t="s">
        <v>1640</v>
      </c>
      <c r="C28" s="1541"/>
    </row>
    <row r="29" spans="1:3">
      <c r="A29" s="8" t="s">
        <v>1640</v>
      </c>
      <c r="B29" s="8" t="s">
        <v>1640</v>
      </c>
      <c r="C29" s="1541"/>
    </row>
    <row r="30" spans="1:3">
      <c r="A30" s="8" t="s">
        <v>1640</v>
      </c>
      <c r="B30" s="8" t="s">
        <v>1640</v>
      </c>
      <c r="C30" s="1541"/>
    </row>
    <row r="31" spans="1:3">
      <c r="A31" s="8" t="s">
        <v>1640</v>
      </c>
      <c r="B31" s="8" t="s">
        <v>1640</v>
      </c>
      <c r="C31" s="1541"/>
    </row>
    <row r="32" spans="1:3">
      <c r="A32" s="8" t="s">
        <v>1640</v>
      </c>
      <c r="B32" s="8" t="s">
        <v>1640</v>
      </c>
      <c r="C32" s="1541"/>
    </row>
    <row r="33" spans="1:3">
      <c r="A33" s="8" t="s">
        <v>1640</v>
      </c>
      <c r="B33" s="8" t="s">
        <v>1640</v>
      </c>
      <c r="C33" s="1541"/>
    </row>
    <row r="34" spans="1:3">
      <c r="A34" s="8" t="s">
        <v>1640</v>
      </c>
      <c r="B34" s="8" t="s">
        <v>1640</v>
      </c>
      <c r="C34" s="1541"/>
    </row>
    <row r="35" spans="1:3">
      <c r="A35" s="8" t="s">
        <v>1640</v>
      </c>
      <c r="B35" s="8" t="s">
        <v>1640</v>
      </c>
      <c r="C35" s="1541"/>
    </row>
    <row r="36" spans="1:3">
      <c r="A36" s="8" t="s">
        <v>1640</v>
      </c>
      <c r="B36" s="8" t="s">
        <v>1640</v>
      </c>
      <c r="C36" s="1541"/>
    </row>
    <row r="37" spans="1:3">
      <c r="A37" s="8" t="s">
        <v>1640</v>
      </c>
      <c r="B37" s="8" t="s">
        <v>1640</v>
      </c>
      <c r="C37" s="1541"/>
    </row>
    <row r="38" spans="1:3">
      <c r="A38" s="8" t="s">
        <v>1640</v>
      </c>
      <c r="B38" s="8" t="s">
        <v>1640</v>
      </c>
      <c r="C38" s="1541"/>
    </row>
    <row r="39" spans="1:3">
      <c r="A39" s="8" t="s">
        <v>1640</v>
      </c>
      <c r="B39" s="8" t="s">
        <v>1640</v>
      </c>
      <c r="C39" s="1541"/>
    </row>
    <row r="40" spans="1:3">
      <c r="A40" s="8" t="s">
        <v>1640</v>
      </c>
      <c r="B40" s="8" t="s">
        <v>1640</v>
      </c>
      <c r="C40" s="1541"/>
    </row>
    <row r="41" spans="1:3">
      <c r="A41" s="8" t="s">
        <v>1640</v>
      </c>
      <c r="B41" s="8" t="s">
        <v>1640</v>
      </c>
      <c r="C41" s="1541"/>
    </row>
    <row r="42" spans="1:3">
      <c r="A42" s="8" t="s">
        <v>1640</v>
      </c>
      <c r="B42" s="8" t="s">
        <v>1640</v>
      </c>
      <c r="C42" s="1541"/>
    </row>
    <row r="43" spans="1:3">
      <c r="A43" s="8" t="s">
        <v>1640</v>
      </c>
      <c r="B43" s="8" t="s">
        <v>1640</v>
      </c>
      <c r="C43" s="1541"/>
    </row>
    <row r="44" spans="1:3">
      <c r="A44" s="8" t="s">
        <v>1640</v>
      </c>
      <c r="B44" s="8" t="s">
        <v>1640</v>
      </c>
      <c r="C44" s="1541"/>
    </row>
    <row r="45" spans="1:3">
      <c r="A45" s="8" t="s">
        <v>1640</v>
      </c>
      <c r="B45" s="8" t="s">
        <v>1640</v>
      </c>
      <c r="C45" s="1541"/>
    </row>
    <row r="46" spans="1:3">
      <c r="A46" s="8" t="s">
        <v>1640</v>
      </c>
      <c r="B46" s="8" t="s">
        <v>1640</v>
      </c>
      <c r="C46" s="1541"/>
    </row>
    <row r="47" spans="1:3">
      <c r="A47" s="8" t="s">
        <v>1640</v>
      </c>
      <c r="B47" s="8" t="s">
        <v>1640</v>
      </c>
      <c r="C47" s="1541"/>
    </row>
    <row r="48" spans="1:3">
      <c r="A48" s="8" t="s">
        <v>1640</v>
      </c>
      <c r="B48" s="8" t="s">
        <v>1640</v>
      </c>
      <c r="C48" s="1541"/>
    </row>
    <row r="49" spans="1:5">
      <c r="A49" s="8" t="s">
        <v>1640</v>
      </c>
      <c r="B49" s="8" t="s">
        <v>1640</v>
      </c>
      <c r="C49" s="1541"/>
    </row>
    <row r="50" spans="1:5">
      <c r="A50" s="8" t="s">
        <v>1640</v>
      </c>
      <c r="B50" s="8" t="s">
        <v>1640</v>
      </c>
      <c r="C50" s="1541"/>
    </row>
    <row r="51" spans="1:5">
      <c r="A51" s="1751" t="s">
        <v>1941</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诸城龙乡水务集团有限公司拟使用山东省潍坊市诸城市南环路共计8宗商业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1984</v>
      </c>
      <c r="B52" s="1754" t="s">
        <v>1985</v>
      </c>
      <c r="C52" s="1752" t="s">
        <v>1986</v>
      </c>
      <c r="D52" s="1752" t="s">
        <v>1987</v>
      </c>
      <c r="E52" s="1753"/>
    </row>
    <row r="53" spans="1:5">
      <c r="A53" s="3252" t="s">
        <v>1988</v>
      </c>
      <c r="B53" s="1752" t="s">
        <v>1994</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22日，在规划利用条件下、设定土地开发程度为红线外“七通”、宗地内场地平整，设定用途为商业，剩余土地使用年限为的出让国有建设用地使用权价格。</v>
      </c>
      <c r="D53" s="1753"/>
      <c r="E53" s="1753"/>
    </row>
    <row r="54" spans="1:5">
      <c r="A54" s="3252"/>
      <c r="B54" s="1752" t="s">
        <v>1995</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2"/>
      <c r="B55" s="1752" t="s">
        <v>1989</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2"/>
      <c r="B56" s="1752" t="s">
        <v>1990</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2"/>
      <c r="B57" s="1752" t="s">
        <v>1991</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2047</v>
      </c>
      <c r="B58" s="1752" t="s">
        <v>2048</v>
      </c>
      <c r="C58" s="11" t="s">
        <v>2049</v>
      </c>
      <c r="D58" s="1315" t="s">
        <v>2050</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140</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比较法-住宅、综合（高值）</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'比较法-住宅、综合（高值）'!套工交易情况</vt:lpstr>
      <vt:lpstr>套工交易情况</vt:lpstr>
      <vt:lpstr>套工开发程度</vt:lpstr>
      <vt:lpstr>套工临街等级</vt:lpstr>
      <vt:lpstr>套工土地级别</vt:lpstr>
      <vt:lpstr>套工用途</vt:lpstr>
      <vt:lpstr>套工宗地形状</vt:lpstr>
      <vt:lpstr>'比较法-住宅、综合（高值）'!套综道路等级</vt:lpstr>
      <vt:lpstr>套综道路等级</vt:lpstr>
      <vt:lpstr>'比较法-住宅、综合（高值）'!套综工程地质条件</vt:lpstr>
      <vt:lpstr>套综工程地质条件</vt:lpstr>
      <vt:lpstr>'比较法-住宅、综合（高值）'!套综交易情况</vt:lpstr>
      <vt:lpstr>套综交易情况</vt:lpstr>
      <vt:lpstr>'比较法-住宅、综合（高值）'!套综临街宽度及深度</vt:lpstr>
      <vt:lpstr>套综临街宽度及深度</vt:lpstr>
      <vt:lpstr>'比较法-住宅、综合（高值）'!套综土地级别</vt:lpstr>
      <vt:lpstr>套综土地级别</vt:lpstr>
      <vt:lpstr>'比较法-住宅、综合（高值）'!套综用途</vt:lpstr>
      <vt:lpstr>套综用途</vt:lpstr>
      <vt:lpstr>'比较法-住宅、综合（高值）'!套综宗地内开发程度</vt:lpstr>
      <vt:lpstr>套综宗地内开发程度</vt:lpstr>
      <vt:lpstr>'比较法-住宅、综合（高值）'!套综宗地形状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2019-06-06T04:37:35Z</dcterms:modified>
</cp:coreProperties>
</file>