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20" windowWidth="11565" windowHeight="9525" tabRatio="875" firstSheet="1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5" i="31" l="1"/>
  <c r="B26" i="31"/>
  <c r="B27" i="31"/>
  <c r="B28" i="31"/>
  <c r="B29" i="31"/>
  <c r="B30" i="31"/>
  <c r="B31" i="31"/>
  <c r="B24" i="31"/>
  <c r="C15" i="66" l="1"/>
  <c r="C106" i="9"/>
  <c r="D32" i="71"/>
  <c r="D25" i="71"/>
  <c r="D26" i="71"/>
  <c r="D27" i="71"/>
  <c r="D28" i="71"/>
  <c r="D29" i="71"/>
  <c r="D30" i="71"/>
  <c r="D31" i="71"/>
  <c r="D24" i="71"/>
  <c r="E48" i="69" l="1"/>
  <c r="I13" i="3"/>
  <c r="F9" i="71" l="1"/>
  <c r="F2" i="71"/>
  <c r="H10" i="71"/>
  <c r="I3" i="71"/>
  <c r="I4" i="71"/>
  <c r="I5" i="71"/>
  <c r="I6" i="71"/>
  <c r="I7" i="71"/>
  <c r="I8" i="71"/>
  <c r="I9" i="71"/>
  <c r="I2" i="71"/>
  <c r="F8" i="71"/>
  <c r="O2" i="70"/>
  <c r="E10" i="71"/>
  <c r="D10"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E109" i="69"/>
  <c r="F109" i="69" s="1"/>
  <c r="G109" i="69" s="1"/>
  <c r="H109" i="69" s="1"/>
  <c r="I109" i="69" s="1"/>
  <c r="J109" i="69" s="1"/>
  <c r="K109" i="69" s="1"/>
  <c r="L109" i="69" s="1"/>
  <c r="M109" i="69" s="1"/>
  <c r="D109" i="69"/>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B15" i="66" s="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05" i="31"/>
  <c r="S175" i="31"/>
  <c r="S143" i="31"/>
  <c r="S494" i="31"/>
  <c r="S490" i="31"/>
  <c r="S486" i="31"/>
  <c r="S482" i="31"/>
  <c r="S478" i="31"/>
  <c r="S474" i="31"/>
  <c r="S439" i="31"/>
  <c r="S459" i="31"/>
  <c r="S35" i="31"/>
  <c r="S91"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8" i="39"/>
  <c r="E53" i="40"/>
  <c r="F27" i="6"/>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E10" i="67"/>
  <c r="E8" i="67"/>
  <c r="M31" i="44"/>
  <c r="F9" i="15"/>
  <c r="E14" i="67"/>
  <c r="M6" i="15"/>
  <c r="F37" i="44"/>
  <c r="E11" i="67"/>
  <c r="M11" i="44"/>
  <c r="L49" i="44"/>
  <c r="F10" i="44"/>
  <c r="M8" i="44"/>
  <c r="F8" i="44"/>
  <c r="J15" i="15"/>
  <c r="F28" i="44"/>
  <c r="M23" i="15"/>
  <c r="B8" i="67"/>
  <c r="F40" i="15"/>
  <c r="N6" i="65"/>
  <c r="L48" i="15"/>
  <c r="N4" i="65"/>
  <c r="F43" i="15"/>
  <c r="M9" i="15"/>
  <c r="F38" i="44"/>
  <c r="F40" i="44"/>
  <c r="N7" i="65"/>
  <c r="F15" i="44"/>
  <c r="F8" i="15"/>
  <c r="B9" i="67"/>
  <c r="M26" i="15"/>
  <c r="B10" i="67"/>
  <c r="M8" i="15"/>
  <c r="F39" i="44"/>
  <c r="B12" i="67"/>
  <c r="M23" i="44"/>
  <c r="F18" i="44"/>
  <c r="M29" i="15"/>
  <c r="F8" i="67"/>
  <c r="F9" i="44"/>
  <c r="E13" i="67"/>
  <c r="M29" i="44"/>
  <c r="F7" i="15"/>
  <c r="M28" i="44"/>
  <c r="F38" i="15"/>
  <c r="F14" i="67"/>
  <c r="F11" i="44"/>
  <c r="M28" i="15"/>
  <c r="F45" i="44"/>
  <c r="M24" i="15"/>
  <c r="F10" i="67"/>
  <c r="N5" i="65"/>
  <c r="M10" i="44"/>
  <c r="F46" i="44"/>
  <c r="F6" i="15"/>
  <c r="B14" i="67"/>
  <c r="F13" i="15"/>
  <c r="F16" i="15"/>
  <c r="J36" i="15"/>
  <c r="M25" i="44"/>
  <c r="B11" i="67"/>
  <c r="E12" i="67"/>
  <c r="F26" i="15"/>
  <c r="F37" i="15"/>
  <c r="F36" i="15"/>
  <c r="C19" i="44"/>
  <c r="B13" i="67"/>
  <c r="M27" i="15"/>
  <c r="L47" i="15"/>
  <c r="M30" i="44"/>
  <c r="F11" i="67"/>
  <c r="F9" i="67"/>
  <c r="N3" i="65"/>
  <c r="F42" i="15"/>
  <c r="F13" i="67"/>
  <c r="L48" i="44"/>
  <c r="F43" i="44"/>
  <c r="M24" i="44"/>
  <c r="F12" i="67"/>
  <c r="J17" i="44"/>
  <c r="M26" i="44"/>
  <c r="M22" i="15"/>
  <c r="E9" i="67"/>
  <c r="C18" i="9" l="1"/>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AP16" i="1" s="1"/>
  <c r="F22" i="11" s="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C16" i="15"/>
  <c r="J4" i="65"/>
  <c r="C18" i="44"/>
  <c r="I4" i="65"/>
  <c r="J5" i="65"/>
  <c r="I6" i="65"/>
  <c r="I3" i="65"/>
  <c r="J3" i="65"/>
  <c r="J6" i="65"/>
  <c r="I7" i="65"/>
  <c r="I5" i="65"/>
  <c r="J7" i="65"/>
  <c r="D18" i="9" l="1"/>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E2" i="65"/>
  <c r="E3" i="65"/>
  <c r="K19" i="6" l="1"/>
  <c r="S6" i="1" s="1"/>
  <c r="S16" i="1" s="1"/>
  <c r="AC6" i="3"/>
  <c r="E6" i="3" s="1"/>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C17" i="15"/>
  <c r="F41" i="15"/>
  <c r="L52" i="44"/>
  <c r="F70" i="69" l="1"/>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6" i="44"/>
  <c r="C14" i="15"/>
  <c r="F72" i="69" l="1"/>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16" i="6" l="1"/>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D7"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F9" i="39"/>
  <c r="I70" i="69"/>
  <c r="H72" i="69"/>
  <c r="C26" i="46"/>
  <c r="B2" i="46" s="1"/>
  <c r="C23" i="12"/>
  <c r="C18" i="11"/>
  <c r="C17" i="11"/>
  <c r="R27" i="6"/>
  <c r="R6" i="1"/>
  <c r="I6" i="6"/>
  <c r="C13" i="69" s="1"/>
  <c r="I5" i="6"/>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M21" i="15"/>
  <c r="E7" i="67"/>
  <c r="B7" i="67"/>
  <c r="F35" i="15"/>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21" i="9"/>
  <c r="D19" i="9"/>
  <c r="B60" i="69" l="1"/>
  <c r="F60" i="69" s="1"/>
  <c r="B66" i="69"/>
  <c r="F66" i="69" s="1"/>
  <c r="B67" i="69"/>
  <c r="F67" i="69" s="1"/>
  <c r="B63" i="69"/>
  <c r="F63" i="69" s="1"/>
  <c r="B59" i="69"/>
  <c r="F59" i="69" s="1"/>
  <c r="B62" i="69"/>
  <c r="F62" i="69" s="1"/>
  <c r="B58" i="69"/>
  <c r="F58" i="69" s="1"/>
  <c r="B64" i="69"/>
  <c r="F64" i="69" s="1"/>
  <c r="B65" i="69"/>
  <c r="F65" i="69" s="1"/>
  <c r="B61" i="69"/>
  <c r="F61" i="69" s="1"/>
  <c r="F68" i="69"/>
  <c r="B2" i="69" s="1"/>
  <c r="B4" i="69" s="1"/>
  <c r="B3" i="12"/>
  <c r="L44" i="9"/>
  <c r="B5" i="12"/>
  <c r="B5" i="40"/>
  <c r="B3" i="40"/>
  <c r="B4" i="40"/>
  <c r="C19" i="9"/>
  <c r="C21" i="9"/>
  <c r="D20" i="9"/>
  <c r="G21" i="9" l="1"/>
  <c r="R24" i="31" s="1"/>
  <c r="L43" i="9"/>
  <c r="D22" i="9"/>
  <c r="G19" i="9"/>
  <c r="C32" i="9" s="1"/>
  <c r="O38" i="9" s="1"/>
  <c r="B3" i="69"/>
  <c r="B5" i="69"/>
  <c r="C20" i="9"/>
  <c r="C35" i="9" l="1"/>
  <c r="F42" i="9" s="1"/>
  <c r="C33" i="9"/>
  <c r="D42" i="9" s="1"/>
  <c r="Q5" i="54" s="1"/>
  <c r="B47" i="63" s="1"/>
  <c r="O43" i="9"/>
  <c r="G22" i="9"/>
  <c r="C34" i="9"/>
  <c r="E42" i="9" s="1"/>
  <c r="P5" i="54" s="1"/>
  <c r="B46" i="63" s="1"/>
  <c r="C42" i="9"/>
  <c r="D14" i="66" s="1"/>
  <c r="N43" i="9"/>
  <c r="G20" i="9"/>
  <c r="K26" i="9"/>
  <c r="K25" i="9"/>
  <c r="N38" i="9" l="1"/>
  <c r="K28" i="9" s="1"/>
  <c r="R31" i="31"/>
  <c r="S31" i="31" s="1"/>
  <c r="R5" i="54"/>
  <c r="B48" i="63" s="1"/>
  <c r="C44" i="9"/>
  <c r="O39" i="9" s="1"/>
  <c r="M38" i="9"/>
  <c r="K27" i="9" s="1"/>
  <c r="N68" i="9"/>
  <c r="E14" i="66"/>
  <c r="F14" i="66"/>
  <c r="R28" i="31" l="1"/>
  <c r="S28" i="31" s="1"/>
  <c r="R30" i="31"/>
  <c r="S30" i="31" s="1"/>
  <c r="R25" i="31"/>
  <c r="S25" i="31" s="1"/>
  <c r="R27" i="31"/>
  <c r="S27" i="31" s="1"/>
  <c r="S24" i="31"/>
  <c r="R29" i="31"/>
  <c r="S29" i="31" s="1"/>
  <c r="R26" i="31"/>
  <c r="S26" i="31" s="1"/>
  <c r="F44" i="9"/>
  <c r="N69" i="9"/>
  <c r="M84" i="9" s="1"/>
  <c r="N84" i="9" s="1"/>
  <c r="D44" i="9"/>
  <c r="E44" i="9"/>
  <c r="G14" i="66"/>
  <c r="K29" i="9"/>
  <c r="K30" i="9" s="1"/>
  <c r="R6" i="54"/>
  <c r="B50" i="63" s="1"/>
  <c r="S22" i="31" l="1"/>
  <c r="M87" i="9"/>
  <c r="N87" i="9" s="1"/>
  <c r="M85" i="9"/>
  <c r="N85" i="9" s="1"/>
  <c r="M83" i="9"/>
  <c r="N83" i="9" s="1"/>
  <c r="M86" i="9"/>
  <c r="N86" i="9" s="1"/>
  <c r="M88" i="9"/>
  <c r="N88" i="9" s="1"/>
  <c r="D62" i="9" l="1"/>
  <c r="D63" i="9" s="1"/>
  <c r="D73" i="9" s="1"/>
  <c r="N73" i="9" s="1"/>
  <c r="D15" i="66"/>
  <c r="G15" i="66" s="1"/>
  <c r="T22" i="31"/>
  <c r="R22" i="31"/>
  <c r="B21" i="31" s="1"/>
  <c r="B20" i="31"/>
  <c r="N89" i="9"/>
  <c r="O89" i="9" s="1"/>
  <c r="B6" i="66" l="1"/>
  <c r="D6" i="66" s="1"/>
  <c r="I15" i="66"/>
  <c r="D70" i="9"/>
  <c r="C103" i="9"/>
  <c r="C82" i="9"/>
  <c r="C81" i="9" s="1"/>
  <c r="C85" i="9" s="1"/>
  <c r="C86" i="9" s="1"/>
  <c r="D72" i="9" s="1"/>
  <c r="C111" i="9"/>
  <c r="C104" i="9" s="1"/>
  <c r="D71" i="9"/>
  <c r="D66" i="9" s="1"/>
  <c r="N72" i="9" s="1"/>
  <c r="C90" i="9"/>
  <c r="D77" i="9"/>
  <c r="N75" i="9" s="1"/>
  <c r="C96" i="9"/>
  <c r="C91" i="9" s="1"/>
  <c r="E15" i="66"/>
  <c r="F15" i="66"/>
  <c r="B5" i="66"/>
  <c r="C6" i="66" l="1"/>
  <c r="D5" i="66"/>
  <c r="C5" i="66"/>
  <c r="C97" i="9"/>
  <c r="C98" i="9" s="1"/>
  <c r="E98" i="9" s="1"/>
  <c r="E99" i="9" s="1"/>
  <c r="C113" i="9"/>
  <c r="C114" i="9" s="1"/>
  <c r="E114" i="9" s="1"/>
  <c r="E115" i="9" s="1"/>
  <c r="C99" i="9"/>
  <c r="C115" i="9" l="1"/>
  <c r="D76" i="9" s="1"/>
  <c r="D74" i="9" s="1"/>
  <c r="N74" i="9" s="1"/>
  <c r="O77" i="9" s="1"/>
  <c r="O79" i="9" s="1"/>
  <c r="C46" i="9" s="1"/>
  <c r="Q77" i="9" l="1"/>
  <c r="O78" i="9"/>
  <c r="K33" i="9"/>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<sst xmlns="http://schemas.openxmlformats.org/spreadsheetml/2006/main" count="9129" uniqueCount="3381">
  <si>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</si>
  <si>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</si>
  <si>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</si>
  <si>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</si>
  <si>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</si>
  <si>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</si>
  <si>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</si>
  <si>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</si>
  <si>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</si>
  <si>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</si>
  <si>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</si>
  <si>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</si>
  <si>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</si>
  <si>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</si>
  <si>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</si>
  <si>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</si>
  <si>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</si>
  <si>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</si>
  <si>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</si>
  <si>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</si>
  <si>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</si>
  <si>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</si>
  <si>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</si>
  <si>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</si>
  <si>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</si>
  <si>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</si>
  <si>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</si>
  <si>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</si>
  <si>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</si>
  <si>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</si>
  <si>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</si>
  <si>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</si>
  <si>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</si>
  <si>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</si>
  <si>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</si>
  <si>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</si>
  <si>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</si>
  <si>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</si>
  <si>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</si>
  <si>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</si>
  <si>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</si>
  <si>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</si>
  <si>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</si>
  <si>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</si>
  <si>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</si>
  <si>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</si>
  <si>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</si>
  <si>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</si>
  <si>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</si>
  <si>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</si>
  <si>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</si>
  <si>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</si>
  <si>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</si>
  <si>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</si>
  <si>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</si>
  <si>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</si>
  <si>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</si>
  <si>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</si>
  <si>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</si>
  <si>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</si>
  <si>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</si>
  <si>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</si>
  <si>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</si>
  <si>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</si>
  <si>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</si>
  <si>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</si>
  <si>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</si>
  <si>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</si>
  <si>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</si>
  <si>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</si>
  <si>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</si>
  <si>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</si>
  <si>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</si>
  <si>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</si>
  <si>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</si>
  <si>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</si>
  <si>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</si>
  <si>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</si>
  <si>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</si>
  <si>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</si>
  <si>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</si>
  <si>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</si>
  <si>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</si>
  <si>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</si>
  <si>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</si>
  <si>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</si>
  <si>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</si>
  <si>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</si>
  <si>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</si>
  <si>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</si>
  <si>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</si>
  <si>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</si>
  <si>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</si>
  <si>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</si>
  <si>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</si>
  <si>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</si>
  <si>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</si>
  <si>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</si>
  <si>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</si>
  <si>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</si>
  <si>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</si>
  <si>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</si>
  <si>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</si>
  <si>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</si>
  <si>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</si>
  <si>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</si>
  <si>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</si>
  <si>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</si>
  <si>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</si>
  <si>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</si>
  <si>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</si>
  <si>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</si>
  <si>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</si>
  <si>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</si>
  <si>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</si>
  <si>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</si>
  <si>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</si>
  <si>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</si>
  <si>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</si>
  <si>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</si>
  <si>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</si>
  <si>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</si>
  <si>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</si>
  <si>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</si>
  <si>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</si>
  <si>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</si>
  <si>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</si>
  <si>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</si>
  <si>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</si>
  <si>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</si>
  <si>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</si>
  <si>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</si>
  <si>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</si>
  <si>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</si>
  <si>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</si>
  <si>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</si>
  <si>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</si>
  <si>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</si>
  <si>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</si>
  <si>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</si>
  <si>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</si>
  <si>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</si>
  <si>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</si>
  <si>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</si>
  <si>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</si>
  <si>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</si>
  <si>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</si>
  <si>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</si>
  <si>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</si>
  <si>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</si>
  <si>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</si>
  <si>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</si>
  <si>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</si>
  <si>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</si>
  <si>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</si>
  <si>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</si>
  <si>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</si>
  <si>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</si>
  <si>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</si>
  <si>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</si>
  <si>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</si>
  <si>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</si>
  <si>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</si>
  <si>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</si>
  <si>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</si>
  <si>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</si>
  <si>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</si>
  <si>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</si>
  <si>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</si>
  <si>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</si>
  <si>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</si>
  <si>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</si>
  <si>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</si>
  <si>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</si>
  <si>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</si>
  <si>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</si>
  <si>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</si>
  <si>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</si>
  <si>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</si>
  <si>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</si>
  <si>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</si>
  <si>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</si>
  <si>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</si>
  <si>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</si>
  <si>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</si>
  <si>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</si>
  <si>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</si>
  <si>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</si>
  <si>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</si>
  <si>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</si>
  <si>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</si>
  <si>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</si>
  <si>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</si>
  <si>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</si>
  <si>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</si>
  <si>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</si>
  <si>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</si>
  <si>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</si>
  <si>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</si>
  <si>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</si>
  <si>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</si>
  <si>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</si>
  <si>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</si>
  <si>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</si>
  <si>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</si>
  <si>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</si>
  <si>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</si>
  <si>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</si>
  <si>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</si>
  <si>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</si>
  <si>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</si>
  <si>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</si>
  <si>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</si>
  <si>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</si>
  <si>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</si>
  <si>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</si>
  <si>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</si>
  <si>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</si>
  <si>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</si>
  <si>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</si>
  <si>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</si>
  <si>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</si>
  <si>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</si>
  <si>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</si>
  <si>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</si>
  <si>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</si>
  <si>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</si>
  <si>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</si>
  <si>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</si>
  <si>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</si>
  <si>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</si>
  <si>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</si>
  <si>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</si>
  <si>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</si>
  <si>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</si>
  <si>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</si>
  <si>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</si>
  <si>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</si>
  <si>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</si>
  <si>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</si>
  <si>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</si>
  <si>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</si>
  <si>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</si>
  <si>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</si>
  <si>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</si>
  <si>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</si>
  <si>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</si>
  <si>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</si>
  <si>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</si>
  <si>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</si>
  <si>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</si>
  <si>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</si>
  <si>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</si>
  <si>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</si>
  <si>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</si>
  <si>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</si>
  <si>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</si>
  <si>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</si>
  <si>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</si>
  <si>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</si>
  <si>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</si>
  <si>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</si>
  <si>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</si>
  <si>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</si>
  <si>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</si>
  <si>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</si>
  <si>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</si>
  <si>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</si>
  <si>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</si>
  <si>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</si>
  <si>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</si>
  <si>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</si>
  <si>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</si>
  <si>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</si>
  <si>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</si>
  <si>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</si>
  <si>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</si>
  <si>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</si>
  <si>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</si>
  <si>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</si>
  <si>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</si>
  <si>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</si>
  <si>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</si>
  <si>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</si>
  <si>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</si>
  <si>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</si>
  <si>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</si>
  <si>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</si>
  <si>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</si>
  <si>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</si>
  <si>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</si>
  <si>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</si>
  <si>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</si>
  <si>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</si>
  <si>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</si>
  <si>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</si>
  <si>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</si>
  <si>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</si>
  <si>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</si>
  <si>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</si>
  <si>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</si>
  <si>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</si>
  <si>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</si>
  <si>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</si>
  <si>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</si>
  <si>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</si>
  <si>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</si>
  <si>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</si>
  <si>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</si>
  <si>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</si>
  <si>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</si>
  <si>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</si>
  <si>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</si>
  <si>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</si>
  <si>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</si>
  <si>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</si>
  <si>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</si>
  <si>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</si>
  <si>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</si>
  <si>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</si>
  <si>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</si>
  <si>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</si>
  <si>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</si>
  <si>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</si>
  <si>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</si>
  <si>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</si>
  <si>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</si>
  <si>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</si>
  <si>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</si>
  <si>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</si>
  <si>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</si>
  <si>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</si>
  <si>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</si>
  <si>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</si>
  <si>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</si>
  <si>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</si>
  <si>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</si>
  <si>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</si>
  <si>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</si>
  <si>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</si>
  <si>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</si>
  <si>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</si>
  <si>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</si>
  <si>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</si>
  <si>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</si>
  <si>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</si>
  <si>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</si>
  <si>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</si>
  <si>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</si>
  <si>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</si>
  <si>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</si>
  <si>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</si>
  <si>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</si>
  <si>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</si>
  <si>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</si>
  <si>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</si>
  <si>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</si>
  <si>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</si>
  <si>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</si>
  <si>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</si>
  <si>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</si>
  <si>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</si>
  <si>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</si>
  <si>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</si>
  <si>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</si>
  <si>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</si>
  <si>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</si>
  <si>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</si>
  <si>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</si>
  <si>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</si>
  <si>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</si>
  <si>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</si>
  <si>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</si>
  <si>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</si>
  <si>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</si>
  <si>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</si>
  <si>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</si>
  <si>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</si>
  <si>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</si>
  <si>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</si>
  <si>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</si>
  <si>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</si>
  <si>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</si>
  <si>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</si>
  <si>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</si>
  <si>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</si>
  <si>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</si>
  <si>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</si>
  <si>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</si>
  <si>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</si>
  <si>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</si>
  <si>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</si>
  <si>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</si>
  <si>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</si>
  <si>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</si>
  <si>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</si>
  <si>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</si>
  <si>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</si>
  <si>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</si>
  <si>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</si>
  <si>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</si>
  <si>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</si>
  <si>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</si>
  <si>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</si>
  <si>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</si>
  <si>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</si>
  <si>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</si>
  <si>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</si>
  <si>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</si>
  <si>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</si>
  <si>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</si>
  <si>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</si>
  <si>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</si>
  <si>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</si>
  <si>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</si>
  <si>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</si>
  <si>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</si>
  <si>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</si>
  <si>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</si>
  <si>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</si>
  <si>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</si>
  <si>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</si>
  <si>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</si>
  <si>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</si>
  <si>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</si>
  <si>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</si>
  <si>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</si>
  <si>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</si>
  <si>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</si>
  <si>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</si>
  <si>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</si>
  <si>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</si>
  <si>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</si>
  <si>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</si>
  <si>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</si>
  <si>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</si>
  <si>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</si>
  <si>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</si>
  <si>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</si>
  <si>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</si>
  <si>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</si>
  <si>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</si>
  <si>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</si>
  <si>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</si>
  <si>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</si>
  <si>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</si>
  <si>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</si>
  <si>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</si>
  <si>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</si>
  <si>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</si>
  <si>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</si>
  <si>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</si>
  <si>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</si>
  <si>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</si>
  <si>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</si>
  <si>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</si>
  <si>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</si>
  <si>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</si>
  <si>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</si>
  <si>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</si>
  <si>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</si>
  <si>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</si>
  <si>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</si>
  <si>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</si>
  <si>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</si>
  <si>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</si>
  <si>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</si>
  <si>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</si>
  <si>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</si>
  <si>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</si>
  <si>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</si>
  <si>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</si>
  <si>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</si>
  <si>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</si>
  <si>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</si>
  <si>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</si>
  <si>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</si>
  <si>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</si>
  <si>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</si>
  <si>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</si>
  <si>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</si>
  <si>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</si>
  <si>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</si>
  <si>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</si>
  <si>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</si>
  <si>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</si>
  <si>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</si>
  <si>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</si>
  <si>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</si>
  <si>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</si>
  <si>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</si>
  <si>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</si>
  <si>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</si>
  <si>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</si>
  <si>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</si>
  <si>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</si>
  <si>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</si>
  <si>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</si>
  <si>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</si>
  <si>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</si>
  <si>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</si>
  <si>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</si>
  <si>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</si>
  <si>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</si>
  <si>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</si>
  <si>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</si>
  <si>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</si>
  <si>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</si>
  <si>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</si>
  <si>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</si>
  <si>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</si>
  <si>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</si>
  <si>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</si>
  <si>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</si>
  <si>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</si>
  <si>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</si>
  <si>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</si>
  <si>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</si>
  <si>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</si>
  <si>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</si>
  <si>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</si>
  <si>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</si>
  <si>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</si>
  <si>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</si>
  <si>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</si>
  <si>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</si>
  <si>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</si>
  <si>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</si>
  <si>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</si>
  <si>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</si>
  <si>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</si>
  <si>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</si>
  <si>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</si>
  <si>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</si>
  <si>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</si>
  <si>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</si>
  <si>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</si>
  <si>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</si>
  <si>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</si>
  <si>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</si>
  <si>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</si>
  <si>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</si>
  <si>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</si>
  <si>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</si>
  <si>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</si>
  <si>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</si>
  <si>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</si>
  <si>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</si>
  <si>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</si>
  <si>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</si>
  <si>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</si>
  <si>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</si>
  <si>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</si>
  <si>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</si>
  <si>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</si>
  <si>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</si>
  <si>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</si>
  <si>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</si>
  <si>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</si>
  <si>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</si>
  <si>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</si>
  <si>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</si>
  <si>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</si>
  <si>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</si>
  <si>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</si>
  <si>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</si>
  <si>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</si>
  <si>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</si>
  <si>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</si>
  <si>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</si>
  <si>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</si>
  <si>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</si>
  <si>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</si>
  <si>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</si>
  <si>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</si>
  <si>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</si>
  <si>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</si>
  <si>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</si>
  <si>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</si>
  <si>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</si>
  <si>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</si>
  <si>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</si>
  <si>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</si>
  <si>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</si>
  <si>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</si>
  <si>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</si>
  <si>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</si>
  <si>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</si>
  <si>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</si>
  <si>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</si>
  <si>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</si>
  <si>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</si>
  <si>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</si>
  <si>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</si>
  <si>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</si>
  <si>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</si>
  <si>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</si>
  <si>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</si>
  <si>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</si>
  <si>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</si>
  <si>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</si>
  <si>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</si>
  <si>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</si>
  <si>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</si>
  <si>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</si>
  <si>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</si>
  <si>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</si>
  <si>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</si>
  <si>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</si>
  <si>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</si>
  <si>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</si>
  <si>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</si>
  <si>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</si>
  <si>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</si>
  <si>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</si>
  <si>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</si>
  <si>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</si>
  <si>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</si>
  <si>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</si>
  <si>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</si>
  <si>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</si>
  <si>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</si>
  <si>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</si>
  <si>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</si>
  <si>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</si>
  <si>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</si>
  <si>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</si>
  <si>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</si>
  <si>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</si>
  <si>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</si>
  <si>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</si>
  <si>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</si>
  <si>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</si>
  <si>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</si>
  <si>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</si>
  <si>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</si>
  <si>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</si>
  <si>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</si>
  <si>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</si>
  <si>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</si>
  <si>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</si>
  <si>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</si>
  <si>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</si>
  <si>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</si>
  <si>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</si>
  <si>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</si>
  <si>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</si>
  <si>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</si>
  <si>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</si>
  <si>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</si>
  <si>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</si>
  <si>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</si>
  <si>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</si>
  <si>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</si>
  <si>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</si>
  <si>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</si>
  <si>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</si>
  <si>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</si>
  <si>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</si>
  <si>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</si>
  <si>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</si>
  <si>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</si>
  <si>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</si>
  <si>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</si>
  <si>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</si>
  <si>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</si>
  <si>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</si>
  <si>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</si>
  <si>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</si>
  <si>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</si>
  <si>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</si>
  <si>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</si>
  <si>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</si>
  <si>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</si>
  <si>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</si>
  <si>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</si>
  <si>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</si>
  <si>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</si>
  <si>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</si>
  <si>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</si>
  <si>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</si>
  <si>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</si>
  <si>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</si>
  <si>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</si>
  <si>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</si>
  <si>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</si>
  <si>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</si>
  <si>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</si>
  <si>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</si>
  <si>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</si>
  <si>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</si>
  <si>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</si>
  <si>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</si>
  <si>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</si>
  <si>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</si>
  <si>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</si>
  <si>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</si>
  <si>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</si>
  <si>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</si>
  <si>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</si>
  <si>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</si>
  <si>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</si>
  <si>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</si>
  <si>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</si>
  <si>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</si>
  <si>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</si>
  <si>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</si>
  <si>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</si>
  <si>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</si>
  <si>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</si>
  <si>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</si>
  <si>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</si>
  <si>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</si>
  <si>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</si>
  <si>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</si>
  <si>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</si>
  <si>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</si>
  <si>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</si>
  <si>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</si>
  <si>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</si>
  <si>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</si>
  <si>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</si>
  <si>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</si>
  <si>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</si>
  <si>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</si>
  <si>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</si>
  <si>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</si>
  <si>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</si>
  <si>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</si>
  <si>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</si>
  <si>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</si>
  <si>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</si>
  <si>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</si>
  <si>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</si>
  <si>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</si>
  <si>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</si>
  <si>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</si>
  <si>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</si>
  <si>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</si>
  <si>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</si>
  <si>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</si>
  <si>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</si>
  <si>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</si>
  <si>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</si>
  <si>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</si>
  <si>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</si>
  <si>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</si>
  <si>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</si>
  <si>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</si>
  <si>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</si>
  <si>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</si>
  <si>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</si>
  <si>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</si>
  <si>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</si>
  <si>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</si>
  <si>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</si>
  <si>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</si>
  <si>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</si>
  <si>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</si>
  <si>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</si>
  <si>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</si>
  <si>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</si>
  <si>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</si>
  <si>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</si>
  <si>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</si>
  <si>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</si>
  <si>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</si>
  <si>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</si>
  <si>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</si>
  <si>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</si>
  <si>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</si>
  <si>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</si>
  <si>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</si>
  <si>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</si>
  <si>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</si>
  <si>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</si>
  <si>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</si>
  <si>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</si>
  <si>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</si>
  <si>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</si>
  <si>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</si>
  <si>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</si>
  <si>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</si>
  <si>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</si>
  <si>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</si>
  <si>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</si>
  <si>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</si>
  <si>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</si>
  <si>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</si>
  <si>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</si>
  <si>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</si>
  <si>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</si>
  <si>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</si>
  <si>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</si>
  <si>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</si>
  <si>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</si>
  <si>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</si>
  <si>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</si>
  <si>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</si>
  <si>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</si>
  <si>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</si>
  <si>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</si>
  <si>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</si>
  <si>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</si>
  <si>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</si>
  <si>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</si>
  <si>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</si>
  <si>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</si>
  <si>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</si>
  <si>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</si>
  <si>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</si>
  <si>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</si>
  <si>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</si>
  <si>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</si>
  <si>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</si>
  <si>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</si>
  <si>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</si>
  <si>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</si>
  <si>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</si>
  <si>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</si>
  <si>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</si>
  <si>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</si>
  <si>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</si>
  <si>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</si>
  <si>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</si>
  <si>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</si>
  <si>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</si>
  <si>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</si>
  <si>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</si>
  <si>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</si>
  <si>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</si>
  <si>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</si>
  <si>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</si>
  <si>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</si>
  <si>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</si>
  <si>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</si>
  <si>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</si>
  <si>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</si>
  <si>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</si>
  <si>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</si>
  <si>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</si>
  <si>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</si>
  <si>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</si>
  <si>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</si>
  <si>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</si>
  <si>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</si>
  <si>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</si>
  <si>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</si>
  <si>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</si>
  <si>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</si>
  <si>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</si>
  <si>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</si>
  <si>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</si>
  <si>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</si>
  <si>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</si>
  <si>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</si>
  <si>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</si>
  <si>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</si>
  <si>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</si>
  <si>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</si>
  <si>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</si>
  <si>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</si>
  <si>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</si>
  <si>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</si>
  <si>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</si>
  <si>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</si>
  <si>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</si>
  <si>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</si>
  <si>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</si>
  <si>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</si>
  <si>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</si>
  <si>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</si>
  <si>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</si>
  <si>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</si>
  <si>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</si>
  <si>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</si>
  <si>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</si>
  <si>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</si>
  <si>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</si>
  <si>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</si>
  <si>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</si>
  <si>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</si>
  <si>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</si>
  <si>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</si>
  <si>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</si>
  <si>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</si>
  <si>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</si>
  <si>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</si>
  <si>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</si>
  <si>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</si>
  <si>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</si>
  <si>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</si>
  <si>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</si>
  <si>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</si>
  <si>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</si>
  <si>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</si>
  <si>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</si>
  <si>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</si>
  <si>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</si>
  <si>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</si>
  <si>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</si>
  <si>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</si>
  <si>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</si>
  <si>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</si>
  <si>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</si>
  <si>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</si>
  <si>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</si>
  <si>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</si>
  <si>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</si>
  <si>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</si>
  <si>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</si>
  <si>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</si>
  <si>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</si>
  <si>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</si>
  <si>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</si>
  <si>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</si>
  <si>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</si>
  <si>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</si>
  <si>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</si>
  <si>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</si>
  <si>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</si>
  <si>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</si>
  <si>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</si>
  <si>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</si>
  <si>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</si>
  <si>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</si>
  <si>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</si>
  <si>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</si>
  <si>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</si>
  <si>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</si>
  <si>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</si>
  <si>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</si>
  <si>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</si>
  <si>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</si>
  <si>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</si>
  <si>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</si>
  <si>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</si>
  <si>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</si>
  <si>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</si>
  <si>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</si>
  <si>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</si>
  <si>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</si>
  <si>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</si>
  <si>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</si>
  <si>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</si>
  <si>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</si>
  <si>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</si>
  <si>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</si>
  <si>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</si>
  <si>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</si>
  <si>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</si>
  <si>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</si>
  <si>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</si>
  <si>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</si>
  <si>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</si>
  <si>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</si>
  <si>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</si>
  <si>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</si>
  <si>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</si>
  <si>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</si>
  <si>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</si>
  <si>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</si>
  <si>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</si>
  <si>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</si>
  <si>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</si>
  <si>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</si>
  <si>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</si>
  <si>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</si>
  <si>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</si>
  <si>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</si>
  <si>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</si>
  <si>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</si>
  <si>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</si>
  <si>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</si>
  <si>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</si>
  <si>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</si>
  <si>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</si>
  <si>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</si>
  <si>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</si>
  <si>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</si>
  <si>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</si>
  <si>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</si>
  <si>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</si>
  <si>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</si>
  <si>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</si>
  <si>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</si>
  <si>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</si>
  <si>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</si>
  <si>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</si>
  <si>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</si>
  <si>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</si>
  <si>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</si>
  <si>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</si>
  <si>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</si>
  <si>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</si>
  <si>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</si>
  <si>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</si>
  <si>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</si>
  <si>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</si>
  <si>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</si>
  <si>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</si>
  <si>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</si>
  <si>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</si>
  <si>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</si>
  <si>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</si>
  <si>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</si>
  <si>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</si>
  <si>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</si>
  <si>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</si>
  <si>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</si>
  <si>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</si>
  <si>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</si>
  <si>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</si>
  <si>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</si>
  <si>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</si>
  <si>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</si>
  <si>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</si>
  <si>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</si>
  <si>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</si>
  <si>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</si>
  <si>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</si>
  <si>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</si>
  <si>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</si>
  <si>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</si>
  <si>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</si>
  <si>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</si>
  <si>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</si>
  <si>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</si>
  <si>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</si>
  <si>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</si>
  <si>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</si>
  <si>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</si>
  <si>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</si>
  <si>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</si>
  <si>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</si>
  <si>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</si>
  <si>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</si>
  <si>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</si>
  <si>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</si>
  <si>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</si>
  <si>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</si>
  <si>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</si>
  <si>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</si>
  <si>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</si>
  <si>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</si>
  <si>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</si>
  <si>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</si>
  <si>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</si>
  <si>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</si>
  <si>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</si>
  <si>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</si>
  <si>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</si>
  <si>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</si>
  <si>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</si>
  <si>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</si>
  <si>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</si>
  <si>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</si>
  <si>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</si>
  <si>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</si>
  <si>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</si>
  <si>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</si>
  <si>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</si>
  <si>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</si>
  <si>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</si>
  <si>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</si>
  <si>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</si>
  <si>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</si>
  <si>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</si>
  <si>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</si>
  <si>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</si>
  <si>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</si>
  <si>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</si>
  <si>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</si>
  <si>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</si>
  <si>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</si>
  <si>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</si>
  <si>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</si>
  <si>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</si>
  <si>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</si>
  <si>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</si>
  <si>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</si>
  <si>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</si>
  <si>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</si>
  <si>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</si>
  <si>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</si>
  <si>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</si>
  <si>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</si>
  <si>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</si>
  <si>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</si>
  <si>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</si>
  <si>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</si>
  <si>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</si>
  <si>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</si>
  <si>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</si>
  <si>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</si>
  <si>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</si>
  <si>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</si>
  <si>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</si>
  <si>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</si>
  <si>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</si>
  <si>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</si>
  <si>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</si>
  <si>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</si>
  <si>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</si>
  <si>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</si>
  <si>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</si>
  <si>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</si>
  <si>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</si>
  <si>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</si>
  <si>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</si>
  <si>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</si>
  <si>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</si>
  <si>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</si>
  <si>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</si>
  <si>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</si>
  <si>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</si>
  <si>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</si>
  <si>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</si>
  <si>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</si>
  <si>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</si>
  <si>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</si>
  <si>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</si>
  <si>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</si>
  <si>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</si>
  <si>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</si>
  <si>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</si>
  <si>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</si>
  <si>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</si>
  <si>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</si>
  <si>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</si>
  <si>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</si>
  <si>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</si>
  <si>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</si>
  <si>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</si>
  <si>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</si>
  <si>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</si>
  <si>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</si>
  <si>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</si>
  <si>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</si>
  <si>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</si>
  <si>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</si>
  <si>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</si>
  <si>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</si>
  <si>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</si>
  <si>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</si>
  <si>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</si>
  <si>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</si>
  <si>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</si>
  <si>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</si>
  <si>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</si>
  <si>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</si>
  <si>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</si>
  <si>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</si>
  <si>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</si>
  <si>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</si>
  <si>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</si>
  <si>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</si>
  <si>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</si>
  <si>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</si>
  <si>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</si>
  <si>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</si>
  <si>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</si>
  <si>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</si>
  <si>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</si>
  <si>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</si>
  <si>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</si>
  <si>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</si>
  <si>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</si>
  <si>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</si>
  <si>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</si>
  <si>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</si>
  <si>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</si>
  <si>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</si>
  <si>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</si>
  <si>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</si>
  <si>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</si>
  <si>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</si>
  <si>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</si>
  <si>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</si>
  <si>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</si>
  <si>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</si>
  <si>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</si>
  <si>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</si>
  <si>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</si>
  <si>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</si>
  <si>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</si>
  <si>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</si>
  <si>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</si>
  <si>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</si>
  <si>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</si>
  <si>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</si>
  <si>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</si>
  <si>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</si>
  <si>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</si>
  <si>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</si>
  <si>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</si>
  <si>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</si>
  <si>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</si>
  <si>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</si>
  <si>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</si>
  <si>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</si>
  <si>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</si>
  <si>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</si>
  <si>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</si>
  <si>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</si>
  <si>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</si>
  <si>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</si>
  <si>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</si>
  <si>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</si>
  <si>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</si>
  <si>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</si>
  <si>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</si>
  <si>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</si>
  <si>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</si>
  <si>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</si>
  <si>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</si>
  <si>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</si>
  <si>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</si>
  <si>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</si>
  <si>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</si>
  <si>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</si>
  <si>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</si>
  <si>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</si>
  <si>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</si>
  <si>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</si>
  <si>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</si>
  <si>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</si>
  <si>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</si>
  <si>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</si>
  <si>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</si>
  <si>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</si>
  <si>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</si>
  <si>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</si>
  <si>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</si>
  <si>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</si>
  <si>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</si>
  <si>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</si>
  <si>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</si>
  <si>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</si>
  <si>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</si>
  <si>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</si>
  <si>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</si>
  <si>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</si>
  <si>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</si>
  <si>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</si>
  <si>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</si>
  <si>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</si>
  <si>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</si>
  <si>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</si>
  <si>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</si>
  <si>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</si>
  <si>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</si>
  <si>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</si>
  <si>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</si>
  <si>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</si>
  <si>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</si>
  <si>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</si>
  <si>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</si>
  <si>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</si>
  <si>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</si>
  <si>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</si>
  <si>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</si>
  <si>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</si>
  <si>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</si>
  <si>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</si>
  <si>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</si>
  <si>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</si>
  <si>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</si>
  <si>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</si>
  <si>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</si>
  <si>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</si>
  <si>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</si>
  <si>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</si>
  <si>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</si>
  <si>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</si>
  <si>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</si>
  <si>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</si>
  <si>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</si>
  <si>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</si>
  <si>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</si>
  <si>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</si>
  <si>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</si>
  <si>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</si>
  <si>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</si>
  <si>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</si>
  <si>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</si>
  <si>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</si>
  <si>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</si>
  <si>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</si>
  <si>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</si>
  <si>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</si>
  <si>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</si>
  <si>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</si>
  <si>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</si>
  <si>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</si>
  <si>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</si>
  <si>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</si>
  <si>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</si>
  <si>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</si>
  <si>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</si>
  <si>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</si>
  <si>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</si>
  <si>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</si>
  <si>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</si>
  <si>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</si>
  <si>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</si>
  <si>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</si>
  <si>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</si>
  <si>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</si>
  <si>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</si>
  <si>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</si>
  <si>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</si>
  <si>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</si>
  <si>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</si>
  <si>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</si>
  <si>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</si>
  <si>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</si>
  <si>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</si>
  <si>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</si>
  <si>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</si>
  <si>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</si>
  <si>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</si>
  <si>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</si>
  <si>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</si>
  <si>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</si>
  <si>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</si>
  <si>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</si>
  <si>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</si>
  <si>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</si>
  <si>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</si>
  <si>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</si>
  <si>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</si>
  <si>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</si>
  <si>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</si>
  <si>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</si>
  <si>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</si>
  <si>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</si>
  <si>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</si>
  <si>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</si>
  <si>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</si>
  <si>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</si>
  <si>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</si>
  <si>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</si>
  <si>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</si>
  <si>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</si>
  <si>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</si>
  <si>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</si>
  <si>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</si>
  <si>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</si>
  <si>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</si>
  <si>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</si>
  <si>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</si>
  <si>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</si>
  <si>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</si>
  <si>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</si>
  <si>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</si>
  <si>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</si>
  <si>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</si>
  <si>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</si>
  <si>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</si>
  <si>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</si>
  <si>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</si>
  <si>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</si>
  <si>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</si>
  <si>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</si>
  <si>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</si>
  <si>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</si>
  <si>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</si>
  <si>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</si>
  <si>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</si>
  <si>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</si>
  <si>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</si>
  <si>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</si>
  <si>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</si>
  <si>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</si>
  <si>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</si>
  <si>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</si>
  <si>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</si>
  <si>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</si>
  <si>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</si>
  <si>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</si>
  <si>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</si>
  <si>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</si>
  <si>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</si>
  <si>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</si>
  <si>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</si>
  <si>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</si>
  <si>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</si>
  <si>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</si>
  <si>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</si>
  <si>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</si>
  <si>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</si>
  <si>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</si>
  <si>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</si>
  <si>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</si>
  <si>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</si>
  <si>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</si>
  <si>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</si>
  <si>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</si>
  <si>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</si>
  <si>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</si>
  <si>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</si>
  <si>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</si>
  <si>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</si>
  <si>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</si>
  <si>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</si>
  <si>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</si>
  <si>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</si>
  <si>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</si>
  <si>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</si>
  <si>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</si>
  <si>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</si>
  <si>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</si>
  <si>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</si>
  <si>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</si>
  <si>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</si>
  <si>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</si>
  <si>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</si>
  <si>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</si>
  <si>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</si>
  <si>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</si>
  <si>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</si>
  <si>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</si>
  <si>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</si>
  <si>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</si>
  <si>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</si>
  <si>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</si>
  <si>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</si>
  <si>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</si>
  <si>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</si>
  <si>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</si>
  <si>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</si>
  <si>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</si>
  <si>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</si>
  <si>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</si>
  <si>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</si>
  <si>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</si>
  <si>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</si>
  <si>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</si>
  <si>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</si>
  <si>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</si>
  <si>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</si>
  <si>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</si>
  <si>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</si>
  <si>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</si>
  <si>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</si>
  <si>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</si>
  <si>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</si>
  <si>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</si>
  <si>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</si>
  <si>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</si>
  <si>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</si>
  <si>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</si>
  <si>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</si>
  <si>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</si>
  <si>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</si>
  <si>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</si>
  <si>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</si>
  <si>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</si>
  <si>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</si>
  <si>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</si>
  <si>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</si>
  <si>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</si>
  <si>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</si>
  <si>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</si>
  <si>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</si>
  <si>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</si>
  <si>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</si>
  <si>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</si>
  <si>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</si>
  <si>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</si>
  <si>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</si>
  <si>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</si>
  <si>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</si>
  <si>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</si>
  <si>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</si>
  <si>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</si>
  <si>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</si>
  <si>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</si>
  <si>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</si>
  <si>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</si>
  <si>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</si>
  <si>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</si>
  <si>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</si>
  <si>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</si>
  <si>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</si>
  <si>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</si>
  <si>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</si>
  <si>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</si>
  <si>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</si>
  <si>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</si>
  <si>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</si>
  <si>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</si>
  <si>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</si>
  <si>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</si>
  <si>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</si>
  <si>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</si>
  <si>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</si>
  <si>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</si>
  <si>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</si>
  <si>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</si>
  <si>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</si>
  <si>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</si>
  <si>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</si>
  <si>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</si>
  <si>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</si>
  <si>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</si>
  <si>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</si>
  <si>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</si>
  <si>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</si>
  <si>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</si>
  <si>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</si>
  <si>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</si>
  <si>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</si>
  <si>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</si>
  <si>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</si>
  <si>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</si>
  <si>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</si>
  <si>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</si>
  <si>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</si>
  <si>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</si>
  <si>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</si>
  <si>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</si>
  <si>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</si>
  <si>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</si>
  <si>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</si>
  <si>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</si>
  <si>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</si>
  <si>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</si>
  <si>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</si>
  <si>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</si>
  <si>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</si>
  <si>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</si>
  <si>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</si>
  <si>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</si>
  <si>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</si>
  <si>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</si>
  <si>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</si>
  <si>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</si>
  <si>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</si>
  <si>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</si>
  <si>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</si>
  <si>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</si>
  <si>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</si>
  <si>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</si>
  <si>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</si>
  <si>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</si>
  <si>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</si>
  <si>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</si>
  <si>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</si>
  <si>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</si>
  <si>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</si>
  <si>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</si>
  <si>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</si>
  <si>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</si>
  <si>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</si>
  <si>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</si>
  <si>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</si>
  <si>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</si>
  <si>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</si>
  <si>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</si>
  <si>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</si>
  <si>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</si>
  <si>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</si>
  <si>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</si>
  <si>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</si>
  <si>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</si>
  <si>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</si>
  <si>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</si>
  <si>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</si>
  <si>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</si>
  <si>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</si>
  <si>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</si>
  <si>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</si>
  <si>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</si>
  <si>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</si>
  <si>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</si>
  <si>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</si>
  <si>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</si>
  <si>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</si>
  <si>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</si>
  <si>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</si>
  <si>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</si>
  <si>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</si>
  <si>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</si>
  <si>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</si>
  <si>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</si>
  <si>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</si>
  <si>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</si>
  <si>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</si>
  <si>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</si>
  <si>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</si>
  <si>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</si>
  <si>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</si>
  <si>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</si>
  <si>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</si>
  <si>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</si>
  <si>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</si>
  <si>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</si>
  <si>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</si>
  <si>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</si>
  <si>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</si>
  <si>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</si>
  <si>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</si>
  <si>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</si>
  <si>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</si>
  <si>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</si>
  <si>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</si>
  <si>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</si>
  <si>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</si>
  <si>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</si>
  <si>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</si>
  <si>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</si>
  <si>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</si>
  <si>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</si>
  <si>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</si>
  <si>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</si>
  <si>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</si>
  <si>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</si>
  <si>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</si>
  <si>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</si>
  <si>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</si>
  <si>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</si>
  <si>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</si>
  <si>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</si>
  <si>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</si>
  <si>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</si>
  <si>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</si>
  <si>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</si>
  <si>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</si>
  <si>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</si>
  <si>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</si>
  <si>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</si>
  <si>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</si>
  <si>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</si>
  <si>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</si>
  <si>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</si>
  <si>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</si>
  <si>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</si>
  <si>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</si>
  <si>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</si>
  <si>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</si>
  <si>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</si>
  <si>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</si>
  <si>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</si>
  <si>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</si>
  <si>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</si>
  <si>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</si>
  <si>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</si>
  <si>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</si>
  <si>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</si>
  <si>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</si>
  <si>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</si>
  <si>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</si>
  <si>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</si>
  <si>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</si>
  <si>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</si>
  <si>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</si>
  <si>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</si>
  <si>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</si>
  <si>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</si>
  <si>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</si>
  <si>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</si>
  <si>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</si>
  <si>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</si>
  <si>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</si>
  <si>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</si>
  <si>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</si>
  <si>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</si>
  <si>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</si>
  <si>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</si>
  <si>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</si>
  <si>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</si>
  <si>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</si>
  <si>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</si>
  <si>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</si>
  <si>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</si>
  <si>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</si>
  <si>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</si>
  <si>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</si>
  <si>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</si>
  <si>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</si>
  <si>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</si>
  <si>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</si>
  <si>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</si>
  <si>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</si>
  <si>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</si>
  <si>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</si>
  <si>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</si>
  <si>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</si>
  <si>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</si>
  <si>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</si>
  <si>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</si>
  <si>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</si>
  <si>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</si>
  <si>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</si>
  <si>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</si>
  <si>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</si>
  <si>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</si>
  <si>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</si>
  <si>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</si>
  <si>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</si>
  <si>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</si>
  <si>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</si>
  <si>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</si>
  <si>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</si>
  <si>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</si>
  <si>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</si>
  <si>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</si>
  <si>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</si>
  <si>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</si>
  <si>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</si>
  <si>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</si>
  <si>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</si>
  <si>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</si>
  <si>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</si>
  <si>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</si>
  <si>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</si>
  <si>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</si>
  <si>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</si>
  <si>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</si>
  <si>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</si>
  <si>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</si>
  <si>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</si>
  <si>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</si>
  <si>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</si>
  <si>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</si>
  <si>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</si>
  <si>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</si>
  <si>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</si>
  <si>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</si>
  <si>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</si>
  <si>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</si>
  <si>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</si>
  <si>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</si>
  <si>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</si>
  <si>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</si>
  <si>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</si>
  <si>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</si>
  <si>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</si>
  <si>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</si>
  <si>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</si>
  <si>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</si>
  <si>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</si>
  <si>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</si>
  <si>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</si>
  <si>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</si>
  <si>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</si>
  <si>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</si>
  <si>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</si>
  <si>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</si>
  <si>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</si>
  <si>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</si>
  <si>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</si>
  <si>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</si>
  <si>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</si>
  <si>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</si>
  <si>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</si>
  <si>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</si>
  <si>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</si>
  <si>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</si>
  <si>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</si>
  <si>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</si>
  <si>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</si>
  <si>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</si>
  <si>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</si>
  <si>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</si>
  <si>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</si>
  <si>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</si>
  <si>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</si>
  <si>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</si>
  <si>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</si>
  <si>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</si>
  <si>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</si>
  <si>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</si>
  <si>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</si>
  <si>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</si>
  <si>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</si>
  <si>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</si>
  <si>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</si>
  <si>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</si>
  <si>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</si>
  <si>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</si>
  <si>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</si>
  <si>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</si>
  <si>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</si>
  <si>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</si>
  <si>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</si>
  <si>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</si>
  <si>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</si>
  <si>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</si>
  <si>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</si>
  <si>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</si>
  <si>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</si>
  <si>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</si>
  <si>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</si>
  <si>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</si>
  <si>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</si>
  <si>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</si>
  <si>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</si>
  <si>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</si>
  <si>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</si>
  <si>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</si>
  <si>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</si>
  <si>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</si>
  <si>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</si>
  <si>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</si>
  <si>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</si>
  <si>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</si>
  <si>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</si>
  <si>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</si>
  <si>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</si>
  <si>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</si>
  <si>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</si>
  <si>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</si>
  <si>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</si>
  <si>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</si>
  <si>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</si>
  <si>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</si>
  <si>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</si>
  <si>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</si>
  <si>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</si>
  <si>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</si>
  <si>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</si>
  <si>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</si>
  <si>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</si>
  <si>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</si>
  <si>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</si>
  <si>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</si>
  <si>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</si>
  <si>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</si>
  <si>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</si>
  <si>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</si>
  <si>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</si>
  <si>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</si>
  <si>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</si>
  <si>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</si>
  <si>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</si>
  <si>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</si>
  <si>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</si>
  <si>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</si>
  <si>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</si>
  <si>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</si>
  <si>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</si>
  <si>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</si>
  <si>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</si>
  <si>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</si>
  <si>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</si>
  <si>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</si>
  <si>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</si>
  <si>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</si>
  <si>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</si>
  <si>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</si>
  <si>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</si>
  <si>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</si>
  <si>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</si>
  <si>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</si>
  <si>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</si>
  <si>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</si>
  <si>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</si>
  <si>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</si>
  <si>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</si>
  <si>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</si>
  <si>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</si>
  <si>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</si>
  <si>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</si>
  <si>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</si>
  <si>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</si>
  <si>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</si>
  <si>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</si>
  <si>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</si>
  <si>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</si>
  <si>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</si>
  <si>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</si>
  <si>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</si>
  <si>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</si>
  <si>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</si>
  <si>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</si>
  <si>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</si>
  <si>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</si>
  <si>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</si>
  <si>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</si>
  <si>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</si>
  <si>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</si>
  <si>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</si>
  <si>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</si>
  <si>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</si>
  <si>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</si>
  <si>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</si>
  <si>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</si>
  <si>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</si>
  <si>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</si>
  <si>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</si>
  <si>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</si>
  <si>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</si>
  <si>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</si>
  <si>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</si>
  <si>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</si>
  <si>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</si>
  <si>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</si>
  <si>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</si>
  <si>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</si>
  <si>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</si>
  <si>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</si>
  <si>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</si>
  <si>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</si>
  <si>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</si>
  <si>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</si>
  <si>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</si>
  <si>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</si>
  <si>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</si>
  <si>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</si>
  <si>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</si>
  <si>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</si>
  <si>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</si>
  <si>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</si>
  <si>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</si>
  <si>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</si>
  <si>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</si>
  <si>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</si>
  <si>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</si>
  <si>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</si>
  <si>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</si>
  <si>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</si>
  <si>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</si>
  <si>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</si>
  <si>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</si>
  <si>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</si>
  <si>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</si>
  <si>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</si>
  <si>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</si>
  <si>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</si>
  <si>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</si>
  <si>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</si>
  <si>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</si>
  <si>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</si>
  <si>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</si>
  <si>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</si>
  <si>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</si>
  <si>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</si>
  <si>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</si>
  <si>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</si>
  <si>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</si>
  <si>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</si>
  <si>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</si>
  <si>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</si>
  <si>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</si>
  <si>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</si>
  <si>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</si>
  <si>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</si>
  <si>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</si>
  <si>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</si>
  <si>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</si>
  <si>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</si>
  <si>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</si>
  <si>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</si>
  <si>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</si>
  <si>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</si>
  <si>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</si>
  <si>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</si>
  <si>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</si>
  <si>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</si>
  <si>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</si>
  <si>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</si>
  <si>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</si>
  <si>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</si>
  <si>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</si>
  <si>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</si>
  <si>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</si>
  <si>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</si>
  <si>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</si>
  <si>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</si>
  <si>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</si>
  <si>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</si>
  <si>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</si>
  <si>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</si>
  <si>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</si>
  <si>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</si>
  <si>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</si>
  <si>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</si>
  <si>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</si>
  <si>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</si>
  <si>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</si>
  <si>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</si>
  <si>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</si>
  <si>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</si>
  <si>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</si>
  <si>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</si>
  <si>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</si>
  <si>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</si>
  <si>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</si>
  <si>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</si>
  <si>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</si>
  <si>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</si>
  <si>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</si>
  <si>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</si>
  <si>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</si>
  <si>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</si>
  <si>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</si>
  <si>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</si>
  <si>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</si>
  <si>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</si>
  <si>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</si>
  <si>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</si>
  <si>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</si>
  <si>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</si>
  <si>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</si>
  <si>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</si>
  <si>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</si>
  <si>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</si>
  <si>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</si>
  <si>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</si>
  <si>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</si>
  <si>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</si>
  <si>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</si>
  <si>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</si>
  <si>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</si>
  <si>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</si>
  <si>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</si>
  <si>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</si>
  <si>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</si>
  <si>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</si>
  <si>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</si>
  <si>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</si>
  <si>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</si>
  <si>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</si>
  <si>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</si>
  <si>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</si>
  <si>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</si>
  <si>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</si>
  <si>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</si>
  <si>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</si>
  <si>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</si>
  <si>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</si>
  <si>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</si>
  <si>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</si>
  <si>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</si>
  <si>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</si>
  <si>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</si>
  <si>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</si>
  <si>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</si>
  <si>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</si>
  <si>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</si>
  <si>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</si>
  <si>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</si>
  <si>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</si>
  <si>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</si>
  <si>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</si>
  <si>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</si>
  <si>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</si>
  <si>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</si>
  <si>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</si>
  <si>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</si>
  <si>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</si>
  <si>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</si>
  <si>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</si>
  <si>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</si>
  <si>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</si>
  <si>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</si>
  <si>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</si>
  <si>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</si>
  <si>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</si>
  <si>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</si>
  <si>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</si>
  <si>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</si>
  <si>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</si>
  <si>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</si>
  <si>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</si>
  <si>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</si>
  <si>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</si>
  <si>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</si>
  <si>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</si>
  <si>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</si>
  <si>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</si>
  <si>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</si>
  <si>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</si>
  <si>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</si>
  <si>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</si>
  <si>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</si>
  <si>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</si>
  <si>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</si>
  <si>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</si>
  <si>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</si>
  <si>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</si>
  <si>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</si>
  <si>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</si>
  <si>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</si>
  <si>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</si>
  <si>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</si>
  <si>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</si>
  <si>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</si>
  <si>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</si>
  <si>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</si>
  <si>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</si>
  <si>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</si>
  <si>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</si>
  <si>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</si>
  <si>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</si>
  <si>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</si>
  <si>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</si>
  <si>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</si>
  <si>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</si>
  <si>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</si>
  <si>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</si>
  <si>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</si>
  <si>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</si>
  <si>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</si>
  <si>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</si>
  <si>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</si>
  <si>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</si>
  <si>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</si>
  <si>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</si>
  <si>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</si>
  <si>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</si>
  <si>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</si>
  <si>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</si>
  <si>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</si>
  <si>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</si>
  <si>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</si>
  <si>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</si>
  <si>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</si>
  <si>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</si>
  <si>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</si>
  <si>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</si>
  <si>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</si>
  <si>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</si>
  <si>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</si>
  <si>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</si>
  <si>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</si>
  <si>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</si>
  <si>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</si>
  <si>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</si>
  <si>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</si>
  <si>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</si>
  <si>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</si>
  <si>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</si>
  <si>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</si>
  <si>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</si>
  <si>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</si>
  <si>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</si>
  <si>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</si>
  <si>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</si>
  <si>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</si>
  <si>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</si>
  <si>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</si>
  <si>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</si>
  <si>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</si>
  <si>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</si>
  <si>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</si>
  <si>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</si>
  <si>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</si>
  <si>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</si>
  <si>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</si>
  <si>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</si>
  <si>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</si>
  <si>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</si>
  <si>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</si>
  <si>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</si>
  <si>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</si>
  <si>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</si>
  <si>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</si>
  <si>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</si>
  <si>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</si>
  <si>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</si>
  <si>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</si>
  <si>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</si>
  <si>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</si>
  <si>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</si>
  <si>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</si>
  <si>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</si>
  <si>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</si>
  <si>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</si>
  <si>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</si>
  <si>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</si>
  <si>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</si>
  <si>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</si>
  <si>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</si>
  <si>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</si>
  <si>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</si>
  <si>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</si>
  <si>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</si>
  <si>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</si>
  <si>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</si>
  <si>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</si>
  <si>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</si>
  <si>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</si>
  <si>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</si>
  <si>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</si>
  <si>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</si>
  <si>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</si>
  <si>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</si>
  <si>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</si>
  <si>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</si>
  <si>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</si>
  <si>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</si>
  <si>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</si>
  <si>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</si>
  <si>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</si>
  <si>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</si>
  <si>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</si>
  <si>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</si>
  <si>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</si>
  <si>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</si>
  <si>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</si>
  <si>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</si>
  <si>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</si>
  <si>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</si>
  <si>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</si>
  <si>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</si>
  <si>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</si>
  <si>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</si>
  <si>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</si>
  <si>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</si>
  <si>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</si>
  <si>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</si>
  <si>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</si>
  <si>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</si>
  <si>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</si>
  <si>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</si>
  <si>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</si>
  <si>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</si>
  <si>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</si>
  <si>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</si>
  <si>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</si>
  <si>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</si>
  <si>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</si>
  <si>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</si>
  <si>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</si>
  <si>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</si>
  <si>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</si>
  <si>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</si>
  <si>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</si>
  <si>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</si>
  <si>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</si>
  <si>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</si>
  <si>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</si>
  <si>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</si>
  <si>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</si>
  <si>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</si>
  <si>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</si>
  <si>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</si>
  <si>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</si>
  <si>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</si>
  <si>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</si>
  <si>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</si>
  <si>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</si>
  <si>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</si>
  <si>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</si>
  <si>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</si>
  <si>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</si>
  <si>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</si>
  <si>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</si>
  <si>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</si>
  <si>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</si>
  <si>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</si>
  <si>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</si>
  <si>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</si>
  <si>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</si>
  <si>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</si>
  <si>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</si>
  <si>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</si>
  <si>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</si>
  <si>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</si>
  <si>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</si>
  <si>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</si>
  <si>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</si>
  <si>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</si>
  <si>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</si>
  <si>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</si>
  <si>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</si>
  <si>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</si>
  <si>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</si>
  <si>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</si>
  <si>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</si>
  <si>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</si>
  <si>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</si>
  <si>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</si>
  <si>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</si>
  <si>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</si>
  <si>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</si>
  <si>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</si>
  <si>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</si>
  <si>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</si>
  <si>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</si>
  <si>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</si>
  <si>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</si>
  <si>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</si>
  <si>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</si>
  <si>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</si>
  <si>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</si>
  <si>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</si>
  <si>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</si>
  <si>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</si>
  <si>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</si>
  <si>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</si>
  <si>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</si>
  <si>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</si>
  <si>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</si>
  <si>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</si>
  <si>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</si>
  <si>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</si>
  <si>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</si>
  <si>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</si>
  <si>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</si>
  <si>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</si>
  <si>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</si>
  <si>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</si>
  <si>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</si>
  <si>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</si>
  <si>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</si>
  <si>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</si>
  <si>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</si>
  <si>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</si>
  <si>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</si>
  <si>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</si>
  <si>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</si>
  <si>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</si>
  <si>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</si>
  <si>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</si>
  <si>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</si>
  <si>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</si>
  <si>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</si>
  <si>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</si>
  <si>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</si>
  <si>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</si>
  <si>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</si>
  <si>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</si>
  <si>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</si>
  <si>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</si>
  <si>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</si>
  <si>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</si>
  <si>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</si>
  <si>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</si>
  <si>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</si>
  <si>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</si>
  <si>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</si>
  <si>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</si>
  <si>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</si>
  <si>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</si>
  <si>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</si>
  <si>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</si>
  <si>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</si>
  <si>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</si>
  <si>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</si>
  <si>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</si>
  <si>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</si>
  <si>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</si>
  <si>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</si>
  <si>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</si>
  <si>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</si>
  <si>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</si>
  <si>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</si>
  <si>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</si>
  <si>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</si>
  <si>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</si>
  <si>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</si>
  <si>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</si>
  <si>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</si>
  <si>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</si>
  <si>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</si>
  <si>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</si>
  <si>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</si>
  <si>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</si>
  <si>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</si>
  <si>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</si>
  <si>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</si>
  <si>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</si>
  <si>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</si>
  <si>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</si>
  <si>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</si>
  <si>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</si>
  <si>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</si>
  <si>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</si>
  <si>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</si>
  <si>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</si>
  <si>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</si>
  <si>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</si>
  <si>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</si>
  <si>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</si>
  <si>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</si>
  <si>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</si>
  <si>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</si>
  <si>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</si>
  <si>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</si>
  <si>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</si>
  <si>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</si>
  <si>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</si>
  <si>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</si>
  <si>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</si>
  <si>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</si>
  <si>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</si>
  <si>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</si>
  <si>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</si>
  <si>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</si>
  <si>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</si>
  <si>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</si>
  <si>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</si>
  <si>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</si>
  <si>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</si>
  <si>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</si>
  <si>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</si>
  <si>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</si>
  <si>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</si>
  <si>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</si>
  <si>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</si>
  <si>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</si>
  <si>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</si>
  <si>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</si>
  <si>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</si>
  <si>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</si>
  <si>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</si>
  <si>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</si>
  <si>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</si>
  <si>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</si>
  <si>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</si>
  <si>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</si>
  <si>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</si>
  <si>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</si>
  <si>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</si>
  <si>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</si>
  <si>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</si>
  <si>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</si>
  <si>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</si>
  <si>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</si>
  <si>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</si>
  <si>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</si>
  <si>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</si>
  <si>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</si>
  <si>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</si>
  <si>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</si>
  <si>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</si>
  <si>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</si>
  <si>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</si>
  <si>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</si>
  <si>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</si>
  <si>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</si>
  <si>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</si>
  <si>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</si>
  <si>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</si>
  <si>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</si>
  <si>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</si>
  <si>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</si>
  <si>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</si>
  <si>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</si>
  <si>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</si>
  <si>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</si>
  <si>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</si>
  <si>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</si>
  <si>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</si>
  <si>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</si>
  <si>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</si>
  <si>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</si>
  <si>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</si>
  <si>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</si>
  <si>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</si>
  <si>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</si>
  <si>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</si>
  <si>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</si>
  <si>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</si>
  <si>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</si>
  <si>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</si>
  <si>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</si>
  <si>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</si>
  <si>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</si>
  <si>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</si>
  <si>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</si>
  <si>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</si>
  <si>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</si>
  <si>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</si>
  <si>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</si>
  <si>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</si>
  <si>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</si>
  <si>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</si>
  <si>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</si>
  <si>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</si>
  <si>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</si>
  <si>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</si>
  <si>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</si>
  <si>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</si>
  <si>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</si>
  <si>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</si>
  <si>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</si>
  <si>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</si>
  <si>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</si>
  <si>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</si>
  <si>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</si>
  <si>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</si>
  <si>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</si>
  <si>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</si>
  <si>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</si>
  <si>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</si>
  <si>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</si>
  <si>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</si>
  <si>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</si>
  <si>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</si>
  <si>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</si>
  <si>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</si>
  <si>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</si>
  <si>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</si>
  <si>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</si>
  <si>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</si>
  <si>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</si>
  <si>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</si>
  <si>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</si>
  <si>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</si>
  <si>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</si>
  <si>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</si>
  <si>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</si>
  <si>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</si>
  <si>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</si>
  <si>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</si>
  <si>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</si>
  <si>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</si>
  <si>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</si>
  <si>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</si>
  <si>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</si>
  <si>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</si>
  <si>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</si>
  <si>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</si>
  <si>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</si>
  <si>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</si>
  <si>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</si>
  <si>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</si>
  <si>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</si>
  <si>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</si>
  <si>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</si>
  <si>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</si>
  <si>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</si>
  <si>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</si>
  <si>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</si>
  <si>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</si>
  <si>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</si>
  <si>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</si>
  <si>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</si>
  <si>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</si>
  <si>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</si>
  <si>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</si>
  <si>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</si>
  <si>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</si>
  <si>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</si>
  <si>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</si>
  <si>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</si>
  <si>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</si>
  <si>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</si>
  <si>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</si>
  <si>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</si>
  <si>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</si>
  <si>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</si>
  <si>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</si>
  <si>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</si>
  <si>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</si>
  <si>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</si>
  <si>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</si>
  <si>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</si>
  <si>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</si>
  <si>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</si>
  <si>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</si>
  <si>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</si>
  <si>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</si>
  <si>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</si>
  <si>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</si>
  <si>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</si>
  <si>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</si>
  <si>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</si>
  <si>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</si>
  <si>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</si>
  <si>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</si>
  <si>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</si>
  <si>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</si>
  <si>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</si>
  <si>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</si>
  <si>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</si>
  <si>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</si>
  <si>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</si>
  <si>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</si>
  <si>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</si>
  <si>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</si>
  <si>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</si>
  <si>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</si>
  <si>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</si>
  <si>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</si>
  <si>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</si>
  <si>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</si>
  <si>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</si>
  <si>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</si>
  <si>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</si>
  <si>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</si>
  <si>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</si>
  <si>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</si>
  <si>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</si>
  <si>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</si>
  <si>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</si>
  <si>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</si>
  <si>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</si>
  <si>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</si>
  <si>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</si>
  <si>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</si>
  <si>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</si>
  <si>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</si>
  <si>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</si>
  <si>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</si>
  <si>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</si>
  <si>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</si>
  <si>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</si>
  <si>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</si>
  <si>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</si>
  <si>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</si>
  <si>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</si>
  <si>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</si>
  <si>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</si>
  <si>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</si>
  <si>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</si>
  <si>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</si>
  <si>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</si>
  <si>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</si>
  <si>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</si>
  <si>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</si>
  <si>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</si>
  <si>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</si>
  <si>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</si>
  <si>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</si>
  <si>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</si>
  <si>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</si>
  <si>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</si>
  <si>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</si>
  <si>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</si>
  <si>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</si>
  <si>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</si>
  <si>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</si>
  <si>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</si>
  <si>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</si>
  <si>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</si>
  <si>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</si>
  <si>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</si>
  <si>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</si>
  <si>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</si>
  <si>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</si>
  <si>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</si>
  <si>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</si>
  <si>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</si>
  <si>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</si>
  <si>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</si>
  <si>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</si>
  <si>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</si>
  <si>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</si>
  <si>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</si>
  <si>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</si>
  <si>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</si>
  <si>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</si>
  <si>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</si>
  <si>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</si>
  <si>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</si>
  <si>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</si>
  <si>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</si>
  <si>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</si>
  <si>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</si>
  <si>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</si>
  <si>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</si>
  <si>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</si>
  <si>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</si>
  <si>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</si>
  <si>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</si>
  <si>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</si>
  <si>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</si>
  <si>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</si>
  <si>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</si>
  <si>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</si>
  <si>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</si>
  <si>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</si>
  <si>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</si>
  <si>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</si>
  <si>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</si>
  <si>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</si>
  <si>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</si>
  <si>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</si>
  <si>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</si>
  <si>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</si>
  <si>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</si>
  <si>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</si>
  <si>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</si>
  <si>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</si>
  <si>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</si>
  <si>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</si>
  <si>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</si>
  <si>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</si>
  <si>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</si>
  <si>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</si>
  <si>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</si>
  <si>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</si>
  <si>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</si>
  <si>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</si>
  <si>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</si>
  <si>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</si>
  <si>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</si>
  <si>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</si>
  <si>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</si>
  <si>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</si>
  <si>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</si>
  <si>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</si>
  <si>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</si>
  <si>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</si>
  <si>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</si>
  <si>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</si>
  <si>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</si>
  <si>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</si>
  <si>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</si>
  <si>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</si>
  <si>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</si>
  <si>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</si>
  <si>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</si>
  <si>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</si>
  <si>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</si>
  <si>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</si>
  <si>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</si>
  <si>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</si>
  <si>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</si>
  <si>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</si>
  <si>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</si>
  <si>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</si>
  <si>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</si>
  <si>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</si>
  <si>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</si>
  <si>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</si>
  <si>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</si>
  <si>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</si>
  <si>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</si>
  <si>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</si>
  <si>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</si>
  <si>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</si>
  <si>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</si>
  <si>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</si>
  <si>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</si>
  <si>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</si>
  <si>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</si>
  <si>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</si>
  <si>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</si>
  <si>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</si>
  <si>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</si>
  <si>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</si>
  <si>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</si>
  <si>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</si>
  <si>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</si>
  <si>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</si>
  <si>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</si>
  <si>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</si>
  <si>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</si>
  <si>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</si>
  <si>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</si>
  <si>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</si>
  <si>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</si>
  <si>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</si>
  <si>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</si>
  <si>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</si>
  <si>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</si>
  <si>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</si>
  <si>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</si>
  <si>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</si>
  <si>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</si>
  <si>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</si>
  <si>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</si>
  <si>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</si>
  <si>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</si>
  <si>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</si>
  <si>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</si>
  <si>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</si>
  <si>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</si>
  <si>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</si>
  <si>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</si>
  <si>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</si>
  <si>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</si>
  <si>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</si>
  <si>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</si>
  <si>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</si>
  <si>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</si>
  <si>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</si>
  <si>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</si>
  <si>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</si>
  <si>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</si>
  <si>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</si>
  <si>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</si>
  <si>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</si>
  <si>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</si>
  <si>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</si>
  <si>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</si>
  <si>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</si>
  <si>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</si>
  <si>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</si>
  <si>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</si>
  <si>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</si>
  <si>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</si>
  <si>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</si>
  <si>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</si>
  <si>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</si>
  <si>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</si>
  <si>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</si>
  <si>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</si>
  <si>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</si>
  <si>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</si>
  <si>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</si>
  <si>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</si>
  <si>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</si>
  <si>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</si>
  <si>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</si>
  <si>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</si>
  <si>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</si>
  <si>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</si>
  <si>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</si>
  <si>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</si>
  <si>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</si>
  <si>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</si>
  <si>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</si>
  <si>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</si>
  <si>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</si>
  <si>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</si>
  <si>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</si>
  <si>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</si>
  <si>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</si>
  <si>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</si>
  <si>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</si>
  <si>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</si>
  <si>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</si>
  <si>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</si>
  <si>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</si>
  <si>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</si>
  <si>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</si>
  <si>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</si>
  <si>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</si>
  <si>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</si>
  <si>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</si>
  <si>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</si>
  <si>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</si>
  <si>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</si>
  <si>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</si>
  <si>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</si>
  <si>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</si>
  <si>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</si>
  <si>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</si>
  <si>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</si>
  <si>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</si>
  <si>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</si>
  <si>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</si>
  <si>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</si>
  <si>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</si>
  <si>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</si>
  <si>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</si>
  <si>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</si>
  <si>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</si>
  <si>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</si>
  <si>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</si>
  <si>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</si>
  <si>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</si>
  <si>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</si>
  <si>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</si>
  <si>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</si>
  <si>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</si>
  <si>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</si>
  <si>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</si>
  <si>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</si>
  <si>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</si>
  <si>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</si>
  <si>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</si>
  <si>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</si>
  <si>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</si>
  <si>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</si>
  <si>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</si>
  <si>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</si>
  <si>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</si>
  <si>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</si>
  <si>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</si>
  <si>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</si>
  <si>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</si>
  <si>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</si>
  <si>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</si>
  <si>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</si>
  <si>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</si>
  <si>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</si>
  <si>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</si>
  <si>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</si>
  <si>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</si>
  <si>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</si>
  <si>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</si>
  <si>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</si>
  <si>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</si>
  <si>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</si>
  <si>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</si>
  <si>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</si>
  <si>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</si>
  <si>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</si>
  <si>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</si>
  <si>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</si>
  <si>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</si>
  <si>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</si>
  <si>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</si>
  <si>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</si>
  <si>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</si>
  <si>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</si>
  <si>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</si>
  <si>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</si>
  <si>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</si>
  <si>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</si>
  <si>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</si>
  <si>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</si>
  <si>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</si>
  <si>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</si>
  <si>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</si>
  <si>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</si>
  <si>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</si>
  <si>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</si>
  <si>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</si>
  <si>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</si>
  <si>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</si>
  <si>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</si>
  <si>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</si>
  <si>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</si>
  <si>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</si>
  <si>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</si>
  <si>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</si>
  <si>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</si>
  <si>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</si>
  <si>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</si>
  <si>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</si>
  <si>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</si>
  <si>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</si>
  <si>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</si>
  <si>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</si>
  <si>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</si>
  <si>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</si>
  <si>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</si>
  <si>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</si>
  <si>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</si>
  <si>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</si>
  <si>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</si>
  <si>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</si>
  <si>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</si>
  <si>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</si>
  <si>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</si>
  <si>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</si>
  <si>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</si>
  <si>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</si>
  <si>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</si>
  <si>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</si>
  <si>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</si>
  <si>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</si>
  <si>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</si>
  <si>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</si>
  <si>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</si>
  <si>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</si>
  <si>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</si>
  <si>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</si>
  <si>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</si>
  <si>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</si>
  <si>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</si>
  <si>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</si>
  <si>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</si>
  <si>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</si>
  <si>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</si>
  <si>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</si>
  <si>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</si>
  <si>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</si>
  <si>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</si>
  <si>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</si>
  <si>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</si>
  <si>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</si>
  <si>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</si>
  <si>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</si>
  <si>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</si>
  <si>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</si>
  <si>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</si>
  <si>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</si>
  <si>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</si>
  <si>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</si>
  <si>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</si>
  <si>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</si>
  <si>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</si>
  <si>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</si>
  <si>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</si>
  <si>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</si>
  <si>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</si>
  <si>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</si>
  <si>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</si>
  <si>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</si>
  <si>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</si>
  <si>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</si>
  <si>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</si>
  <si>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</si>
  <si>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</si>
  <si>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</si>
  <si>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</si>
  <si>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</si>
  <si>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</si>
  <si>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</si>
  <si>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</si>
  <si>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</si>
  <si>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</si>
  <si>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</si>
  <si>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</si>
  <si>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</si>
  <si>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</si>
  <si>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</si>
  <si>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</si>
  <si>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</si>
  <si>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</si>
  <si>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</si>
  <si>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</si>
  <si>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</si>
  <si>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</si>
  <si>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</si>
  <si>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</si>
  <si>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</si>
  <si>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</si>
  <si>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</si>
  <si>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</si>
  <si>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</si>
  <si>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</si>
  <si>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</si>
  <si>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</si>
  <si>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</si>
  <si>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</si>
  <si>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</si>
  <si>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</si>
  <si>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</si>
  <si>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</si>
  <si>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</si>
  <si>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</si>
  <si>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</si>
  <si>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</si>
  <si>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</si>
  <si>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</si>
  <si>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</si>
  <si>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</si>
  <si>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</si>
  <si>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</si>
  <si>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</si>
  <si>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</si>
  <si>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</si>
  <si>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</si>
  <si>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密州东路与东环路交叉口西南角</t>
    <phoneticPr fontId="4" type="noConversion"/>
  </si>
  <si>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</si>
  <si>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</si>
  <si>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</si>
  <si>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</si>
  <si>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</si>
  <si>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</si>
  <si>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</si>
  <si>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</si>
  <si>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</si>
  <si>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</si>
  <si>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</si>
  <si>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</si>
  <si>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</si>
  <si>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</si>
  <si>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</si>
  <si>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</si>
  <si>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</si>
  <si>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</si>
  <si>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</si>
  <si>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</si>
  <si>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</si>
  <si>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</si>
  <si>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</si>
  <si>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</si>
  <si>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</si>
  <si>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</si>
  <si>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</si>
  <si>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</si>
  <si>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</si>
  <si>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</si>
  <si>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</si>
  <si>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</si>
  <si>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</si>
  <si>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</si>
  <si>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</si>
  <si>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</si>
  <si>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</si>
  <si>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</si>
  <si>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</si>
  <si>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</si>
  <si>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</si>
  <si>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</si>
  <si>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</si>
  <si>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</si>
  <si>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</si>
  <si>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</si>
  <si>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</si>
  <si>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</si>
  <si>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</si>
  <si>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</si>
  <si>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</si>
  <si>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</si>
  <si>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</si>
  <si>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</si>
  <si>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</si>
  <si>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</si>
  <si>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</si>
  <si>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</si>
  <si>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</si>
  <si>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</si>
  <si>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</si>
  <si>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</si>
  <si>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</si>
  <si>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</si>
  <si>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</si>
  <si>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</si>
  <si>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</si>
  <si>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</si>
  <si>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</si>
  <si>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</si>
  <si>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</si>
  <si>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</si>
  <si>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</si>
  <si>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</si>
  <si>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</si>
  <si>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</si>
  <si>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</si>
  <si>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</si>
  <si>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</si>
  <si>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</si>
  <si>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</si>
  <si>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</si>
  <si>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</si>
  <si>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</si>
  <si>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</si>
  <si>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</si>
  <si>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</si>
  <si>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</si>
  <si>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</si>
  <si>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</si>
  <si>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</si>
  <si>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</si>
  <si>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</si>
  <si>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</si>
  <si>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</si>
  <si>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</si>
  <si>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</si>
  <si>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</si>
  <si>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</si>
  <si>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</si>
  <si>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</si>
  <si>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</si>
  <si>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</si>
  <si>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</si>
  <si>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</si>
  <si>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</si>
  <si>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</si>
  <si>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</si>
  <si>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</si>
  <si>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</si>
  <si>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</si>
  <si>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</si>
  <si>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</si>
  <si>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</si>
  <si>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</si>
  <si>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</si>
  <si>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</si>
  <si>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</si>
  <si>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</si>
  <si>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</si>
  <si>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</si>
  <si>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</si>
  <si>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</si>
  <si>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</si>
  <si>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</si>
  <si>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</si>
  <si>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</si>
  <si>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</si>
  <si>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</si>
  <si>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</si>
  <si>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</si>
  <si>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</si>
  <si>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</si>
  <si>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</si>
  <si>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</si>
  <si>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</si>
  <si>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</si>
  <si>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</si>
  <si>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</si>
  <si>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</si>
  <si>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</si>
  <si>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</si>
  <si>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</si>
  <si>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</si>
  <si>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</si>
  <si>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</si>
  <si>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</si>
  <si>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</si>
  <si>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</si>
  <si>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</si>
  <si>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</si>
  <si>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</si>
  <si>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</si>
  <si>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</si>
  <si>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</si>
  <si>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</si>
  <si>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</si>
  <si>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</si>
  <si>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</si>
  <si>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</si>
  <si>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</si>
  <si>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</si>
  <si>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</si>
  <si>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</si>
  <si>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</si>
  <si>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</si>
  <si>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</si>
  <si>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</si>
  <si>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</si>
  <si>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</si>
  <si>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</si>
  <si>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</si>
  <si>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</si>
  <si>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</si>
  <si>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</si>
  <si>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</si>
  <si>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</si>
  <si>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</si>
  <si>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</si>
  <si>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</si>
  <si>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</si>
  <si>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</si>
  <si>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</si>
  <si>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</si>
  <si>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</si>
  <si>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</si>
  <si>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</si>
  <si>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</si>
  <si>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</si>
  <si>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</si>
  <si>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</si>
  <si>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</si>
  <si>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</si>
  <si>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</si>
  <si>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</si>
  <si>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</si>
  <si>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</si>
  <si>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</si>
  <si>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</si>
  <si>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</si>
  <si>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</si>
  <si>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</si>
  <si>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</si>
  <si>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</si>
  <si>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</si>
  <si>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</si>
  <si>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</si>
  <si>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</si>
  <si>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</si>
  <si>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</si>
  <si>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</si>
  <si>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</si>
  <si>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</si>
  <si>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</si>
  <si>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</si>
  <si>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</si>
  <si>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</si>
  <si>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</si>
  <si>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</si>
  <si>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</si>
  <si>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</si>
  <si>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</si>
  <si>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</si>
  <si>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</si>
  <si>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</si>
  <si>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</si>
  <si>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</si>
  <si>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</si>
  <si>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</si>
  <si>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</si>
  <si>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</si>
  <si>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</si>
  <si>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</si>
  <si>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</si>
  <si>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</si>
  <si>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</si>
  <si>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</si>
  <si>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</si>
  <si>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</si>
  <si>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</si>
  <si>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</si>
  <si>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</si>
  <si>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</si>
  <si>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</si>
  <si>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</si>
  <si>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</si>
  <si>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</si>
  <si>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</si>
  <si>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</si>
  <si>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</si>
  <si>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</si>
  <si>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</si>
  <si>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</si>
  <si>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</si>
  <si>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</si>
  <si>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</si>
  <si>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</si>
  <si>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</si>
  <si>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</si>
  <si>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</si>
  <si>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</si>
  <si>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</si>
  <si>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</si>
  <si>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</si>
  <si>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</si>
  <si>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</si>
  <si>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</si>
  <si>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</si>
  <si>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</si>
  <si>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</si>
  <si>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</si>
  <si>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</si>
  <si>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</si>
  <si>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</si>
  <si>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</si>
  <si>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</si>
  <si>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</si>
  <si>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</si>
  <si>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</si>
  <si>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</si>
  <si>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</si>
  <si>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</si>
  <si>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</si>
  <si>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</si>
  <si>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</si>
  <si>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</si>
  <si>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</si>
  <si>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</si>
  <si>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</si>
  <si>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</si>
  <si>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</si>
  <si>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</si>
  <si>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</si>
  <si>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</si>
  <si>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</si>
  <si>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</si>
  <si>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</si>
  <si>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较规则</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</si>
  <si>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</si>
  <si>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</si>
  <si>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</si>
  <si>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</si>
  <si>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</si>
  <si>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</si>
  <si>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</si>
  <si>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</si>
  <si>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</si>
  <si>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</si>
  <si>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</si>
  <si>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</si>
  <si>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</si>
  <si>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</si>
  <si>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</si>
  <si>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</si>
  <si>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</si>
  <si>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</si>
  <si>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</si>
  <si>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南环路中段北侧</t>
    <phoneticPr fontId="229" type="noConversion"/>
  </si>
  <si>
    <t>南环路东段北侧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</si>
  <si>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</si>
  <si>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</si>
  <si>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</si>
  <si>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</si>
  <si>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</si>
  <si>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</si>
  <si>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t>3707822013B07245</t>
    <phoneticPr fontId="229" type="noConversion"/>
  </si>
  <si>
    <t>3707822013B07637</t>
    <phoneticPr fontId="229" type="noConversion"/>
  </si>
  <si>
    <r>
      <t>诸国用（2013）第03053号</t>
    </r>
    <r>
      <rPr>
        <sz val="11"/>
        <color theme="1"/>
        <rFont val="宋体"/>
        <family val="2"/>
        <charset val="134"/>
        <scheme val="minor"/>
      </rPr>
      <t/>
    </r>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</si>
  <si>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</si>
  <si>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</si>
  <si>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</si>
  <si>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</si>
  <si>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r>
      <t>诸国用（2013）第02087号</t>
    </r>
    <r>
      <rPr>
        <sz val="11"/>
        <color theme="1"/>
        <rFont val="宋体"/>
        <family val="2"/>
        <charset val="134"/>
        <scheme val="minor"/>
      </rPr>
      <t/>
    </r>
    <phoneticPr fontId="229" type="noConversion"/>
  </si>
  <si>
    <r>
      <t>诸国用（2013）第02089号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</si>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</sst>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3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5" fillId="0" borderId="157" xfId="0" applyFont="1" applyBorder="1" applyAlignment="1">
      <alignment vertical="center" wrapText="1"/>
    </xf>
    <xf numFmtId="0" fontId="174" fillId="0" borderId="158" xfId="0" applyFont="1" applyFill="1" applyBorder="1" applyAlignment="1">
      <alignment vertical="center" wrapText="1"/>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6861</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78" t="str">
        <f>IF(B10="北京市","北京市",C10)&amp;F10&amp;B16&amp;"国有建设用地使用权"&amp;B9&amp;"预评估"</f>
        <v>山东省潍坊市诸城市南环路共计8宗商业用地出让国有建设用地使用权抵押价格预评估</v>
      </c>
      <c r="C1" s="3279"/>
      <c r="D1" s="3279"/>
      <c r="E1" s="3279"/>
      <c r="F1" s="3279"/>
      <c r="G1" s="3279"/>
      <c r="H1" s="3279"/>
      <c r="I1" s="3280"/>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3337</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3342</v>
      </c>
      <c r="C4" s="1830">
        <f ca="1">SUMIF(土地估价师,B4,估价师及机构信息!E3:E24)</f>
        <v>2002110030</v>
      </c>
      <c r="D4" s="1827" t="s">
        <v>3343</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3344</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3345</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3338</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84" t="s">
        <v>1943</v>
      </c>
      <c r="E8" s="1828" t="s">
        <v>2998</v>
      </c>
      <c r="F8" s="1656"/>
      <c r="G8" s="1644"/>
      <c r="H8" s="1644"/>
      <c r="I8" s="1691"/>
      <c r="J8" s="1678"/>
      <c r="K8" s="1758"/>
      <c r="L8" s="1707"/>
      <c r="M8" s="1707"/>
      <c r="N8" s="1678"/>
      <c r="O8" s="1679"/>
      <c r="P8" s="1678"/>
      <c r="Q8" s="1678"/>
      <c r="R8" s="1678"/>
      <c r="S8" s="1678"/>
      <c r="T8" s="1678"/>
      <c r="U8" s="1678"/>
    </row>
    <row r="9" spans="1:21" ht="15" thickBot="1">
      <c r="A9" s="1657" t="s">
        <v>1942</v>
      </c>
      <c r="B9" s="1658" t="s">
        <v>2998</v>
      </c>
      <c r="C9" s="1659"/>
      <c r="D9" s="3285"/>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2999</v>
      </c>
      <c r="C10" s="1660"/>
      <c r="D10" s="1651"/>
      <c r="E10" s="1661" t="s">
        <v>1945</v>
      </c>
      <c r="F10" s="1662" t="s">
        <v>3346</v>
      </c>
      <c r="G10" s="1729"/>
      <c r="H10" s="1730"/>
      <c r="I10" s="1651"/>
      <c r="J10" s="1678"/>
      <c r="K10" s="1758"/>
      <c r="L10" s="1707"/>
      <c r="M10" s="1707"/>
      <c r="N10" s="1678"/>
      <c r="O10" s="1679"/>
      <c r="P10" s="1678"/>
      <c r="Q10" s="1678"/>
      <c r="R10" s="1678"/>
      <c r="S10" s="1678"/>
      <c r="T10" s="1678"/>
      <c r="U10" s="1678"/>
    </row>
    <row r="11" spans="1:21" ht="28.5">
      <c r="A11" s="1681" t="s">
        <v>1998</v>
      </c>
      <c r="B11" s="1682" t="s">
        <v>3000</v>
      </c>
      <c r="C11" s="1663" t="s">
        <v>3344</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81" t="s">
        <v>3339</v>
      </c>
      <c r="C12" s="3282"/>
      <c r="D12" s="3283"/>
      <c r="E12" s="1683" t="s">
        <v>2059</v>
      </c>
      <c r="F12" s="3299" t="s">
        <v>3340</v>
      </c>
      <c r="G12" s="3300"/>
      <c r="H12" s="3300"/>
      <c r="I12" s="3301"/>
      <c r="J12" s="1678"/>
      <c r="K12" s="1758"/>
      <c r="L12" s="1707"/>
      <c r="M12" s="1707"/>
      <c r="N12" s="1678"/>
      <c r="O12" s="1679"/>
      <c r="P12" s="1678"/>
      <c r="Q12" s="1678"/>
      <c r="R12" s="1678"/>
      <c r="S12" s="1678"/>
      <c r="T12" s="1678"/>
      <c r="U12" s="1678"/>
    </row>
    <row r="13" spans="1:21">
      <c r="A13" s="1671" t="s">
        <v>2057</v>
      </c>
      <c r="B13" s="3281" t="s">
        <v>3341</v>
      </c>
      <c r="C13" s="3282"/>
      <c r="D13" s="3283"/>
      <c r="E13" s="1683" t="s">
        <v>2059</v>
      </c>
      <c r="F13" s="3299" t="s">
        <v>2885</v>
      </c>
      <c r="G13" s="3300"/>
      <c r="H13" s="3300"/>
      <c r="I13" s="3301"/>
      <c r="J13" s="1678"/>
      <c r="K13" s="1758"/>
      <c r="L13" s="1707"/>
      <c r="M13" s="1707"/>
      <c r="N13" s="1678"/>
      <c r="O13" s="1679"/>
      <c r="P13" s="1678"/>
      <c r="Q13" s="1678"/>
      <c r="R13" s="1678"/>
      <c r="S13" s="1678"/>
      <c r="T13" s="1678"/>
      <c r="U13" s="1678"/>
    </row>
    <row r="14" spans="1:21">
      <c r="A14" s="1645" t="s">
        <v>2060</v>
      </c>
      <c r="B14" s="1683"/>
      <c r="C14" s="1829" t="s">
        <v>3001</v>
      </c>
      <c r="D14" s="1717" t="str">
        <f>IF(C14="不一致","是否符合证载地类范围","")</f>
        <v/>
      </c>
      <c r="E14" s="1683"/>
      <c r="F14" s="1774" t="s">
        <v>3002</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2986</v>
      </c>
      <c r="C16" s="1683" t="s">
        <v>1947</v>
      </c>
      <c r="D16" s="2610" t="s">
        <v>1948</v>
      </c>
      <c r="E16" s="1706" t="s">
        <v>3003</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96"/>
      <c r="E20" s="3297"/>
      <c r="F20" s="3297"/>
      <c r="G20" s="3297"/>
      <c r="H20" s="3297"/>
      <c r="I20" s="3298"/>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86" t="s">
        <v>1996</v>
      </c>
      <c r="F21" s="3287"/>
      <c r="G21" s="3287"/>
      <c r="H21" s="3287"/>
      <c r="I21" s="3288"/>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86" t="s">
        <v>2886</v>
      </c>
      <c r="F22" s="3287"/>
      <c r="G22" s="3287"/>
      <c r="H22" s="3287"/>
      <c r="I22" s="3288"/>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3004</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89" t="s">
        <v>1965</v>
      </c>
      <c r="C24" s="3290"/>
      <c r="D24" s="3291" t="s">
        <v>1966</v>
      </c>
      <c r="E24" s="3292"/>
      <c r="F24" s="1692" t="s">
        <v>1967</v>
      </c>
      <c r="G24" s="1678"/>
      <c r="H24" s="1678"/>
      <c r="I24" s="1691"/>
      <c r="J24" s="1678"/>
      <c r="K24" s="3277"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3005</v>
      </c>
      <c r="C25" s="1693" t="s">
        <v>1969</v>
      </c>
      <c r="D25" s="1694"/>
      <c r="E25" s="1695" t="s">
        <v>951</v>
      </c>
      <c r="F25" s="1696"/>
      <c r="G25" s="1678"/>
      <c r="H25" s="1678"/>
      <c r="I25" s="1691"/>
      <c r="J25" s="1678"/>
      <c r="K25" s="327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7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3" t="s">
        <v>1999</v>
      </c>
      <c r="B31" s="1748" t="s">
        <v>2000</v>
      </c>
      <c r="C31" s="3302"/>
      <c r="D31" s="3303"/>
      <c r="E31" s="1678"/>
      <c r="F31" s="1678"/>
      <c r="G31" s="1678"/>
      <c r="H31" s="1678"/>
      <c r="I31" s="1691"/>
      <c r="J31" s="1678"/>
      <c r="K31" s="2422"/>
      <c r="L31" s="1678"/>
      <c r="M31" s="1678"/>
      <c r="N31" s="1678"/>
      <c r="O31" s="1678"/>
      <c r="P31" s="1678"/>
      <c r="Q31" s="1678"/>
      <c r="R31" s="1678"/>
      <c r="S31" s="1678"/>
      <c r="T31" s="1678"/>
      <c r="U31" s="1678"/>
    </row>
    <row r="32" spans="1:21">
      <c r="A32" s="3263"/>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3"/>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4"/>
      <c r="B34" s="1645" t="s">
        <v>2003</v>
      </c>
      <c r="C34" s="3265"/>
      <c r="D34" s="3266"/>
      <c r="E34" s="1678"/>
      <c r="F34" s="1678"/>
      <c r="G34" s="1678"/>
      <c r="H34" s="1678"/>
      <c r="I34" s="1691"/>
      <c r="J34" s="1678"/>
      <c r="K34" s="2422"/>
      <c r="L34" s="1678"/>
      <c r="M34" s="1678"/>
      <c r="N34" s="1678"/>
      <c r="O34" s="1678"/>
      <c r="P34" s="1678"/>
      <c r="Q34" s="1678"/>
      <c r="R34" s="1678"/>
      <c r="S34" s="1678"/>
      <c r="T34" s="1678"/>
      <c r="U34" s="1678"/>
    </row>
    <row r="35" spans="1:21">
      <c r="A35" s="3267" t="s">
        <v>846</v>
      </c>
      <c r="B35" s="1706" t="s">
        <v>3010</v>
      </c>
      <c r="C35" s="1760" t="str">
        <f>IF(B35="场地平整","——","具体情况：")</f>
        <v>——</v>
      </c>
      <c r="D35" s="3269"/>
      <c r="E35" s="3270"/>
      <c r="F35" s="3270"/>
      <c r="G35" s="3270"/>
      <c r="H35" s="3270"/>
      <c r="I35" s="3271"/>
      <c r="J35" s="1678"/>
      <c r="K35" s="1759"/>
      <c r="L35" s="1707"/>
      <c r="M35" s="1707"/>
      <c r="N35" s="1678"/>
      <c r="O35" s="1679"/>
      <c r="P35" s="1678"/>
      <c r="Q35" s="1678"/>
      <c r="R35" s="1678"/>
      <c r="S35" s="1678"/>
      <c r="T35" s="1678"/>
      <c r="U35" s="1678"/>
    </row>
    <row r="36" spans="1:21">
      <c r="A36" s="3263"/>
      <c r="B36" s="3272" t="s">
        <v>2052</v>
      </c>
      <c r="C36" s="3273"/>
      <c r="D36" s="1776" t="s">
        <v>3009</v>
      </c>
      <c r="E36" s="3274"/>
      <c r="F36" s="3274"/>
      <c r="G36" s="1671" t="str">
        <f>IF(B35="场地未平整","估价结果处理","")</f>
        <v/>
      </c>
      <c r="H36" s="3275"/>
      <c r="I36" s="3275"/>
      <c r="J36" s="1678"/>
      <c r="K36" s="1759"/>
      <c r="L36" s="1707"/>
      <c r="M36" s="1707"/>
      <c r="N36" s="1678"/>
      <c r="O36" s="1679"/>
      <c r="P36" s="1678"/>
      <c r="Q36" s="1678"/>
      <c r="R36" s="1678"/>
      <c r="S36" s="1678"/>
      <c r="T36" s="1678"/>
      <c r="U36" s="1678"/>
    </row>
    <row r="37" spans="1:21" ht="28.5">
      <c r="A37" s="3263"/>
      <c r="B37" s="3293"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63"/>
      <c r="B38" s="3294"/>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4"/>
      <c r="B39" s="329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3006</v>
      </c>
      <c r="C40" s="1674" t="s">
        <v>3007</v>
      </c>
      <c r="D40" s="1674" t="s">
        <v>3008</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76" t="s">
        <v>1983</v>
      </c>
      <c r="T40" s="1715" t="str">
        <f>NUMBERSTRING(7-K40,1)&amp;"通"</f>
        <v>七通</v>
      </c>
      <c r="U40" s="1678"/>
    </row>
    <row r="41" spans="1:21">
      <c r="A41" s="1647"/>
      <c r="B41" s="3268" t="s">
        <v>1720</v>
      </c>
      <c r="C41" s="3268"/>
      <c r="D41" s="3268"/>
      <c r="E41" s="3268"/>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76"/>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2887</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3011</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3003</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227">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15" t="s">
        <v>203</v>
      </c>
      <c r="B2" s="3315"/>
      <c r="C2" s="3315"/>
      <c r="D2" s="1960" t="s">
        <v>204</v>
      </c>
      <c r="E2" s="106" t="s">
        <v>205</v>
      </c>
      <c r="F2" s="1969"/>
      <c r="G2" s="1194"/>
      <c r="H2" s="1195"/>
      <c r="I2" s="1196" t="s">
        <v>856</v>
      </c>
      <c r="J2" s="1969"/>
      <c r="K2" s="1969"/>
      <c r="L2" s="1969"/>
    </row>
    <row r="3" spans="1:16" ht="15.75" thickBot="1">
      <c r="A3" s="3316" t="s">
        <v>206</v>
      </c>
      <c r="B3" s="3316"/>
      <c r="C3" s="3316"/>
      <c r="D3" s="107">
        <f>'数据-基础表'!AY6</f>
        <v>40652</v>
      </c>
      <c r="E3" s="107">
        <f>'数据-基础表'!AZ5</f>
        <v>60978</v>
      </c>
      <c r="F3" s="1969"/>
      <c r="G3" s="280" t="s">
        <v>857</v>
      </c>
      <c r="H3" s="275" t="s">
        <v>858</v>
      </c>
      <c r="I3" s="1961">
        <f>ROUND('数据-基础表'!B3/'数据-基础表'!A3,2)</f>
        <v>1.5</v>
      </c>
      <c r="J3" s="1969"/>
      <c r="K3" s="1969"/>
      <c r="L3" s="1969"/>
    </row>
    <row r="4" spans="1:16" ht="15">
      <c r="A4" s="3317"/>
      <c r="B4" s="3318"/>
      <c r="C4" s="3319"/>
      <c r="D4" s="108" t="s">
        <v>204</v>
      </c>
      <c r="E4" s="109" t="s">
        <v>205</v>
      </c>
      <c r="F4" s="1969"/>
      <c r="G4" s="1197"/>
      <c r="H4" s="275" t="s">
        <v>859</v>
      </c>
      <c r="I4" s="1961">
        <f>ROUND(SUMIF('数据-基础表'!I9:AS9,"地上",'数据-基础表'!I5:AS5)/'数据-基础表'!A3,2)</f>
        <v>1.5</v>
      </c>
      <c r="J4" s="1969"/>
      <c r="K4" s="1969"/>
      <c r="L4" s="1969"/>
    </row>
    <row r="5" spans="1:16">
      <c r="A5" s="110" t="s">
        <v>207</v>
      </c>
      <c r="B5" s="3320" t="s">
        <v>230</v>
      </c>
      <c r="C5" s="3320"/>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20" t="s">
        <v>208</v>
      </c>
      <c r="C6" s="3320"/>
      <c r="D6" s="111">
        <f>ROUND($D$3*E6/$E$3,2)</f>
        <v>40652</v>
      </c>
      <c r="E6" s="112">
        <f>E3-E5</f>
        <v>60978</v>
      </c>
      <c r="F6" s="1969"/>
      <c r="G6" s="1197"/>
      <c r="H6" s="275" t="s">
        <v>859</v>
      </c>
      <c r="I6" s="1961">
        <f>ROUND(F31/D31,2)</f>
        <v>1.5</v>
      </c>
      <c r="J6" s="1969"/>
      <c r="K6" s="1969"/>
      <c r="L6" s="1969"/>
    </row>
    <row r="7" spans="1:16" ht="15">
      <c r="A7" s="3312"/>
      <c r="B7" s="3313"/>
      <c r="C7" s="3314"/>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306" t="s">
        <v>2562</v>
      </c>
      <c r="L16" s="3307"/>
      <c r="M16" s="3307"/>
      <c r="N16" s="3307"/>
      <c r="O16" s="3307"/>
      <c r="P16" s="3308"/>
    </row>
    <row r="17" spans="1:19" ht="15">
      <c r="A17" s="121" t="s">
        <v>216</v>
      </c>
      <c r="B17" s="122" t="s">
        <v>217</v>
      </c>
      <c r="C17" s="2283" t="s">
        <v>2311</v>
      </c>
      <c r="D17" s="108" t="s">
        <v>204</v>
      </c>
      <c r="E17" s="124" t="s">
        <v>205</v>
      </c>
      <c r="F17" s="125"/>
      <c r="G17" s="1362"/>
      <c r="H17" s="970" t="s">
        <v>218</v>
      </c>
      <c r="I17" s="971" t="s">
        <v>2310</v>
      </c>
      <c r="J17" s="1969"/>
      <c r="K17" s="3309" t="s">
        <v>2563</v>
      </c>
      <c r="L17" s="3310"/>
      <c r="M17" s="3311"/>
      <c r="N17" s="3309" t="s">
        <v>2564</v>
      </c>
      <c r="O17" s="3310"/>
      <c r="P17" s="3311"/>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3012</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S31" sqref="S3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3003</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3022</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3033</v>
      </c>
      <c r="U20" s="3194" t="s">
        <v>3034</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3028</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3029</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3030</v>
      </c>
      <c r="T23" s="1974">
        <v>0.2</v>
      </c>
      <c r="U23" s="1974">
        <f t="shared" ref="U23:U25" si="9">$U$21*V23</f>
        <v>1.5</v>
      </c>
      <c r="V23" s="1974">
        <v>0.6</v>
      </c>
      <c r="W23" s="1974"/>
      <c r="X23" s="1974">
        <f t="shared" ref="X23:X25"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3031</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3032</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2888</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2889</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2890</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2891</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2892</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2892</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2893</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2894</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2895</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2896</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2897</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2898</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2899</v>
      </c>
      <c r="D53" s="3029" t="s">
        <v>2900</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2901</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2902</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2903</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2904</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2905</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2906</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2907</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2908</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2909</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2910</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1" t="s">
        <v>1662</v>
      </c>
      <c r="B1" s="3322"/>
      <c r="C1" s="3322"/>
      <c r="D1" s="3322"/>
      <c r="E1" s="3322"/>
      <c r="F1" s="3322"/>
      <c r="G1" s="3322"/>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2917</v>
      </c>
      <c r="D3" s="1994"/>
      <c r="E3" s="1225" t="s">
        <v>1665</v>
      </c>
      <c r="F3" s="1226" t="s">
        <v>1653</v>
      </c>
      <c r="G3" s="3037" t="s">
        <v>2916</v>
      </c>
      <c r="H3" s="1993"/>
      <c r="I3" s="1993"/>
      <c r="J3" s="1993"/>
      <c r="K3" s="1993"/>
      <c r="L3" s="1993"/>
      <c r="M3" s="1993"/>
      <c r="N3" s="1993"/>
      <c r="O3" s="1993"/>
      <c r="P3" s="1993"/>
      <c r="Q3" s="1993"/>
      <c r="R3" s="1993"/>
    </row>
    <row r="4" spans="1:18" ht="41.25">
      <c r="A4" s="1225"/>
      <c r="B4" s="1227" t="s">
        <v>1666</v>
      </c>
      <c r="C4" s="3034" t="s">
        <v>2918</v>
      </c>
      <c r="D4" s="1994"/>
      <c r="E4" s="1228"/>
      <c r="F4" s="1229" t="s">
        <v>1667</v>
      </c>
      <c r="G4" s="3035" t="s">
        <v>2913</v>
      </c>
      <c r="H4" s="1993"/>
      <c r="I4" s="1993"/>
      <c r="J4" s="1993"/>
      <c r="K4" s="1993"/>
      <c r="L4" s="1993"/>
      <c r="M4" s="1993"/>
      <c r="N4" s="1993"/>
      <c r="O4" s="1993"/>
      <c r="P4" s="1993"/>
      <c r="Q4" s="1993"/>
      <c r="R4" s="1993"/>
    </row>
    <row r="5" spans="1:18" ht="41.25">
      <c r="A5" s="1225"/>
      <c r="B5" s="1227" t="s">
        <v>1668</v>
      </c>
      <c r="C5" s="3034" t="s">
        <v>2919</v>
      </c>
      <c r="D5" s="1994"/>
      <c r="E5" s="1228"/>
      <c r="F5" s="1227" t="s">
        <v>2542</v>
      </c>
      <c r="G5" s="3035" t="s">
        <v>2914</v>
      </c>
      <c r="H5" s="1993"/>
      <c r="I5" s="1993"/>
      <c r="J5" s="1993"/>
      <c r="K5" s="1993"/>
      <c r="L5" s="1993"/>
      <c r="M5" s="1993"/>
      <c r="N5" s="1993"/>
      <c r="O5" s="1993"/>
      <c r="P5" s="1993"/>
      <c r="Q5" s="1993"/>
      <c r="R5" s="1993"/>
    </row>
    <row r="6" spans="1:18" ht="54">
      <c r="A6" s="1225"/>
      <c r="B6" s="1227" t="s">
        <v>1654</v>
      </c>
      <c r="C6" s="3035" t="s">
        <v>2913</v>
      </c>
      <c r="D6" s="1994"/>
      <c r="E6" s="1228"/>
      <c r="F6" s="1227" t="s">
        <v>2543</v>
      </c>
      <c r="G6" s="3035" t="s">
        <v>2911</v>
      </c>
      <c r="H6" s="1993"/>
      <c r="I6" s="1993"/>
      <c r="J6" s="1993"/>
      <c r="K6" s="1993"/>
      <c r="L6" s="1993"/>
      <c r="M6" s="1993"/>
      <c r="N6" s="1993"/>
      <c r="O6" s="1993"/>
      <c r="P6" s="1993"/>
      <c r="Q6" s="1993"/>
      <c r="R6" s="1993"/>
    </row>
    <row r="7" spans="1:18" ht="41.25" thickBot="1">
      <c r="A7" s="1225"/>
      <c r="B7" s="1227" t="s">
        <v>2542</v>
      </c>
      <c r="C7" s="3035" t="s">
        <v>2914</v>
      </c>
      <c r="D7" s="1995"/>
      <c r="E7" s="1230"/>
      <c r="F7" s="1231" t="s">
        <v>1669</v>
      </c>
      <c r="G7" s="3038" t="s">
        <v>2915</v>
      </c>
      <c r="H7" s="1993"/>
      <c r="I7" s="1993"/>
      <c r="J7" s="1993"/>
      <c r="K7" s="1993"/>
      <c r="L7" s="1993"/>
      <c r="M7" s="1993"/>
      <c r="N7" s="1993"/>
      <c r="O7" s="1993"/>
      <c r="P7" s="1993"/>
      <c r="Q7" s="1993"/>
      <c r="R7" s="1993"/>
    </row>
    <row r="8" spans="1:18" ht="27">
      <c r="A8" s="1225"/>
      <c r="B8" s="1227" t="s">
        <v>2543</v>
      </c>
      <c r="C8" s="3035" t="s">
        <v>2911</v>
      </c>
      <c r="D8" s="1995"/>
      <c r="E8" s="1995"/>
      <c r="F8" s="1540"/>
      <c r="G8" s="1540"/>
      <c r="H8" s="1993"/>
      <c r="I8" s="1993"/>
      <c r="J8" s="1993"/>
      <c r="K8" s="1993"/>
      <c r="L8" s="1993"/>
      <c r="M8" s="1993"/>
      <c r="N8" s="1993"/>
      <c r="O8" s="1993"/>
      <c r="P8" s="1993"/>
      <c r="Q8" s="1993"/>
      <c r="R8" s="1993"/>
    </row>
    <row r="9" spans="1:18" ht="40.5">
      <c r="A9" s="1225"/>
      <c r="B9" s="1227" t="s">
        <v>1655</v>
      </c>
      <c r="C9" s="3034" t="s">
        <v>2912</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7" sqref="G7"/>
    </sheetView>
  </sheetViews>
  <sheetFormatPr defaultColWidth="14.625" defaultRowHeight="13.5"/>
  <cols>
    <col min="1" max="1" width="24.375" customWidth="1"/>
  </cols>
  <sheetData>
    <row r="1" spans="1:9" ht="16.5">
      <c r="A1" s="2997" t="s">
        <v>2840</v>
      </c>
      <c r="B1" s="2997">
        <f>SUM(B14:B23)</f>
        <v>175351</v>
      </c>
      <c r="C1" s="2998"/>
      <c r="D1" s="2998"/>
      <c r="E1" s="2998"/>
      <c r="F1" s="2998"/>
    </row>
    <row r="2" spans="1:9" ht="16.5">
      <c r="A2" s="2997" t="s">
        <v>2841</v>
      </c>
      <c r="B2" s="2997">
        <f>SUM(C14:C23)</f>
        <v>175351</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81960</v>
      </c>
      <c r="C5" s="2997">
        <f ca="1">ROUND(B5*10000/$B$1,0)</f>
        <v>4674</v>
      </c>
      <c r="D5" s="2997">
        <f ca="1">ROUND(B5*10000/$B$2,0)</f>
        <v>4674</v>
      </c>
      <c r="E5" s="2998"/>
      <c r="F5" s="2998"/>
    </row>
    <row r="6" spans="1:9" ht="16.5">
      <c r="A6" s="2997" t="s">
        <v>2848</v>
      </c>
      <c r="B6" s="2997">
        <f ca="1">SUM(G14:G23)</f>
        <v>81960</v>
      </c>
      <c r="C6" s="2997">
        <f t="shared" ref="C6:C8" ca="1" si="0">ROUND(B6*10000/$B$1,0)</f>
        <v>4674</v>
      </c>
      <c r="D6" s="2997">
        <f t="shared" ref="D6:D8" ca="1" si="1">ROUND(B6*10000/$B$2,0)</f>
        <v>4674</v>
      </c>
      <c r="E6" s="2998"/>
      <c r="F6" s="2998"/>
    </row>
    <row r="7" spans="1:9" ht="16.5">
      <c r="A7" s="2997" t="s">
        <v>2849</v>
      </c>
      <c r="B7" s="2997">
        <f>SUM(H14:H23)</f>
        <v>0</v>
      </c>
      <c r="C7" s="2997">
        <f t="shared" si="0"/>
        <v>0</v>
      </c>
      <c r="D7" s="2997">
        <f t="shared" si="1"/>
        <v>0</v>
      </c>
      <c r="E7" s="2998"/>
      <c r="F7" s="2998"/>
    </row>
    <row r="8" spans="1:9" ht="16.5">
      <c r="A8" s="2997" t="s">
        <v>2850</v>
      </c>
      <c r="B8" s="2997">
        <f ca="1">SUM(I14:I23)</f>
        <v>69552</v>
      </c>
      <c r="C8" s="2997">
        <f t="shared" ca="1" si="0"/>
        <v>3966</v>
      </c>
      <c r="D8" s="2997">
        <f t="shared" ca="1" si="1"/>
        <v>3966</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6861</v>
      </c>
    </row>
    <row r="15" spans="1:9" ht="16.5">
      <c r="A15" s="3004" t="s">
        <v>2857</v>
      </c>
      <c r="B15" s="3005">
        <f>典型户型修正!B22-系统读取表!B14</f>
        <v>114373</v>
      </c>
      <c r="C15" s="3005">
        <f>Sheet2!D10-系统读取表!C14</f>
        <v>134699</v>
      </c>
      <c r="D15" s="3005">
        <f ca="1">典型户型修正!S22-系统读取表!D14</f>
        <v>62691</v>
      </c>
      <c r="E15" s="3001">
        <f t="shared" ref="E15:E23" ca="1" si="2">ROUND(D15*10000/B15,0)</f>
        <v>5481</v>
      </c>
      <c r="F15" s="3001">
        <f t="shared" ref="F15:F23" ca="1" si="3">ROUND(D15*10000/C15,0)</f>
        <v>4654</v>
      </c>
      <c r="G15" s="3002">
        <f ca="1">D15</f>
        <v>62691</v>
      </c>
      <c r="H15" s="3002"/>
      <c r="I15" s="3005">
        <f ca="1">G15</f>
        <v>62691</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80" sqref="I8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3021</v>
      </c>
      <c r="G1" s="311"/>
      <c r="H1" s="311"/>
      <c r="I1" s="311"/>
      <c r="J1" s="2014"/>
      <c r="K1" s="2014"/>
      <c r="L1" s="2014"/>
      <c r="M1" s="2014"/>
      <c r="N1" s="2014"/>
      <c r="O1" s="2014"/>
      <c r="P1" s="2014"/>
      <c r="Q1" s="2014"/>
      <c r="R1" s="2014"/>
      <c r="S1" s="2014"/>
      <c r="T1" s="2014"/>
      <c r="U1" s="2014"/>
      <c r="V1" s="2014"/>
    </row>
    <row r="2" spans="1:22" ht="21.75" customHeight="1" thickBot="1">
      <c r="A2" s="3359" t="str">
        <f>项目基本情况!K2</f>
        <v>山东省潍坊市诸城市南环路共计8宗商业用地出让国有建设用地使用权</v>
      </c>
      <c r="B2" s="3360"/>
      <c r="C2" s="3361"/>
      <c r="D2" s="3361"/>
      <c r="E2" s="3361"/>
      <c r="F2" s="3361"/>
      <c r="G2" s="3360"/>
      <c r="H2" s="3360"/>
      <c r="I2" s="3362"/>
      <c r="J2" s="2015"/>
      <c r="K2" s="2014"/>
      <c r="L2" s="2014"/>
      <c r="M2" s="2014"/>
      <c r="N2" s="2014"/>
      <c r="O2" s="2014"/>
      <c r="P2" s="2014"/>
      <c r="Q2" s="2014"/>
      <c r="R2" s="2014"/>
      <c r="S2" s="2014"/>
      <c r="T2" s="2014"/>
      <c r="U2" s="2014"/>
      <c r="V2" s="2014"/>
    </row>
    <row r="3" spans="1:22" ht="14.25">
      <c r="A3" s="3352" t="s">
        <v>298</v>
      </c>
      <c r="B3" s="3353"/>
      <c r="C3" s="3353"/>
      <c r="D3" s="3353"/>
      <c r="E3" s="3353"/>
      <c r="F3" s="3353"/>
      <c r="G3" s="3353"/>
      <c r="H3" s="3353"/>
      <c r="I3" s="3353"/>
      <c r="J3" s="2015"/>
      <c r="K3" s="2014"/>
      <c r="L3" s="2014"/>
      <c r="M3" s="2014"/>
      <c r="N3" s="2014"/>
      <c r="O3" s="2014"/>
      <c r="P3" s="2014"/>
      <c r="Q3" s="2014"/>
      <c r="R3" s="2014"/>
      <c r="S3" s="2014"/>
      <c r="T3" s="2014"/>
      <c r="U3" s="2014"/>
      <c r="V3" s="2014"/>
    </row>
    <row r="4" spans="1:22" ht="14.25">
      <c r="A4" s="258" t="s">
        <v>299</v>
      </c>
      <c r="B4" s="259" t="s">
        <v>300</v>
      </c>
      <c r="C4" s="260" t="s">
        <v>3041</v>
      </c>
      <c r="D4" s="260" t="s">
        <v>3027</v>
      </c>
      <c r="E4" s="3324" t="s">
        <v>301</v>
      </c>
      <c r="F4" s="3325"/>
      <c r="G4" s="3325"/>
      <c r="H4" s="3325"/>
      <c r="I4" s="335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23" t="s">
        <v>302</v>
      </c>
      <c r="B5" s="3349">
        <v>25</v>
      </c>
      <c r="C5" s="3347"/>
      <c r="D5" s="3351"/>
      <c r="E5" s="261" t="s">
        <v>303</v>
      </c>
      <c r="F5" s="262"/>
      <c r="G5" s="262"/>
      <c r="H5" s="262"/>
      <c r="I5" s="263"/>
      <c r="J5" s="2015"/>
      <c r="K5" s="2014"/>
      <c r="L5" s="2014"/>
      <c r="M5" s="2014"/>
      <c r="N5" s="2014"/>
      <c r="O5" s="2014"/>
      <c r="P5" s="2014"/>
      <c r="Q5" s="2014"/>
      <c r="R5" s="2014"/>
      <c r="S5" s="2014"/>
      <c r="T5" s="2014"/>
      <c r="U5" s="2014"/>
      <c r="V5" s="2014"/>
    </row>
    <row r="6" spans="1:22" ht="14.25">
      <c r="A6" s="3323"/>
      <c r="B6" s="3349"/>
      <c r="C6" s="3350"/>
      <c r="D6" s="3351"/>
      <c r="E6" s="261" t="s">
        <v>304</v>
      </c>
      <c r="F6" s="262"/>
      <c r="G6" s="262"/>
      <c r="H6" s="262"/>
      <c r="I6" s="263"/>
      <c r="J6" s="2015"/>
      <c r="K6" s="2014"/>
      <c r="L6" s="2014"/>
      <c r="M6" s="2014"/>
      <c r="N6" s="2014"/>
      <c r="O6" s="2014"/>
      <c r="P6" s="2014"/>
      <c r="Q6" s="2014"/>
      <c r="R6" s="2014"/>
      <c r="S6" s="2014"/>
      <c r="T6" s="2014"/>
      <c r="U6" s="2014"/>
      <c r="V6" s="2014"/>
    </row>
    <row r="7" spans="1:22" ht="14.25">
      <c r="A7" s="3323"/>
      <c r="B7" s="3349"/>
      <c r="C7" s="3348"/>
      <c r="D7" s="3351"/>
      <c r="E7" s="261" t="s">
        <v>305</v>
      </c>
      <c r="F7" s="262"/>
      <c r="G7" s="262"/>
      <c r="H7" s="262"/>
      <c r="I7" s="263"/>
      <c r="J7" s="2015"/>
      <c r="K7" s="2014"/>
      <c r="L7" s="2014"/>
      <c r="M7" s="2014"/>
      <c r="N7" s="2014"/>
      <c r="O7" s="2014"/>
      <c r="P7" s="2014"/>
      <c r="Q7" s="2014"/>
      <c r="R7" s="2014"/>
      <c r="S7" s="2014"/>
      <c r="T7" s="2014"/>
      <c r="U7" s="2014"/>
      <c r="V7" s="2014"/>
    </row>
    <row r="8" spans="1:22" ht="14.25">
      <c r="A8" s="3323" t="s">
        <v>306</v>
      </c>
      <c r="B8" s="3349">
        <v>15</v>
      </c>
      <c r="C8" s="3347"/>
      <c r="D8" s="3351"/>
      <c r="E8" s="261" t="s">
        <v>307</v>
      </c>
      <c r="F8" s="262"/>
      <c r="G8" s="262"/>
      <c r="H8" s="262"/>
      <c r="I8" s="263"/>
      <c r="J8" s="2015"/>
      <c r="K8" s="2014"/>
      <c r="L8" s="2014"/>
      <c r="M8" s="2014"/>
      <c r="N8" s="2014"/>
      <c r="O8" s="2014"/>
      <c r="P8" s="2014"/>
      <c r="Q8" s="2014"/>
      <c r="R8" s="2014"/>
      <c r="S8" s="2014"/>
      <c r="T8" s="2014"/>
      <c r="U8" s="2014"/>
      <c r="V8" s="2014"/>
    </row>
    <row r="9" spans="1:22" ht="14.25">
      <c r="A9" s="3323"/>
      <c r="B9" s="3349"/>
      <c r="C9" s="3348"/>
      <c r="D9" s="3351"/>
      <c r="E9" s="261" t="s">
        <v>308</v>
      </c>
      <c r="F9" s="262"/>
      <c r="G9" s="262"/>
      <c r="H9" s="262"/>
      <c r="I9" s="263"/>
      <c r="J9" s="2015"/>
      <c r="K9" s="2014"/>
      <c r="L9" s="2014"/>
      <c r="M9" s="2014"/>
      <c r="N9" s="2014"/>
      <c r="O9" s="2014"/>
      <c r="P9" s="2014"/>
      <c r="Q9" s="2014"/>
      <c r="R9" s="2014"/>
      <c r="S9" s="2014"/>
      <c r="T9" s="2014"/>
      <c r="U9" s="2014"/>
      <c r="V9" s="2014"/>
    </row>
    <row r="10" spans="1:22" ht="14.25">
      <c r="A10" s="3323" t="s">
        <v>309</v>
      </c>
      <c r="B10" s="3349">
        <v>15</v>
      </c>
      <c r="C10" s="3347"/>
      <c r="D10" s="335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23"/>
      <c r="B11" s="3349"/>
      <c r="C11" s="3348"/>
      <c r="D11" s="335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23" t="s">
        <v>312</v>
      </c>
      <c r="B12" s="3349">
        <v>15</v>
      </c>
      <c r="C12" s="3347"/>
      <c r="D12" s="335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23"/>
      <c r="B13" s="3349"/>
      <c r="C13" s="3348"/>
      <c r="D13" s="335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23" t="s">
        <v>315</v>
      </c>
      <c r="B14" s="3349">
        <v>30</v>
      </c>
      <c r="C14" s="3347">
        <v>4</v>
      </c>
      <c r="D14" s="3351">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23"/>
      <c r="B15" s="3349"/>
      <c r="C15" s="3350"/>
      <c r="D15" s="335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23"/>
      <c r="B16" s="3349"/>
      <c r="C16" s="3348"/>
      <c r="D16" s="335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9"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0"/>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2964</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29" t="s">
        <v>338</v>
      </c>
      <c r="F33" s="296" t="s">
        <v>339</v>
      </c>
      <c r="G33" s="297"/>
      <c r="H33" s="980"/>
      <c r="I33" s="1255"/>
      <c r="J33" s="2014"/>
      <c r="K33" s="1254" t="str">
        <f ca="1">IF(项目基本情况!E9="——","——","抵押净值："&amp;C46&amp;"万元")</f>
        <v>抵押净值：6861万元</v>
      </c>
      <c r="L33" s="1248"/>
      <c r="M33" s="1248"/>
      <c r="N33" s="1248"/>
      <c r="O33" s="1247"/>
      <c r="P33" s="2014"/>
      <c r="V33" s="2014"/>
    </row>
    <row r="34" spans="1:26" s="1250" customFormat="1" ht="18.75" thickBot="1">
      <c r="A34" s="300"/>
      <c r="B34" s="1383" t="s">
        <v>1691</v>
      </c>
      <c r="C34" s="264">
        <f ca="1">ROUND(C32*10000/'数据-汇总表'!D3,0)</f>
        <v>4740</v>
      </c>
      <c r="D34" s="1384" t="s">
        <v>1690</v>
      </c>
      <c r="E34" s="3370"/>
      <c r="F34" s="127" t="s">
        <v>341</v>
      </c>
      <c r="G34" s="299"/>
      <c r="H34" s="105"/>
      <c r="I34" s="311"/>
      <c r="J34" s="2014"/>
      <c r="K34" s="1257" t="str">
        <f ca="1">IF(K33="——","——","大写金额：人民币"&amp;NUMBERSTRING(INT(O41*10000),2)&amp;"元整")</f>
        <v>大写金额：人民币陆仟捌佰陆拾壹万元整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71"/>
      <c r="F35" s="301" t="s">
        <v>342</v>
      </c>
      <c r="G35" s="982"/>
      <c r="H35" s="981" t="s">
        <v>343</v>
      </c>
      <c r="I35" s="311"/>
      <c r="J35" s="2014"/>
      <c r="K35" s="3344" t="s">
        <v>350</v>
      </c>
      <c r="L35" s="3344" t="s">
        <v>351</v>
      </c>
      <c r="M35" s="1260" t="s">
        <v>352</v>
      </c>
      <c r="N35" s="3344" t="s">
        <v>353</v>
      </c>
      <c r="O35" s="3344" t="s">
        <v>354</v>
      </c>
      <c r="P35" s="2014"/>
      <c r="V35" s="2014"/>
    </row>
    <row r="36" spans="1:26" ht="16.5" customHeight="1">
      <c r="A36" s="303" t="s">
        <v>344</v>
      </c>
      <c r="B36" s="304" t="s">
        <v>333</v>
      </c>
      <c r="C36" s="305" t="s">
        <v>345</v>
      </c>
      <c r="D36" s="305" t="s">
        <v>346</v>
      </c>
      <c r="E36" s="306" t="s">
        <v>347</v>
      </c>
      <c r="F36" s="311"/>
      <c r="G36" s="311"/>
      <c r="H36" s="311"/>
      <c r="I36" s="311"/>
      <c r="J36" s="2016"/>
      <c r="K36" s="3345"/>
      <c r="L36" s="3345"/>
      <c r="M36" s="1262" t="s">
        <v>355</v>
      </c>
      <c r="N36" s="3345"/>
      <c r="O36" s="3345"/>
      <c r="P36" s="2014"/>
      <c r="V36" s="2014"/>
    </row>
    <row r="37" spans="1:26" ht="16.5" customHeight="1" thickBot="1">
      <c r="A37" s="1256" t="s">
        <v>348</v>
      </c>
      <c r="B37" s="307"/>
      <c r="C37" s="294"/>
      <c r="D37" s="294"/>
      <c r="E37" s="295"/>
      <c r="F37" s="311"/>
      <c r="G37" s="311"/>
      <c r="H37" s="311"/>
      <c r="I37" s="311"/>
      <c r="J37" s="2016"/>
      <c r="K37" s="3346"/>
      <c r="L37" s="3346"/>
      <c r="M37" s="1263"/>
      <c r="N37" s="3346"/>
      <c r="O37" s="3346"/>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89" t="str">
        <f>MID(A44,3,LEN(A44)-2)</f>
        <v>抵押价格</v>
      </c>
      <c r="L39" s="3390"/>
      <c r="M39" s="3390"/>
      <c r="N39" s="3391"/>
      <c r="O39" s="1389">
        <f ca="1">C44</f>
        <v>19269</v>
      </c>
      <c r="P39" s="2014"/>
      <c r="V39" s="2014"/>
    </row>
    <row r="40" spans="1:26" ht="19.5" thickBot="1">
      <c r="A40" s="104" t="s">
        <v>872</v>
      </c>
      <c r="B40" s="311"/>
      <c r="C40" s="311"/>
      <c r="D40" s="311"/>
      <c r="E40" s="311"/>
      <c r="F40" s="311"/>
      <c r="G40" s="311"/>
      <c r="H40" s="311"/>
      <c r="I40" s="311"/>
      <c r="J40" s="2016"/>
      <c r="K40" s="3389" t="str">
        <f t="shared" ref="K40:K41" si="0">MID(A45,3,LEN(A45)-2)</f>
        <v/>
      </c>
      <c r="L40" s="3390"/>
      <c r="M40" s="3390"/>
      <c r="N40" s="3391"/>
      <c r="O40" s="1389" t="str">
        <f>C45</f>
        <v>——</v>
      </c>
      <c r="P40" s="2014"/>
      <c r="V40" s="2014"/>
    </row>
    <row r="41" spans="1:26" ht="16.5" thickBot="1">
      <c r="A41" s="312" t="s">
        <v>356</v>
      </c>
      <c r="B41" s="313"/>
      <c r="C41" s="314" t="s">
        <v>357</v>
      </c>
      <c r="D41" s="315" t="s">
        <v>358</v>
      </c>
      <c r="E41" s="315" t="s">
        <v>359</v>
      </c>
      <c r="F41" s="316" t="s">
        <v>360</v>
      </c>
      <c r="G41" s="311"/>
      <c r="H41" s="311"/>
      <c r="I41" s="311"/>
      <c r="J41" s="2016"/>
      <c r="K41" s="3389" t="str">
        <f t="shared" si="0"/>
        <v>抵押净值</v>
      </c>
      <c r="L41" s="3390"/>
      <c r="M41" s="3390"/>
      <c r="N41" s="3391"/>
      <c r="O41" s="1389">
        <f ca="1">C46</f>
        <v>6861</v>
      </c>
      <c r="P41" s="2014"/>
      <c r="V41" s="2014"/>
    </row>
    <row r="42" spans="1:26" ht="29.25">
      <c r="A42" s="3331" t="s">
        <v>2065</v>
      </c>
      <c r="B42" s="3332"/>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42" t="s">
        <v>2726</v>
      </c>
      <c r="B43" s="3343"/>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31" t="str">
        <f>IF(OR(项目基本情况!E8="抵押价格",项目基本情况!E8="已注销及未注销"),"3.抵押价格","——")</f>
        <v>3.抵押价格</v>
      </c>
      <c r="B44" s="3332"/>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37" t="str">
        <f>IF(项目基本情况!E8="已注销及未注销","4.抵押担保权已注销时的抵押价格",IF(项目基本情况!E8="已注销","3.抵押担保权已注销时的抵押价格","——"))</f>
        <v>——</v>
      </c>
      <c r="B45" s="3338"/>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3" t="str">
        <f>IF(项目基本情况!E9="抵押净值",IF(A45="——","4.抵押净值","5.抵押净值"),"——")</f>
        <v>4.抵押净值</v>
      </c>
      <c r="B46" s="3334"/>
      <c r="C46" s="320">
        <f ca="1">IF(A46="——","——",O79)</f>
        <v>6861</v>
      </c>
      <c r="D46" s="317">
        <f ca="1">ROUND(C46*10000/'数据-汇总表'!E3,0)</f>
        <v>1125</v>
      </c>
      <c r="E46" s="317">
        <f ca="1">ROUND(C46*10000/'数据-汇总表'!D3,0)</f>
        <v>1688</v>
      </c>
      <c r="F46" s="318">
        <f ca="1">ROUND(C46/('数据-汇总表'!D3/666.67),0)</f>
        <v>113</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81960</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8" t="s">
        <v>374</v>
      </c>
      <c r="B63" s="3379"/>
      <c r="C63" s="3380"/>
      <c r="D63" s="341">
        <f ca="1">ROUND(D62*F63,0)</f>
        <v>81960</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39" t="s">
        <v>378</v>
      </c>
      <c r="B64" s="3340"/>
      <c r="C64" s="3340"/>
      <c r="D64" s="3340"/>
      <c r="E64" s="3340"/>
      <c r="F64" s="3340"/>
      <c r="G64" s="3341"/>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5" t="s">
        <v>386</v>
      </c>
      <c r="B66" s="3336"/>
      <c r="C66" s="3336"/>
      <c r="D66" s="261">
        <f ca="1">IF(H66="情况1",0,IF(H66="情况2",D70,IF(H66="情况3",D71,IF(H66="情况4",D72))))</f>
        <v>4371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3" t="s">
        <v>385</v>
      </c>
      <c r="M66" s="3394"/>
      <c r="N66" s="2423"/>
      <c r="O66" s="2424"/>
      <c r="P66" s="2425"/>
      <c r="Q66" s="2014"/>
      <c r="R66" s="2014"/>
      <c r="S66" s="2014"/>
      <c r="T66" s="2014"/>
      <c r="U66" s="2014"/>
      <c r="V66" s="2014"/>
    </row>
    <row r="67" spans="1:22" ht="25.5" customHeight="1">
      <c r="A67" s="352" t="s">
        <v>390</v>
      </c>
      <c r="B67" s="3326" t="s">
        <v>391</v>
      </c>
      <c r="C67" s="3326"/>
      <c r="D67" s="353">
        <v>0</v>
      </c>
      <c r="E67" s="41" t="s">
        <v>392</v>
      </c>
      <c r="F67" s="62" t="s">
        <v>21</v>
      </c>
      <c r="G67" s="3381"/>
      <c r="H67" s="311"/>
      <c r="I67" s="1288"/>
      <c r="J67" s="2021"/>
      <c r="K67" s="1962">
        <v>2</v>
      </c>
      <c r="L67" s="3392" t="s">
        <v>389</v>
      </c>
      <c r="M67" s="3392"/>
      <c r="N67" s="1321">
        <f>'数据-取费表'!B2</f>
        <v>43607</v>
      </c>
      <c r="O67" s="1321"/>
      <c r="P67" s="1321"/>
      <c r="Q67" s="2014"/>
      <c r="R67" s="2014"/>
      <c r="S67" s="2014"/>
      <c r="T67" s="2014"/>
      <c r="U67" s="2014"/>
      <c r="V67" s="2014"/>
    </row>
    <row r="68" spans="1:22" ht="25.5" customHeight="1">
      <c r="A68" s="354"/>
      <c r="B68" s="3326" t="s">
        <v>394</v>
      </c>
      <c r="C68" s="3326"/>
      <c r="D68" s="355"/>
      <c r="E68" s="77"/>
      <c r="F68" s="356"/>
      <c r="G68" s="3382"/>
      <c r="H68" s="311"/>
      <c r="I68" s="1288"/>
      <c r="J68" s="2021"/>
      <c r="K68" s="1962">
        <v>3</v>
      </c>
      <c r="L68" s="3392" t="s">
        <v>393</v>
      </c>
      <c r="M68" s="3392"/>
      <c r="N68" s="1289">
        <f ca="1">C42</f>
        <v>19269</v>
      </c>
      <c r="O68" s="1289"/>
      <c r="P68" s="1289"/>
      <c r="Q68" s="2014"/>
      <c r="R68" s="2014"/>
      <c r="S68" s="2014"/>
      <c r="T68" s="2014"/>
      <c r="U68" s="2014"/>
      <c r="V68" s="2014"/>
    </row>
    <row r="69" spans="1:22" ht="12" customHeight="1">
      <c r="A69" s="357"/>
      <c r="B69" s="3326" t="s">
        <v>395</v>
      </c>
      <c r="C69" s="3326"/>
      <c r="D69" s="358"/>
      <c r="E69" s="73"/>
      <c r="F69" s="356"/>
      <c r="G69" s="3383"/>
      <c r="H69" s="311"/>
      <c r="I69" s="1288"/>
      <c r="J69" s="2021"/>
      <c r="K69" s="1290">
        <v>4</v>
      </c>
      <c r="L69" s="3397" t="s">
        <v>2879</v>
      </c>
      <c r="M69" s="3398"/>
      <c r="N69" s="1291">
        <f ca="1">C44</f>
        <v>19269</v>
      </c>
      <c r="O69" s="1291"/>
      <c r="P69" s="1291"/>
      <c r="Q69" s="2014"/>
      <c r="R69" s="2014"/>
      <c r="S69" s="2014"/>
      <c r="T69" s="2014"/>
      <c r="U69" s="2014"/>
      <c r="V69" s="2014"/>
    </row>
    <row r="70" spans="1:22" ht="24" customHeight="1">
      <c r="A70" s="359" t="s">
        <v>396</v>
      </c>
      <c r="B70" s="3326" t="s">
        <v>397</v>
      </c>
      <c r="C70" s="3326"/>
      <c r="D70" s="358">
        <f ca="1">ROUND(D63*'数据-取费表'!B41/(1+'数据-取费表'!C42),0)</f>
        <v>4371</v>
      </c>
      <c r="E70" s="17" t="s">
        <v>398</v>
      </c>
      <c r="F70" s="360">
        <f>'数据-取费表'!B41</f>
        <v>5.6000000000000001E-2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27" t="s">
        <v>405</v>
      </c>
      <c r="C71" s="3328"/>
      <c r="D71" s="358">
        <f ca="1">ROUND(D63*'数据-取费表'!B41/(1+'数据-取费表'!C42),0)</f>
        <v>4371</v>
      </c>
      <c r="E71" s="17" t="s">
        <v>398</v>
      </c>
      <c r="F71" s="360">
        <f>'数据-取费表'!B41</f>
        <v>5.6000000000000001E-2</v>
      </c>
      <c r="G71" s="361"/>
      <c r="H71" s="311"/>
      <c r="I71" s="1288"/>
      <c r="J71" s="2021"/>
      <c r="K71" s="3013" t="s">
        <v>399</v>
      </c>
      <c r="L71" s="3399" t="s">
        <v>400</v>
      </c>
      <c r="M71" s="3399"/>
      <c r="N71" s="3013" t="s">
        <v>401</v>
      </c>
      <c r="O71" s="3013" t="s">
        <v>402</v>
      </c>
      <c r="P71" s="3013" t="s">
        <v>403</v>
      </c>
      <c r="Q71" s="2014"/>
      <c r="R71" s="2014"/>
      <c r="S71" s="2014"/>
      <c r="T71" s="2014"/>
      <c r="U71" s="2014"/>
      <c r="V71" s="2014"/>
    </row>
    <row r="72" spans="1:22" ht="12" customHeight="1">
      <c r="A72" s="359" t="s">
        <v>407</v>
      </c>
      <c r="B72" s="3327" t="s">
        <v>408</v>
      </c>
      <c r="C72" s="3328"/>
      <c r="D72" s="358">
        <f ca="1">C86</f>
        <v>4259</v>
      </c>
      <c r="E72" s="73" t="s">
        <v>409</v>
      </c>
      <c r="F72" s="360">
        <f>'数据-取费表'!B41</f>
        <v>5.6000000000000001E-2</v>
      </c>
      <c r="G72" s="361"/>
      <c r="H72" s="1294"/>
      <c r="I72" s="1288"/>
      <c r="J72" s="2021"/>
      <c r="K72" s="1962">
        <v>1</v>
      </c>
      <c r="L72" s="3374" t="s">
        <v>406</v>
      </c>
      <c r="M72" s="3374"/>
      <c r="N72" s="1292">
        <f ca="1">D66</f>
        <v>4371</v>
      </c>
      <c r="O72" s="1845" t="str">
        <f>E66</f>
        <v>销售额×税（费）率</v>
      </c>
      <c r="P72" s="1293">
        <f>F66</f>
        <v>5.6000000000000001E-2</v>
      </c>
      <c r="Q72" s="2014"/>
      <c r="R72" s="2014"/>
      <c r="S72" s="2014"/>
      <c r="T72" s="2014"/>
      <c r="U72" s="2014"/>
      <c r="V72" s="2014"/>
    </row>
    <row r="73" spans="1:22" ht="24" customHeight="1">
      <c r="A73" s="3368" t="s">
        <v>411</v>
      </c>
      <c r="B73" s="3336"/>
      <c r="C73" s="3336"/>
      <c r="D73" s="362">
        <f ca="1">IF(H73="个人住宅",0,ROUND(D63*I73,0))</f>
        <v>41</v>
      </c>
      <c r="E73" s="17" t="s">
        <v>412</v>
      </c>
      <c r="F73" s="360">
        <f>IF(H73="正常",I73,"免征")</f>
        <v>5.0000000000000001E-4</v>
      </c>
      <c r="G73" s="361"/>
      <c r="H73" s="191" t="s">
        <v>2996</v>
      </c>
      <c r="I73" s="360">
        <f>'数据-取费表'!B49</f>
        <v>5.0000000000000001E-4</v>
      </c>
      <c r="J73" s="2021"/>
      <c r="K73" s="1962">
        <v>2</v>
      </c>
      <c r="L73" s="3374" t="s">
        <v>410</v>
      </c>
      <c r="M73" s="3374"/>
      <c r="N73" s="1292">
        <f t="shared" ref="N73:P74" ca="1" si="1">D73</f>
        <v>41</v>
      </c>
      <c r="O73" s="1845" t="str">
        <f t="shared" si="1"/>
        <v>销售额×税（费）率</v>
      </c>
      <c r="P73" s="1293">
        <f t="shared" si="1"/>
        <v>5.0000000000000001E-4</v>
      </c>
      <c r="Q73" s="2014"/>
      <c r="R73" s="2014"/>
      <c r="S73" s="2014"/>
      <c r="T73" s="2014"/>
      <c r="U73" s="2014"/>
      <c r="V73" s="2014"/>
    </row>
    <row r="74" spans="1:22" ht="24.75">
      <c r="A74" s="3368" t="s">
        <v>415</v>
      </c>
      <c r="B74" s="3336"/>
      <c r="C74" s="3336"/>
      <c r="D74" s="362">
        <f ca="1">IF(H74="个人住宅",D75,D76)</f>
        <v>7176</v>
      </c>
      <c r="E74" s="17" t="s">
        <v>416</v>
      </c>
      <c r="F74" s="360" t="str">
        <f>IF(H74="正常",F76,"免征")</f>
        <v>——</v>
      </c>
      <c r="G74" s="983" t="s">
        <v>417</v>
      </c>
      <c r="H74" s="363" t="s">
        <v>413</v>
      </c>
      <c r="I74" s="42"/>
      <c r="J74" s="2021"/>
      <c r="K74" s="1962">
        <v>3</v>
      </c>
      <c r="L74" s="3374" t="s">
        <v>414</v>
      </c>
      <c r="M74" s="3374"/>
      <c r="N74" s="1292">
        <f t="shared" ca="1" si="1"/>
        <v>7176</v>
      </c>
      <c r="O74" s="1845" t="str">
        <f t="shared" si="1"/>
        <v>增值额×税（费）率</v>
      </c>
      <c r="P74" s="1295" t="str">
        <f t="shared" si="1"/>
        <v>——</v>
      </c>
      <c r="Q74" s="2014"/>
      <c r="R74" s="2014"/>
      <c r="S74" s="2014"/>
      <c r="T74" s="2014"/>
      <c r="U74" s="2014"/>
      <c r="V74" s="2014"/>
    </row>
    <row r="75" spans="1:22" ht="24">
      <c r="A75" s="359" t="s">
        <v>418</v>
      </c>
      <c r="B75" s="3324" t="s">
        <v>419</v>
      </c>
      <c r="C75" s="3354"/>
      <c r="D75" s="364">
        <v>0</v>
      </c>
      <c r="E75" s="41" t="s">
        <v>420</v>
      </c>
      <c r="F75" s="365"/>
      <c r="G75" s="361"/>
      <c r="H75" s="42"/>
      <c r="I75" s="42"/>
      <c r="J75" s="2021"/>
      <c r="K75" s="3006">
        <f>IF(H77="非个人房产","",4)</f>
        <v>4</v>
      </c>
      <c r="L75" s="3374" t="str">
        <f>IF(H77="非个人房产","——","个人所得税")</f>
        <v>个人所得税</v>
      </c>
      <c r="M75" s="3374"/>
      <c r="N75" s="1296">
        <f ca="1">D77</f>
        <v>820</v>
      </c>
      <c r="O75" s="1858" t="str">
        <f>E77</f>
        <v>销售额×税（费）率</v>
      </c>
      <c r="P75" s="1297">
        <f>F77</f>
        <v>0.01</v>
      </c>
      <c r="Q75" s="2014"/>
      <c r="R75" s="2014"/>
      <c r="S75" s="2014"/>
      <c r="T75" s="2014"/>
      <c r="U75" s="2014"/>
      <c r="V75" s="2014"/>
    </row>
    <row r="76" spans="1:22" ht="24.75">
      <c r="A76" s="359" t="s">
        <v>396</v>
      </c>
      <c r="B76" s="3324" t="s">
        <v>422</v>
      </c>
      <c r="C76" s="3325"/>
      <c r="D76" s="362">
        <f ca="1">IF(H76="转让取得",C99,C115)</f>
        <v>7176</v>
      </c>
      <c r="E76" s="17" t="s">
        <v>423</v>
      </c>
      <c r="F76" s="53" t="s">
        <v>21</v>
      </c>
      <c r="G76" s="361"/>
      <c r="H76" s="363" t="s">
        <v>424</v>
      </c>
      <c r="I76" s="42"/>
      <c r="J76" s="2021"/>
      <c r="K76" s="3006" t="str">
        <f>IF(项目基本情况!K6="上海银行",IF(K75="",4,K75+1),"")</f>
        <v/>
      </c>
      <c r="L76" s="3385" t="str">
        <f>IF(项目基本情况!K6="上海银行","其他处置费用","")</f>
        <v/>
      </c>
      <c r="M76" s="3386"/>
      <c r="N76" s="1292" t="str">
        <f>IF(项目基本情况!K6="上海银行",N89,"")</f>
        <v/>
      </c>
      <c r="O76" s="3387" t="str">
        <f>IF(项目基本情况!K6="上海银行","包含处置中涉及的律师、诉讼、拍卖、评估等费用","")</f>
        <v/>
      </c>
      <c r="P76" s="3388"/>
      <c r="Q76" s="2014"/>
      <c r="R76" s="2014"/>
      <c r="S76" s="2014"/>
      <c r="T76" s="2014"/>
      <c r="U76" s="2014"/>
      <c r="V76" s="2014"/>
    </row>
    <row r="77" spans="1:22" ht="26.25" thickBot="1">
      <c r="A77" s="3376" t="s">
        <v>426</v>
      </c>
      <c r="B77" s="3377"/>
      <c r="C77" s="3377"/>
      <c r="D77" s="366">
        <f ca="1">IF(H77="非个人房产","——",IF(H77="个人住宅",0,ROUND(D63*I77,0)))</f>
        <v>820</v>
      </c>
      <c r="E77" s="367" t="str">
        <f>IF(H77="非个人房产","——","销售额×税（费）率")</f>
        <v>销售额×税（费）率</v>
      </c>
      <c r="F77" s="368">
        <f>IF(H77="非个人房产","——",IF(H77="个人住宅","免征",I77))</f>
        <v>0.01</v>
      </c>
      <c r="G77" s="984" t="s">
        <v>417</v>
      </c>
      <c r="H77" s="363" t="s">
        <v>2880</v>
      </c>
      <c r="I77" s="369">
        <v>0.01</v>
      </c>
      <c r="J77" s="2021"/>
      <c r="K77" s="3375">
        <f>IF(AND(K75="",K76=""),4,IF(项目基本情况!K6="上海银行",K76+1,K75+1))</f>
        <v>5</v>
      </c>
      <c r="L77" s="3374" t="s">
        <v>2881</v>
      </c>
      <c r="M77" s="3012" t="s">
        <v>421</v>
      </c>
      <c r="N77" s="1298"/>
      <c r="O77" s="1299">
        <f ca="1">SUMIF(N72:N76,"&lt;9e307")</f>
        <v>12408</v>
      </c>
      <c r="P77" s="1300"/>
      <c r="Q77" s="3010">
        <f ca="1">O77/N69</f>
        <v>0.64393585551922783</v>
      </c>
      <c r="R77" s="2014"/>
      <c r="S77" s="2014"/>
      <c r="T77" s="2014"/>
      <c r="U77" s="2014"/>
      <c r="V77" s="2014"/>
    </row>
    <row r="78" spans="1:22" ht="12" customHeight="1">
      <c r="A78" s="1301"/>
      <c r="B78" s="311"/>
      <c r="C78" s="311"/>
      <c r="D78" s="311"/>
      <c r="E78" s="42"/>
      <c r="F78" s="42"/>
      <c r="G78" s="42"/>
      <c r="H78" s="1003"/>
      <c r="I78" s="311"/>
      <c r="J78" s="2021"/>
      <c r="K78" s="3375"/>
      <c r="L78" s="3374"/>
      <c r="M78" s="3012" t="s">
        <v>425</v>
      </c>
      <c r="N78" s="1298"/>
      <c r="O78" s="1299" t="str">
        <f ca="1">NUMBERSTRING(INT(O77*10000),2)&amp;"元整"</f>
        <v>壹亿贰仟肆佰零捌万元整</v>
      </c>
      <c r="P78" s="1300"/>
      <c r="Q78" s="2014"/>
      <c r="R78" s="2014"/>
      <c r="S78" s="2014"/>
      <c r="T78" s="2014"/>
      <c r="U78" s="2014"/>
      <c r="V78" s="2014"/>
    </row>
    <row r="79" spans="1:22" ht="13.5" thickBot="1">
      <c r="A79" s="3369" t="s">
        <v>427</v>
      </c>
      <c r="B79" s="3369"/>
      <c r="C79" s="3369"/>
      <c r="D79" s="3369"/>
      <c r="E79" s="3369"/>
      <c r="F79" s="42"/>
      <c r="G79" s="42"/>
      <c r="H79" s="1003"/>
      <c r="I79" s="311"/>
      <c r="J79" s="2021"/>
      <c r="K79" s="3395">
        <f>K77+1</f>
        <v>6</v>
      </c>
      <c r="L79" s="3374" t="s">
        <v>2882</v>
      </c>
      <c r="M79" s="3012" t="s">
        <v>421</v>
      </c>
      <c r="N79" s="1298"/>
      <c r="O79" s="1299">
        <f ca="1">N69-O77</f>
        <v>6861</v>
      </c>
      <c r="P79" s="1300"/>
      <c r="Q79" s="2014"/>
      <c r="R79" s="2014"/>
      <c r="S79" s="2014"/>
      <c r="T79" s="2014"/>
      <c r="U79" s="2014"/>
      <c r="V79" s="2014"/>
    </row>
    <row r="80" spans="1:22" ht="25.5">
      <c r="A80" s="3364" t="s">
        <v>428</v>
      </c>
      <c r="B80" s="3365"/>
      <c r="C80" s="994"/>
      <c r="D80" s="994" t="s">
        <v>429</v>
      </c>
      <c r="E80" s="370" t="s">
        <v>430</v>
      </c>
      <c r="F80" s="42"/>
      <c r="G80" s="42"/>
      <c r="H80" s="1003"/>
      <c r="I80" s="311"/>
      <c r="J80" s="2014"/>
      <c r="K80" s="3396"/>
      <c r="L80" s="3374"/>
      <c r="M80" s="3012" t="s">
        <v>425</v>
      </c>
      <c r="N80" s="1298"/>
      <c r="O80" s="1299" t="str">
        <f ca="1">NUMBERSTRING(INT(O79*10000),2)&amp;"元整"</f>
        <v>陆仟捌佰陆拾壹万元整</v>
      </c>
      <c r="P80" s="1300"/>
      <c r="Q80" s="2014"/>
      <c r="R80" s="2014"/>
      <c r="S80" s="2014"/>
      <c r="T80" s="2014"/>
      <c r="U80" s="2014"/>
      <c r="V80" s="2014"/>
    </row>
    <row r="81" spans="1:26" ht="13.5" thickBot="1">
      <c r="A81" s="381" t="s">
        <v>1822</v>
      </c>
      <c r="B81" s="371" t="s">
        <v>431</v>
      </c>
      <c r="C81" s="372">
        <f ca="1">ROUND((C82+C83)/(1+'数据-取费表'!C42),0)</f>
        <v>78057</v>
      </c>
      <c r="D81" s="373"/>
      <c r="E81" s="374"/>
      <c r="F81" s="42"/>
      <c r="G81" s="42"/>
      <c r="H81" s="1003"/>
      <c r="I81" s="311"/>
      <c r="J81" s="2014"/>
      <c r="K81" s="3006">
        <f>K79+1</f>
        <v>7</v>
      </c>
      <c r="L81" s="3372" t="s">
        <v>2883</v>
      </c>
      <c r="M81" s="3373"/>
      <c r="N81" s="1302"/>
      <c r="O81" s="1303">
        <f ca="1">ROUND(O79*10000/'数据-汇总表'!E3,0)</f>
        <v>1125</v>
      </c>
      <c r="P81" s="1304"/>
      <c r="Q81" s="2014"/>
      <c r="R81" s="2014"/>
      <c r="S81" s="2014"/>
      <c r="T81" s="2014"/>
      <c r="U81" s="2014"/>
      <c r="V81" s="2014"/>
    </row>
    <row r="82" spans="1:26" ht="13.5" thickTop="1">
      <c r="A82" s="375" t="s">
        <v>1823</v>
      </c>
      <c r="B82" s="376" t="s">
        <v>432</v>
      </c>
      <c r="C82" s="377">
        <f ca="1">D63</f>
        <v>81960</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84"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2936</v>
      </c>
      <c r="F84" s="42"/>
      <c r="G84" s="42"/>
      <c r="H84" s="1003"/>
      <c r="I84" s="311"/>
      <c r="J84" s="2014"/>
      <c r="K84" s="3384"/>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76057</v>
      </c>
      <c r="D85" s="378" t="s">
        <v>19</v>
      </c>
      <c r="E85" s="379"/>
      <c r="F85" s="42"/>
      <c r="G85" s="42"/>
      <c r="H85" s="1003"/>
      <c r="I85" s="311"/>
      <c r="J85" s="2014"/>
      <c r="K85" s="3384"/>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4259</v>
      </c>
      <c r="D86" s="389">
        <f>'数据-取费表'!B41</f>
        <v>5.6000000000000001E-2</v>
      </c>
      <c r="E86" s="390"/>
      <c r="F86" s="42"/>
      <c r="G86" s="42"/>
      <c r="H86" s="1003"/>
      <c r="I86" s="311"/>
      <c r="J86" s="2014"/>
      <c r="K86" s="3384"/>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4"/>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66" t="s">
        <v>437</v>
      </c>
      <c r="B88" s="3367"/>
      <c r="C88" s="3367"/>
      <c r="D88" s="3367"/>
      <c r="E88" s="3367"/>
      <c r="F88" s="3367"/>
      <c r="G88" s="3367"/>
      <c r="H88" s="3367"/>
      <c r="I88" s="1311"/>
      <c r="J88" s="2022"/>
      <c r="K88" s="3384"/>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64" t="s">
        <v>428</v>
      </c>
      <c r="B89" s="3365"/>
      <c r="C89" s="994"/>
      <c r="D89" s="994" t="s">
        <v>429</v>
      </c>
      <c r="E89" s="391" t="s">
        <v>438</v>
      </c>
      <c r="F89" s="392"/>
      <c r="G89" s="392"/>
      <c r="H89" s="393"/>
      <c r="I89" s="1312"/>
      <c r="J89" s="2024"/>
      <c r="K89" s="3384"/>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78057</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3029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27" t="s">
        <v>447</v>
      </c>
      <c r="F94" s="3326"/>
      <c r="G94" s="3326"/>
      <c r="H94" s="336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468</v>
      </c>
      <c r="D96" s="406">
        <f>'数据-取费表'!B43</f>
        <v>6.000000000000001E-3</v>
      </c>
      <c r="E96" s="3355" t="s">
        <v>2425</v>
      </c>
      <c r="F96" s="3356"/>
      <c r="G96" s="3356"/>
      <c r="H96" s="3357"/>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75028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24.769891053152854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43957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6" t="s">
        <v>454</v>
      </c>
      <c r="B101" s="3367"/>
      <c r="C101" s="3367"/>
      <c r="D101" s="3367"/>
      <c r="E101" s="3367"/>
      <c r="F101" s="3367"/>
      <c r="G101" s="3367"/>
      <c r="H101" s="3367"/>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64" t="s">
        <v>428</v>
      </c>
      <c r="B102" s="336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78057</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54135.770000000004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48788.770000000004</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Sheet2!H10</f>
        <v>47344.770000000004</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1444</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58" t="s">
        <v>462</v>
      </c>
      <c r="F109" s="3356"/>
      <c r="G109" s="3356"/>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4879</v>
      </c>
      <c r="D110" s="406">
        <v>0.1</v>
      </c>
      <c r="E110" s="3358" t="s">
        <v>464</v>
      </c>
      <c r="F110" s="3356"/>
      <c r="G110" s="3356"/>
      <c r="H110" s="3357"/>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468</v>
      </c>
      <c r="D111" s="406">
        <f>'数据-取费表'!B43</f>
        <v>6.000000000000001E-3</v>
      </c>
      <c r="E111" s="3355" t="s">
        <v>2425</v>
      </c>
      <c r="F111" s="3356"/>
      <c r="G111" s="3356"/>
      <c r="H111" s="3357"/>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8" t="s">
        <v>2450</v>
      </c>
      <c r="F112" s="3356"/>
      <c r="G112" s="3356"/>
      <c r="H112" s="3357"/>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23921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0.44187050447421361</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7176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3" zoomScale="80" zoomScaleNormal="95" zoomScaleSheetLayoutView="80" workbookViewId="0">
      <selection activeCell="M14" sqref="M1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7" t="s">
        <v>522</v>
      </c>
      <c r="D6" s="3428"/>
      <c r="E6" s="3427" t="s">
        <v>523</v>
      </c>
      <c r="F6" s="3428"/>
      <c r="G6" s="3427" t="s">
        <v>524</v>
      </c>
      <c r="H6" s="3428"/>
      <c r="I6" s="3427" t="s">
        <v>525</v>
      </c>
      <c r="J6" s="3428"/>
      <c r="K6" s="514" t="s">
        <v>526</v>
      </c>
      <c r="L6" s="2119"/>
      <c r="M6" s="2118"/>
      <c r="N6" s="2118"/>
      <c r="O6" s="2120"/>
      <c r="P6" s="3429" t="s">
        <v>527</v>
      </c>
      <c r="Q6" s="3430"/>
      <c r="R6" s="3417" t="s">
        <v>523</v>
      </c>
      <c r="S6" s="3418"/>
      <c r="T6" s="3417" t="s">
        <v>524</v>
      </c>
      <c r="U6" s="3418"/>
      <c r="V6" s="3414" t="s">
        <v>525</v>
      </c>
      <c r="W6" s="3414"/>
      <c r="X6" s="3189"/>
      <c r="Y6" s="3417" t="s">
        <v>527</v>
      </c>
      <c r="Z6" s="3418"/>
      <c r="AA6" s="3423" t="s">
        <v>523</v>
      </c>
      <c r="AB6" s="3424" t="s">
        <v>524</v>
      </c>
      <c r="AC6" s="3423" t="s">
        <v>525</v>
      </c>
    </row>
    <row r="7" spans="1:30" ht="20.25">
      <c r="A7" s="515"/>
      <c r="B7" s="516"/>
      <c r="C7" s="3435" t="s">
        <v>2925</v>
      </c>
      <c r="D7" s="3436"/>
      <c r="E7" s="3437" t="s">
        <v>3036</v>
      </c>
      <c r="F7" s="3436"/>
      <c r="G7" s="3437" t="s">
        <v>3038</v>
      </c>
      <c r="H7" s="3436"/>
      <c r="I7" s="3437" t="str">
        <f>土地案例!A144</f>
        <v>北环路西段南侧</v>
      </c>
      <c r="J7" s="3436"/>
      <c r="K7" s="514"/>
      <c r="L7" s="2119"/>
      <c r="M7" s="2118"/>
      <c r="N7" s="2118"/>
      <c r="O7" s="2120"/>
      <c r="P7" s="3431"/>
      <c r="Q7" s="3432"/>
      <c r="R7" s="3419"/>
      <c r="S7" s="3420"/>
      <c r="T7" s="3419"/>
      <c r="U7" s="3420"/>
      <c r="V7" s="3414"/>
      <c r="W7" s="3414"/>
      <c r="X7" s="3189"/>
      <c r="Y7" s="3419"/>
      <c r="Z7" s="3420"/>
      <c r="AA7" s="3424"/>
      <c r="AB7" s="3424"/>
      <c r="AC7" s="3424"/>
    </row>
    <row r="8" spans="1:30" ht="21" thickBot="1">
      <c r="A8" s="515"/>
      <c r="B8" s="516"/>
      <c r="C8" s="3438" t="s">
        <v>2929</v>
      </c>
      <c r="D8" s="3439"/>
      <c r="E8" s="3438" t="s">
        <v>2929</v>
      </c>
      <c r="F8" s="3439"/>
      <c r="G8" s="3440" t="s">
        <v>2929</v>
      </c>
      <c r="H8" s="3441"/>
      <c r="I8" s="3440" t="s">
        <v>2929</v>
      </c>
      <c r="J8" s="3441"/>
      <c r="K8" s="514" t="s">
        <v>528</v>
      </c>
      <c r="L8" s="2119"/>
      <c r="M8" s="2118"/>
      <c r="N8" s="2118"/>
      <c r="O8" s="2120"/>
      <c r="P8" s="3433"/>
      <c r="Q8" s="3434"/>
      <c r="R8" s="3419"/>
      <c r="S8" s="3420"/>
      <c r="T8" s="3421"/>
      <c r="U8" s="3422"/>
      <c r="V8" s="3414"/>
      <c r="W8" s="3414"/>
      <c r="X8" s="3189"/>
      <c r="Y8" s="3421"/>
      <c r="Z8" s="3422"/>
      <c r="AA8" s="3425"/>
      <c r="AB8" s="3425"/>
      <c r="AC8" s="3425"/>
    </row>
    <row r="9" spans="1:30" s="1216" customFormat="1" ht="21" thickBot="1">
      <c r="A9" s="2868"/>
      <c r="B9" s="2875" t="s">
        <v>529</v>
      </c>
      <c r="C9" s="2867">
        <f>'数据-取费表'!B2</f>
        <v>43607</v>
      </c>
      <c r="D9" s="520">
        <v>100</v>
      </c>
      <c r="E9" s="3225">
        <v>43615</v>
      </c>
      <c r="F9" s="522">
        <f>SUMIF(72:72,YEAR(E9)&amp;"-"&amp;INT((MONTH(E9)+2)/3),73:73)</f>
        <v>100</v>
      </c>
      <c r="G9" s="3226">
        <v>43615</v>
      </c>
      <c r="H9" s="520">
        <f>SUMIF(72:72,YEAR(G9)&amp;"-"&amp;INT((MONTH(G9)+2)/3),73:73)</f>
        <v>100</v>
      </c>
      <c r="I9" s="523" t="str">
        <f>土地案例!H144</f>
        <v>2016-12-16</v>
      </c>
      <c r="J9" s="520">
        <f>SUMIF(72:72,YEAR(I9)&amp;"-"&amp;INT((MONTH(I9)+2)/3),73:73)</f>
        <v>90</v>
      </c>
      <c r="K9" s="524"/>
      <c r="L9" s="2121"/>
      <c r="M9" s="2118"/>
      <c r="N9" s="2118"/>
      <c r="O9" s="2122"/>
      <c r="P9" s="3415" t="s">
        <v>530</v>
      </c>
      <c r="Q9" s="3426"/>
      <c r="R9" s="1555" t="s">
        <v>8</v>
      </c>
      <c r="S9" s="1556">
        <f t="shared" ref="S9:S17" si="0">F9</f>
        <v>100</v>
      </c>
      <c r="T9" s="1555" t="s">
        <v>8</v>
      </c>
      <c r="U9" s="1556">
        <f t="shared" ref="U9:U17" si="1">H9</f>
        <v>100</v>
      </c>
      <c r="V9" s="1555" t="s">
        <v>8</v>
      </c>
      <c r="W9" s="1556">
        <f t="shared" ref="W9:W17" si="2">J9</f>
        <v>90</v>
      </c>
      <c r="X9" s="1557"/>
      <c r="Y9" s="3415" t="s">
        <v>530</v>
      </c>
      <c r="Z9" s="3416"/>
      <c r="AA9" s="1558">
        <f>D9/F9</f>
        <v>1</v>
      </c>
      <c r="AB9" s="1558">
        <f>D9/H9</f>
        <v>1</v>
      </c>
      <c r="AC9" s="1558">
        <f>D9/J9</f>
        <v>1.1111111111111112</v>
      </c>
    </row>
    <row r="10" spans="1:30" s="1216" customFormat="1" ht="21" thickBot="1">
      <c r="A10" s="2869"/>
      <c r="B10" s="2876" t="s">
        <v>531</v>
      </c>
      <c r="C10" s="856" t="s">
        <v>532</v>
      </c>
      <c r="D10" s="520">
        <v>100</v>
      </c>
      <c r="E10" s="3193" t="s">
        <v>3019</v>
      </c>
      <c r="F10" s="522">
        <f>SUMIF(75:75,E10,76:76)-SUMIF(75:75,C10,76:76)+100</f>
        <v>100</v>
      </c>
      <c r="G10" s="3193" t="s">
        <v>3019</v>
      </c>
      <c r="H10" s="520">
        <f>SUMIF(75:75,G10,76:76)-SUMIF(75:75,C10,76:76)+100</f>
        <v>100</v>
      </c>
      <c r="I10" s="3193" t="s">
        <v>3019</v>
      </c>
      <c r="J10" s="520">
        <f>SUMIF(75:75,I10,76:76)-SUMIF(75:75,C10,76:76)+100</f>
        <v>100</v>
      </c>
      <c r="K10" s="524"/>
      <c r="L10" s="2121"/>
      <c r="M10" s="2118"/>
      <c r="N10" s="2118"/>
      <c r="O10" s="2122"/>
      <c r="P10" s="3415" t="s">
        <v>533</v>
      </c>
      <c r="Q10" s="3416"/>
      <c r="R10" s="1555" t="s">
        <v>8</v>
      </c>
      <c r="S10" s="1556">
        <f t="shared" si="0"/>
        <v>100</v>
      </c>
      <c r="T10" s="1555" t="s">
        <v>8</v>
      </c>
      <c r="U10" s="1556">
        <f t="shared" si="1"/>
        <v>100</v>
      </c>
      <c r="V10" s="1555" t="s">
        <v>8</v>
      </c>
      <c r="W10" s="1556">
        <f t="shared" si="2"/>
        <v>100</v>
      </c>
      <c r="X10" s="1557"/>
      <c r="Y10" s="3415" t="s">
        <v>533</v>
      </c>
      <c r="Z10" s="3416"/>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5" t="s">
        <v>535</v>
      </c>
      <c r="Q11" s="3186" t="str">
        <f t="shared" ref="Q11:Q17" si="6">B11</f>
        <v>用途</v>
      </c>
      <c r="R11" s="1555" t="s">
        <v>8</v>
      </c>
      <c r="S11" s="1556">
        <f t="shared" si="0"/>
        <v>100</v>
      </c>
      <c r="T11" s="1555" t="s">
        <v>8</v>
      </c>
      <c r="U11" s="1556">
        <f t="shared" si="1"/>
        <v>100</v>
      </c>
      <c r="V11" s="1555" t="s">
        <v>8</v>
      </c>
      <c r="W11" s="1556">
        <f t="shared" si="2"/>
        <v>100</v>
      </c>
      <c r="X11" s="1557"/>
      <c r="Y11" s="3349" t="s">
        <v>536</v>
      </c>
      <c r="Z11" s="3185"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05"/>
      <c r="Q12" s="3186" t="str">
        <f t="shared" si="6"/>
        <v>土地使用年限（年）</v>
      </c>
      <c r="R12" s="1555" t="s">
        <v>8</v>
      </c>
      <c r="S12" s="1556">
        <f t="shared" si="0"/>
        <v>106</v>
      </c>
      <c r="T12" s="1555" t="s">
        <v>8</v>
      </c>
      <c r="U12" s="1556">
        <f t="shared" si="1"/>
        <v>106</v>
      </c>
      <c r="V12" s="1555" t="s">
        <v>8</v>
      </c>
      <c r="W12" s="1556">
        <f t="shared" si="2"/>
        <v>106</v>
      </c>
      <c r="X12" s="1557"/>
      <c r="Y12" s="3349"/>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05"/>
      <c r="Q13" s="3186" t="str">
        <f t="shared" si="6"/>
        <v>容积率</v>
      </c>
      <c r="R13" s="1555" t="s">
        <v>8</v>
      </c>
      <c r="S13" s="1556">
        <f t="shared" si="0"/>
        <v>98</v>
      </c>
      <c r="T13" s="1555" t="s">
        <v>8</v>
      </c>
      <c r="U13" s="1556">
        <f t="shared" si="1"/>
        <v>98</v>
      </c>
      <c r="V13" s="1555" t="s">
        <v>8</v>
      </c>
      <c r="W13" s="1556">
        <f t="shared" si="2"/>
        <v>100</v>
      </c>
      <c r="X13" s="1557"/>
      <c r="Y13" s="3349"/>
      <c r="Z13" s="3185" t="str">
        <f t="shared" si="7"/>
        <v>容积率</v>
      </c>
      <c r="AA13" s="1558">
        <f t="shared" si="3"/>
        <v>1.0204081632653061</v>
      </c>
      <c r="AB13" s="1558">
        <f t="shared" si="4"/>
        <v>1.0204081632653061</v>
      </c>
      <c r="AC13" s="1558">
        <f t="shared" si="5"/>
        <v>1</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5"/>
      <c r="Q14" s="3186" t="str">
        <f t="shared" si="6"/>
        <v>配建</v>
      </c>
      <c r="R14" s="1555" t="s">
        <v>8</v>
      </c>
      <c r="S14" s="1556">
        <f t="shared" si="0"/>
        <v>100</v>
      </c>
      <c r="T14" s="1555" t="s">
        <v>8</v>
      </c>
      <c r="U14" s="1556">
        <f t="shared" si="1"/>
        <v>100</v>
      </c>
      <c r="V14" s="1555" t="s">
        <v>8</v>
      </c>
      <c r="W14" s="1556">
        <f t="shared" si="2"/>
        <v>100</v>
      </c>
      <c r="X14" s="1557"/>
      <c r="Y14" s="3349"/>
      <c r="Z14" s="3185" t="str">
        <f t="shared" si="7"/>
        <v>配建</v>
      </c>
      <c r="AA14" s="1558">
        <f>D14/F14</f>
        <v>1</v>
      </c>
      <c r="AB14" s="1558">
        <f>D14/H14</f>
        <v>1</v>
      </c>
      <c r="AC14" s="1558">
        <f>D14/J14</f>
        <v>1</v>
      </c>
    </row>
    <row r="15" spans="1:30" ht="20.25">
      <c r="A15" s="2873"/>
      <c r="B15" s="3201" t="s">
        <v>3327</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05"/>
      <c r="Q15" s="3186" t="str">
        <f t="shared" si="6"/>
        <v>溢价率</v>
      </c>
      <c r="R15" s="1555" t="s">
        <v>8</v>
      </c>
      <c r="S15" s="1556">
        <f t="shared" si="0"/>
        <v>100</v>
      </c>
      <c r="T15" s="1555" t="s">
        <v>8</v>
      </c>
      <c r="U15" s="1556">
        <f t="shared" si="1"/>
        <v>100</v>
      </c>
      <c r="V15" s="1555" t="s">
        <v>8</v>
      </c>
      <c r="W15" s="1556">
        <f t="shared" si="2"/>
        <v>100</v>
      </c>
      <c r="X15" s="1557"/>
      <c r="Y15" s="3349"/>
      <c r="Z15" s="3185" t="str">
        <f t="shared" si="7"/>
        <v>溢价率</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5"/>
      <c r="Q16" s="3186">
        <f t="shared" si="6"/>
        <v>111</v>
      </c>
      <c r="R16" s="1555" t="s">
        <v>8</v>
      </c>
      <c r="S16" s="1556">
        <f t="shared" si="0"/>
        <v>100</v>
      </c>
      <c r="T16" s="1555" t="s">
        <v>8</v>
      </c>
      <c r="U16" s="1556">
        <f t="shared" si="1"/>
        <v>100</v>
      </c>
      <c r="V16" s="1555" t="s">
        <v>8</v>
      </c>
      <c r="W16" s="1556">
        <f t="shared" si="2"/>
        <v>100</v>
      </c>
      <c r="X16" s="1557"/>
      <c r="Y16" s="3349"/>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7" t="s">
        <v>540</v>
      </c>
      <c r="Q17" s="3187" t="str">
        <f t="shared" si="6"/>
        <v>居住社区成熟度</v>
      </c>
      <c r="R17" s="1560" t="s">
        <v>8</v>
      </c>
      <c r="S17" s="1561">
        <f t="shared" si="0"/>
        <v>100</v>
      </c>
      <c r="T17" s="1560" t="s">
        <v>8</v>
      </c>
      <c r="U17" s="1561">
        <f t="shared" si="1"/>
        <v>100</v>
      </c>
      <c r="V17" s="1560" t="s">
        <v>8</v>
      </c>
      <c r="W17" s="1561">
        <f t="shared" si="2"/>
        <v>100</v>
      </c>
      <c r="X17" s="3189"/>
      <c r="Y17" s="3407"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08"/>
      <c r="Q18" s="3187"/>
      <c r="R18" s="1560"/>
      <c r="S18" s="1561"/>
      <c r="T18" s="1560"/>
      <c r="U18" s="1561"/>
      <c r="V18" s="1560"/>
      <c r="W18" s="1561"/>
      <c r="X18" s="3189"/>
      <c r="Y18" s="3408"/>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95</v>
      </c>
      <c r="K19" s="535">
        <v>5</v>
      </c>
      <c r="L19" s="2128"/>
      <c r="M19" s="2118"/>
      <c r="N19" s="2118"/>
      <c r="O19" s="2127"/>
      <c r="P19" s="3408"/>
      <c r="Q19" s="3187" t="str">
        <f>B19</f>
        <v>商业繁华度</v>
      </c>
      <c r="R19" s="1560" t="s">
        <v>8</v>
      </c>
      <c r="S19" s="1561">
        <f>F19</f>
        <v>100</v>
      </c>
      <c r="T19" s="1560" t="s">
        <v>8</v>
      </c>
      <c r="U19" s="1561">
        <f>H19</f>
        <v>100</v>
      </c>
      <c r="V19" s="1560" t="s">
        <v>8</v>
      </c>
      <c r="W19" s="1561">
        <f>J19</f>
        <v>95</v>
      </c>
      <c r="X19" s="3189"/>
      <c r="Y19" s="3408"/>
      <c r="Z19" s="3188" t="str">
        <f>Q19</f>
        <v>商业繁华度</v>
      </c>
      <c r="AA19" s="3191">
        <f t="shared" si="3"/>
        <v>1</v>
      </c>
      <c r="AB19" s="3191">
        <f t="shared" si="4"/>
        <v>1</v>
      </c>
      <c r="AC19" s="3191">
        <f t="shared" si="5"/>
        <v>1.0526315789473684</v>
      </c>
    </row>
    <row r="20" spans="1:29" ht="20.25">
      <c r="A20" s="532"/>
      <c r="B20" s="566"/>
      <c r="C20" s="3210" t="s">
        <v>3330</v>
      </c>
      <c r="D20" s="563"/>
      <c r="E20" s="3211" t="s">
        <v>3330</v>
      </c>
      <c r="F20" s="559"/>
      <c r="G20" s="3212" t="s">
        <v>3331</v>
      </c>
      <c r="H20" s="555"/>
      <c r="I20" s="3211" t="s">
        <v>3332</v>
      </c>
      <c r="J20" s="555"/>
      <c r="K20" s="531"/>
      <c r="L20" s="2128"/>
      <c r="M20" s="2118"/>
      <c r="N20" s="2118"/>
      <c r="O20" s="2127"/>
      <c r="P20" s="3408"/>
      <c r="Q20" s="3187"/>
      <c r="R20" s="1560"/>
      <c r="S20" s="1561"/>
      <c r="T20" s="1560"/>
      <c r="U20" s="1561"/>
      <c r="V20" s="1560"/>
      <c r="W20" s="1561"/>
      <c r="X20" s="3189"/>
      <c r="Y20" s="3408"/>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8"/>
      <c r="Q21" s="3187" t="str">
        <f>B21</f>
        <v>办公集聚程度</v>
      </c>
      <c r="R21" s="1560" t="s">
        <v>8</v>
      </c>
      <c r="S21" s="1561">
        <f>F21</f>
        <v>100</v>
      </c>
      <c r="T21" s="1560" t="s">
        <v>8</v>
      </c>
      <c r="U21" s="1561">
        <f>H21</f>
        <v>100</v>
      </c>
      <c r="V21" s="1560" t="s">
        <v>8</v>
      </c>
      <c r="W21" s="1561">
        <f>J21</f>
        <v>100</v>
      </c>
      <c r="X21" s="3189"/>
      <c r="Y21" s="3408"/>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08"/>
      <c r="Q22" s="3187"/>
      <c r="R22" s="1560"/>
      <c r="S22" s="1561"/>
      <c r="T22" s="1560"/>
      <c r="U22" s="1561"/>
      <c r="V22" s="1560"/>
      <c r="W22" s="1561"/>
      <c r="X22" s="3189"/>
      <c r="Y22" s="3408"/>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08"/>
      <c r="Q23" s="3187" t="str">
        <f>B23</f>
        <v>交通便捷度</v>
      </c>
      <c r="R23" s="1560" t="s">
        <v>8</v>
      </c>
      <c r="S23" s="1561">
        <f>F23</f>
        <v>100</v>
      </c>
      <c r="T23" s="1560" t="s">
        <v>8</v>
      </c>
      <c r="U23" s="1561">
        <f>H23</f>
        <v>100</v>
      </c>
      <c r="V23" s="1560" t="s">
        <v>8</v>
      </c>
      <c r="W23" s="1561">
        <f>J23</f>
        <v>100</v>
      </c>
      <c r="X23" s="3189"/>
      <c r="Y23" s="3408"/>
      <c r="Z23" s="3188" t="str">
        <f>Q23</f>
        <v>交通便捷度</v>
      </c>
      <c r="AA23" s="3191">
        <f t="shared" si="3"/>
        <v>1</v>
      </c>
      <c r="AB23" s="3191">
        <f t="shared" si="4"/>
        <v>1</v>
      </c>
      <c r="AC23" s="3191">
        <f t="shared" si="5"/>
        <v>1</v>
      </c>
    </row>
    <row r="24" spans="1:29" ht="20.25">
      <c r="A24" s="532"/>
      <c r="B24" s="578"/>
      <c r="C24" s="3213" t="s">
        <v>3330</v>
      </c>
      <c r="D24" s="557"/>
      <c r="E24" s="3214" t="s">
        <v>3330</v>
      </c>
      <c r="F24" s="555"/>
      <c r="G24" s="3215" t="s">
        <v>3331</v>
      </c>
      <c r="H24" s="555"/>
      <c r="I24" s="3214" t="s">
        <v>3331</v>
      </c>
      <c r="J24" s="555"/>
      <c r="K24" s="531"/>
      <c r="L24" s="2128"/>
      <c r="M24" s="2118"/>
      <c r="N24" s="2118"/>
      <c r="O24" s="2127"/>
      <c r="P24" s="3408"/>
      <c r="Q24" s="3187"/>
      <c r="R24" s="1560"/>
      <c r="S24" s="1561"/>
      <c r="T24" s="1560"/>
      <c r="U24" s="1561"/>
      <c r="V24" s="1560"/>
      <c r="W24" s="1561"/>
      <c r="X24" s="3189"/>
      <c r="Y24" s="3408"/>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8"/>
      <c r="Q25" s="3187" t="str">
        <f t="shared" ref="Q25:Q39" si="8">B25</f>
        <v>区域土地利用方向</v>
      </c>
      <c r="R25" s="1560" t="s">
        <v>8</v>
      </c>
      <c r="S25" s="1561">
        <f>F25</f>
        <v>100</v>
      </c>
      <c r="T25" s="1560" t="s">
        <v>8</v>
      </c>
      <c r="U25" s="1561">
        <f>H25</f>
        <v>100</v>
      </c>
      <c r="V25" s="1560" t="s">
        <v>8</v>
      </c>
      <c r="W25" s="1561">
        <f>J25</f>
        <v>100</v>
      </c>
      <c r="X25" s="3189"/>
      <c r="Y25" s="3408"/>
      <c r="Z25" s="3188" t="str">
        <f>Q25</f>
        <v>区域土地利用方向</v>
      </c>
      <c r="AA25" s="3191">
        <f t="shared" si="3"/>
        <v>1</v>
      </c>
      <c r="AB25" s="3191">
        <f t="shared" si="4"/>
        <v>1</v>
      </c>
      <c r="AC25" s="3191">
        <f t="shared" si="5"/>
        <v>1</v>
      </c>
    </row>
    <row r="26" spans="1:29" ht="20.25">
      <c r="A26" s="515"/>
      <c r="B26" s="1007"/>
      <c r="C26" s="3213" t="s">
        <v>3330</v>
      </c>
      <c r="D26" s="557"/>
      <c r="E26" s="3214" t="s">
        <v>3331</v>
      </c>
      <c r="F26" s="555"/>
      <c r="G26" s="3215" t="s">
        <v>3331</v>
      </c>
      <c r="H26" s="555"/>
      <c r="I26" s="3214" t="s">
        <v>3330</v>
      </c>
      <c r="J26" s="555"/>
      <c r="K26" s="531"/>
      <c r="L26" s="2128"/>
      <c r="M26" s="2118"/>
      <c r="N26" s="2118"/>
      <c r="O26" s="2127"/>
      <c r="P26" s="3408"/>
      <c r="Q26" s="3187"/>
      <c r="R26" s="1560"/>
      <c r="S26" s="1561"/>
      <c r="T26" s="1560"/>
      <c r="U26" s="1561"/>
      <c r="V26" s="1560"/>
      <c r="W26" s="1561"/>
      <c r="X26" s="3189"/>
      <c r="Y26" s="3408"/>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08"/>
      <c r="Q27" s="3187" t="str">
        <f t="shared" si="8"/>
        <v>自然及人文环境状况</v>
      </c>
      <c r="R27" s="1560" t="s">
        <v>8</v>
      </c>
      <c r="S27" s="1561">
        <f>F27</f>
        <v>100</v>
      </c>
      <c r="T27" s="1560" t="s">
        <v>8</v>
      </c>
      <c r="U27" s="1561">
        <f>H27</f>
        <v>100</v>
      </c>
      <c r="V27" s="1560" t="s">
        <v>8</v>
      </c>
      <c r="W27" s="1561">
        <f>J27</f>
        <v>95</v>
      </c>
      <c r="X27" s="3189"/>
      <c r="Y27" s="3408"/>
      <c r="Z27" s="3188" t="str">
        <f>Q27</f>
        <v>自然及人文环境状况</v>
      </c>
      <c r="AA27" s="3191">
        <f t="shared" si="3"/>
        <v>1</v>
      </c>
      <c r="AB27" s="3191">
        <f t="shared" si="4"/>
        <v>1</v>
      </c>
      <c r="AC27" s="3191">
        <f t="shared" si="5"/>
        <v>1.0526315789473684</v>
      </c>
    </row>
    <row r="28" spans="1:29" ht="20.25">
      <c r="A28" s="515"/>
      <c r="B28" s="566"/>
      <c r="C28" s="3213" t="s">
        <v>3330</v>
      </c>
      <c r="D28" s="557"/>
      <c r="E28" s="3216" t="s">
        <v>3330</v>
      </c>
      <c r="F28" s="555"/>
      <c r="G28" s="3213" t="s">
        <v>3331</v>
      </c>
      <c r="H28" s="555"/>
      <c r="I28" s="3216" t="s">
        <v>3332</v>
      </c>
      <c r="J28" s="555"/>
      <c r="K28" s="531"/>
      <c r="L28" s="2128"/>
      <c r="M28" s="2118"/>
      <c r="N28" s="2118"/>
      <c r="O28" s="2127"/>
      <c r="P28" s="3408"/>
      <c r="Q28" s="3187"/>
      <c r="R28" s="1560"/>
      <c r="S28" s="1561"/>
      <c r="T28" s="1560"/>
      <c r="U28" s="1561"/>
      <c r="V28" s="1560"/>
      <c r="W28" s="1561"/>
      <c r="X28" s="3189"/>
      <c r="Y28" s="3408"/>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08"/>
      <c r="Q29" s="3186" t="str">
        <f t="shared" si="8"/>
        <v>公共配套设施</v>
      </c>
      <c r="R29" s="1555" t="s">
        <v>8</v>
      </c>
      <c r="S29" s="1556">
        <f>F29</f>
        <v>100</v>
      </c>
      <c r="T29" s="1555" t="s">
        <v>8</v>
      </c>
      <c r="U29" s="1556">
        <f>H29</f>
        <v>100</v>
      </c>
      <c r="V29" s="1555" t="s">
        <v>8</v>
      </c>
      <c r="W29" s="1556">
        <f>J29</f>
        <v>95</v>
      </c>
      <c r="X29" s="1557"/>
      <c r="Y29" s="3408"/>
      <c r="Z29" s="3185" t="str">
        <f>Q29</f>
        <v>公共配套设施</v>
      </c>
      <c r="AA29" s="3191">
        <f>D29/F29</f>
        <v>1</v>
      </c>
      <c r="AB29" s="3191">
        <f>D29/H29</f>
        <v>1</v>
      </c>
      <c r="AC29" s="3191">
        <f>D29/J29</f>
        <v>1.0526315789473684</v>
      </c>
    </row>
    <row r="30" spans="1:29" s="1216" customFormat="1" ht="20.25">
      <c r="A30" s="577"/>
      <c r="B30" s="566"/>
      <c r="C30" s="3217" t="s">
        <v>3330</v>
      </c>
      <c r="D30" s="557"/>
      <c r="E30" s="3216" t="s">
        <v>3330</v>
      </c>
      <c r="F30" s="555"/>
      <c r="G30" s="3213" t="s">
        <v>3331</v>
      </c>
      <c r="H30" s="555"/>
      <c r="I30" s="3216" t="s">
        <v>3332</v>
      </c>
      <c r="J30" s="555"/>
      <c r="K30" s="531"/>
      <c r="L30" s="2121"/>
      <c r="M30" s="2118"/>
      <c r="N30" s="2118"/>
      <c r="O30" s="2123"/>
      <c r="P30" s="3408"/>
      <c r="Q30" s="3186"/>
      <c r="R30" s="1555"/>
      <c r="S30" s="1556"/>
      <c r="T30" s="1555"/>
      <c r="U30" s="1556"/>
      <c r="V30" s="1555"/>
      <c r="W30" s="1556"/>
      <c r="X30" s="1557"/>
      <c r="Y30" s="3408"/>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8"/>
      <c r="Q31" s="3186" t="str">
        <f t="shared" ref="Q31" si="9">B31</f>
        <v>基础设施水平</v>
      </c>
      <c r="R31" s="1555" t="s">
        <v>8</v>
      </c>
      <c r="S31" s="1556">
        <f>F31</f>
        <v>100</v>
      </c>
      <c r="T31" s="1555" t="s">
        <v>8</v>
      </c>
      <c r="U31" s="1556">
        <f>H31</f>
        <v>100</v>
      </c>
      <c r="V31" s="1555" t="s">
        <v>8</v>
      </c>
      <c r="W31" s="1556">
        <f>J31</f>
        <v>100</v>
      </c>
      <c r="X31" s="1557"/>
      <c r="Y31" s="3408"/>
      <c r="Z31" s="3185" t="str">
        <f>Q31</f>
        <v>基础设施水平</v>
      </c>
      <c r="AA31" s="3191">
        <f>D31/F31</f>
        <v>1</v>
      </c>
      <c r="AB31" s="3191">
        <f>D31/H31</f>
        <v>1</v>
      </c>
      <c r="AC31" s="3191">
        <f>D31/J31</f>
        <v>1</v>
      </c>
    </row>
    <row r="32" spans="1:29" s="1216" customFormat="1" ht="20.25">
      <c r="A32" s="577"/>
      <c r="B32" s="566"/>
      <c r="C32" s="3217" t="s">
        <v>3333</v>
      </c>
      <c r="D32" s="557"/>
      <c r="E32" s="3218" t="s">
        <v>3333</v>
      </c>
      <c r="F32" s="555"/>
      <c r="G32" s="3217" t="s">
        <v>3333</v>
      </c>
      <c r="H32" s="555"/>
      <c r="I32" s="3217" t="s">
        <v>3333</v>
      </c>
      <c r="J32" s="555"/>
      <c r="K32" s="531"/>
      <c r="L32" s="2121"/>
      <c r="M32" s="2118"/>
      <c r="N32" s="2118"/>
      <c r="O32" s="2123"/>
      <c r="P32" s="3408"/>
      <c r="Q32" s="3186"/>
      <c r="R32" s="1555"/>
      <c r="S32" s="1556"/>
      <c r="T32" s="1555"/>
      <c r="U32" s="1556"/>
      <c r="V32" s="1555"/>
      <c r="W32" s="1556"/>
      <c r="X32" s="1557"/>
      <c r="Y32" s="3408"/>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8"/>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08"/>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8"/>
      <c r="Q34" s="3187" t="str">
        <f t="shared" si="8"/>
        <v>毗邻道路的类型与等级</v>
      </c>
      <c r="R34" s="1560" t="s">
        <v>8</v>
      </c>
      <c r="S34" s="1561">
        <f t="shared" si="10"/>
        <v>100</v>
      </c>
      <c r="T34" s="1560" t="s">
        <v>8</v>
      </c>
      <c r="U34" s="1561">
        <f t="shared" si="11"/>
        <v>100</v>
      </c>
      <c r="V34" s="1560" t="s">
        <v>8</v>
      </c>
      <c r="W34" s="1561">
        <f t="shared" si="12"/>
        <v>100</v>
      </c>
      <c r="X34" s="3189"/>
      <c r="Y34" s="3408"/>
      <c r="Z34" s="3188" t="str">
        <f t="shared" si="13"/>
        <v>毗邻道路的类型与等级</v>
      </c>
      <c r="AA34" s="3191">
        <f t="shared" si="3"/>
        <v>1</v>
      </c>
      <c r="AB34" s="3191">
        <f t="shared" si="4"/>
        <v>1</v>
      </c>
      <c r="AC34" s="3191">
        <f t="shared" si="5"/>
        <v>1</v>
      </c>
    </row>
    <row r="35" spans="1:29" ht="20.25">
      <c r="A35" s="532"/>
      <c r="B35" s="566"/>
      <c r="C35" s="554"/>
      <c r="D35" s="557"/>
      <c r="E35" s="576"/>
      <c r="F35" s="555"/>
      <c r="G35" s="554"/>
      <c r="H35" s="555"/>
      <c r="I35" s="576"/>
      <c r="J35" s="555"/>
      <c r="K35" s="581"/>
      <c r="L35" s="2128"/>
      <c r="M35" s="2118"/>
      <c r="N35" s="2118"/>
      <c r="O35" s="2127"/>
      <c r="P35" s="3408"/>
      <c r="Q35" s="3187"/>
      <c r="R35" s="1560"/>
      <c r="S35" s="1561"/>
      <c r="T35" s="1560"/>
      <c r="U35" s="1561"/>
      <c r="V35" s="1560"/>
      <c r="W35" s="1561"/>
      <c r="X35" s="3189"/>
      <c r="Y35" s="3408"/>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8"/>
      <c r="Q36" s="3187" t="str">
        <f t="shared" si="8"/>
        <v>土地级别</v>
      </c>
      <c r="R36" s="1560" t="s">
        <v>8</v>
      </c>
      <c r="S36" s="1561">
        <f t="shared" si="10"/>
        <v>100</v>
      </c>
      <c r="T36" s="1560" t="s">
        <v>8</v>
      </c>
      <c r="U36" s="1561">
        <f t="shared" si="11"/>
        <v>100</v>
      </c>
      <c r="V36" s="1560" t="s">
        <v>8</v>
      </c>
      <c r="W36" s="1561">
        <f t="shared" si="12"/>
        <v>100</v>
      </c>
      <c r="X36" s="3189"/>
      <c r="Y36" s="3408"/>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8"/>
      <c r="Q37" s="3187">
        <f t="shared" si="8"/>
        <v>111</v>
      </c>
      <c r="R37" s="1560" t="s">
        <v>8</v>
      </c>
      <c r="S37" s="1561">
        <f t="shared" si="10"/>
        <v>100</v>
      </c>
      <c r="T37" s="1560" t="s">
        <v>8</v>
      </c>
      <c r="U37" s="1561">
        <f t="shared" si="11"/>
        <v>100</v>
      </c>
      <c r="V37" s="1560" t="s">
        <v>8</v>
      </c>
      <c r="W37" s="1561">
        <f t="shared" si="12"/>
        <v>100</v>
      </c>
      <c r="X37" s="3189"/>
      <c r="Y37" s="3408"/>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2" t="s">
        <v>550</v>
      </c>
      <c r="Q38" s="3187">
        <f t="shared" si="8"/>
        <v>111</v>
      </c>
      <c r="R38" s="1560" t="s">
        <v>8</v>
      </c>
      <c r="S38" s="1561">
        <f t="shared" si="10"/>
        <v>100</v>
      </c>
      <c r="T38" s="1560" t="s">
        <v>8</v>
      </c>
      <c r="U38" s="1561">
        <f t="shared" si="11"/>
        <v>100</v>
      </c>
      <c r="V38" s="1560" t="s">
        <v>8</v>
      </c>
      <c r="W38" s="1561">
        <f t="shared" si="12"/>
        <v>100</v>
      </c>
      <c r="X38" s="3189"/>
      <c r="Y38" s="3413"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3"/>
      <c r="Q39" s="3187">
        <f t="shared" si="8"/>
        <v>111</v>
      </c>
      <c r="R39" s="1564" t="s">
        <v>8</v>
      </c>
      <c r="S39" s="1565">
        <f t="shared" si="10"/>
        <v>100</v>
      </c>
      <c r="T39" s="1564" t="s">
        <v>8</v>
      </c>
      <c r="U39" s="1565">
        <f t="shared" si="11"/>
        <v>100</v>
      </c>
      <c r="V39" s="1564" t="s">
        <v>8</v>
      </c>
      <c r="W39" s="1565">
        <f t="shared" si="12"/>
        <v>100</v>
      </c>
      <c r="X39" s="1566"/>
      <c r="Y39" s="3413"/>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13"/>
      <c r="Q40" s="3187" t="str">
        <f>B40</f>
        <v>宗地面积</v>
      </c>
      <c r="R40" s="1560" t="s">
        <v>8</v>
      </c>
      <c r="S40" s="1561">
        <f t="shared" si="10"/>
        <v>100</v>
      </c>
      <c r="T40" s="1560" t="s">
        <v>8</v>
      </c>
      <c r="U40" s="1561">
        <f t="shared" si="11"/>
        <v>101</v>
      </c>
      <c r="V40" s="1560" t="s">
        <v>8</v>
      </c>
      <c r="W40" s="1561">
        <f t="shared" si="12"/>
        <v>101</v>
      </c>
      <c r="X40" s="3189"/>
      <c r="Y40" s="3413"/>
      <c r="Z40" s="3188" t="str">
        <f t="shared" si="13"/>
        <v>宗地面积</v>
      </c>
      <c r="AA40" s="3191">
        <f t="shared" si="3"/>
        <v>1</v>
      </c>
      <c r="AB40" s="3191">
        <f t="shared" si="4"/>
        <v>0.99009900990099009</v>
      </c>
      <c r="AC40" s="3191">
        <f t="shared" si="5"/>
        <v>0.99009900990099009</v>
      </c>
    </row>
    <row r="41" spans="1:29" ht="20.25">
      <c r="A41" s="594"/>
      <c r="B41" s="527" t="s">
        <v>553</v>
      </c>
      <c r="C41" s="3219" t="s">
        <v>3334</v>
      </c>
      <c r="D41" s="540">
        <v>100</v>
      </c>
      <c r="E41" s="3219" t="s">
        <v>3334</v>
      </c>
      <c r="F41" s="540">
        <f>SUMIF(121:121,E41,122:122)-SUMIF(121:121,C41,122:122)+100</f>
        <v>100</v>
      </c>
      <c r="G41" s="3219" t="s">
        <v>3334</v>
      </c>
      <c r="H41" s="540">
        <f>SUMIF(121:121,G41,122:122)-SUMIF(121:121,C41,122:122)+100</f>
        <v>100</v>
      </c>
      <c r="I41" s="3219" t="s">
        <v>3334</v>
      </c>
      <c r="J41" s="540">
        <f>SUMIF(121:121,I41,122:122)-SUMIF(121:121,C41,122:122)+100</f>
        <v>100</v>
      </c>
      <c r="K41" s="584"/>
      <c r="L41" s="2128"/>
      <c r="M41" s="2118"/>
      <c r="N41" s="2118"/>
      <c r="O41" s="2127"/>
      <c r="P41" s="3413"/>
      <c r="Q41" s="3187" t="str">
        <f t="shared" ref="Q41:Q47" si="14">B41</f>
        <v>宗地形状</v>
      </c>
      <c r="R41" s="1560" t="s">
        <v>8</v>
      </c>
      <c r="S41" s="1561">
        <f t="shared" si="10"/>
        <v>100</v>
      </c>
      <c r="T41" s="1560" t="s">
        <v>8</v>
      </c>
      <c r="U41" s="1561">
        <f t="shared" si="11"/>
        <v>100</v>
      </c>
      <c r="V41" s="1560" t="s">
        <v>8</v>
      </c>
      <c r="W41" s="1561">
        <f t="shared" si="12"/>
        <v>100</v>
      </c>
      <c r="X41" s="3189"/>
      <c r="Y41" s="3413"/>
      <c r="Z41" s="3188" t="str">
        <f t="shared" si="13"/>
        <v>宗地形状</v>
      </c>
      <c r="AA41" s="3191">
        <f t="shared" si="3"/>
        <v>1</v>
      </c>
      <c r="AB41" s="3191">
        <f t="shared" si="4"/>
        <v>1</v>
      </c>
      <c r="AC41" s="3191">
        <f t="shared" si="5"/>
        <v>1</v>
      </c>
    </row>
    <row r="42" spans="1:29" ht="20.25">
      <c r="A42" s="594"/>
      <c r="B42" s="527" t="s">
        <v>554</v>
      </c>
      <c r="C42" s="3219" t="s">
        <v>3330</v>
      </c>
      <c r="D42" s="540">
        <v>100</v>
      </c>
      <c r="E42" s="3219" t="s">
        <v>3330</v>
      </c>
      <c r="F42" s="540">
        <f>SUMIF(123:123,E42,124:124)-SUMIF(123:123,C42,124:124)+100</f>
        <v>100</v>
      </c>
      <c r="G42" s="3219" t="s">
        <v>3330</v>
      </c>
      <c r="H42" s="540">
        <f>SUMIF(123:123,G42,124:124)-SUMIF(123:123,C42,124:124)+100</f>
        <v>100</v>
      </c>
      <c r="I42" s="3219" t="s">
        <v>3330</v>
      </c>
      <c r="J42" s="540">
        <f>SUMIF(123:123,I42,124:124)-SUMIF(123:123,C42,124:124)+100</f>
        <v>100</v>
      </c>
      <c r="K42" s="584"/>
      <c r="L42" s="2128"/>
      <c r="M42" s="2118"/>
      <c r="N42" s="2118"/>
      <c r="O42" s="2127"/>
      <c r="P42" s="3413"/>
      <c r="Q42" s="3187" t="str">
        <f t="shared" si="14"/>
        <v>临街宽度及深度</v>
      </c>
      <c r="R42" s="1560" t="s">
        <v>8</v>
      </c>
      <c r="S42" s="1561">
        <f t="shared" si="10"/>
        <v>100</v>
      </c>
      <c r="T42" s="1560" t="s">
        <v>8</v>
      </c>
      <c r="U42" s="1561">
        <f t="shared" si="11"/>
        <v>100</v>
      </c>
      <c r="V42" s="1560" t="s">
        <v>8</v>
      </c>
      <c r="W42" s="1561">
        <f t="shared" si="12"/>
        <v>100</v>
      </c>
      <c r="X42" s="3189"/>
      <c r="Y42" s="3413"/>
      <c r="Z42" s="3188" t="str">
        <f t="shared" si="13"/>
        <v>临街宽度及深度</v>
      </c>
      <c r="AA42" s="3191">
        <f t="shared" si="3"/>
        <v>1</v>
      </c>
      <c r="AB42" s="3191">
        <f t="shared" si="4"/>
        <v>1</v>
      </c>
      <c r="AC42" s="3191">
        <f t="shared" si="5"/>
        <v>1</v>
      </c>
    </row>
    <row r="43" spans="1:29" s="1216" customFormat="1" ht="20.25">
      <c r="A43" s="600"/>
      <c r="B43" s="1881" t="s">
        <v>2421</v>
      </c>
      <c r="C43" s="3220" t="s">
        <v>3335</v>
      </c>
      <c r="D43" s="255">
        <v>100</v>
      </c>
      <c r="E43" s="3220" t="s">
        <v>3335</v>
      </c>
      <c r="F43" s="540">
        <f>SUMIF(125:125,E43,126:126)-SUMIF(125:125,C43,126:126)+100</f>
        <v>100</v>
      </c>
      <c r="G43" s="3220" t="s">
        <v>3335</v>
      </c>
      <c r="H43" s="540">
        <f>SUMIF(125:125,G43,126:126)-SUMIF(125:125,C43,126:126)+100</f>
        <v>100</v>
      </c>
      <c r="I43" s="3220" t="s">
        <v>3335</v>
      </c>
      <c r="J43" s="540">
        <f>SUMIF(125:125,I43,126:126)-SUMIF(125:125,C43,126:126)+100</f>
        <v>100</v>
      </c>
      <c r="K43" s="584"/>
      <c r="L43" s="2121"/>
      <c r="M43" s="2118"/>
      <c r="N43" s="2118"/>
      <c r="O43" s="2123"/>
      <c r="P43" s="3413"/>
      <c r="Q43" s="3187" t="str">
        <f t="shared" si="14"/>
        <v>宗地开发程度</v>
      </c>
      <c r="R43" s="1555" t="s">
        <v>8</v>
      </c>
      <c r="S43" s="1556">
        <f t="shared" si="10"/>
        <v>100</v>
      </c>
      <c r="T43" s="1555" t="s">
        <v>8</v>
      </c>
      <c r="U43" s="1556">
        <f t="shared" si="11"/>
        <v>100</v>
      </c>
      <c r="V43" s="1555" t="s">
        <v>8</v>
      </c>
      <c r="W43" s="1556">
        <f t="shared" si="12"/>
        <v>100</v>
      </c>
      <c r="X43" s="1557"/>
      <c r="Y43" s="3413"/>
      <c r="Z43" s="3185" t="str">
        <f t="shared" si="13"/>
        <v>宗地开发程度</v>
      </c>
      <c r="AA43" s="1558">
        <f t="shared" si="3"/>
        <v>1</v>
      </c>
      <c r="AB43" s="1558">
        <f t="shared" si="4"/>
        <v>1</v>
      </c>
      <c r="AC43" s="1558">
        <f t="shared" si="5"/>
        <v>1</v>
      </c>
    </row>
    <row r="44" spans="1:29" ht="20.25">
      <c r="A44" s="594"/>
      <c r="B44" s="527" t="s">
        <v>555</v>
      </c>
      <c r="C44" s="3219" t="s">
        <v>3330</v>
      </c>
      <c r="D44" s="540">
        <v>100</v>
      </c>
      <c r="E44" s="3219" t="s">
        <v>3330</v>
      </c>
      <c r="F44" s="540">
        <f>SUMIF(127:127,E44,128:128)-SUMIF(127:127,C44,128:128)+100</f>
        <v>100</v>
      </c>
      <c r="G44" s="3219" t="s">
        <v>3330</v>
      </c>
      <c r="H44" s="540">
        <f>SUMIF(127:127,G44,128:128)-SUMIF(127:127,C44,128:128)+100</f>
        <v>100</v>
      </c>
      <c r="I44" s="3219" t="s">
        <v>3330</v>
      </c>
      <c r="J44" s="540">
        <f>SUMIF(127:127,I44,128:128)-SUMIF(127:127,C44,128:128)+100</f>
        <v>100</v>
      </c>
      <c r="K44" s="584"/>
      <c r="L44" s="2128"/>
      <c r="M44" s="2118"/>
      <c r="N44" s="2118"/>
      <c r="O44" s="2127"/>
      <c r="P44" s="3413" t="s">
        <v>550</v>
      </c>
      <c r="Q44" s="3187" t="str">
        <f t="shared" si="14"/>
        <v>工程地质条件</v>
      </c>
      <c r="R44" s="1560" t="s">
        <v>8</v>
      </c>
      <c r="S44" s="1561">
        <f t="shared" si="10"/>
        <v>100</v>
      </c>
      <c r="T44" s="1560" t="s">
        <v>8</v>
      </c>
      <c r="U44" s="1561">
        <f t="shared" si="11"/>
        <v>100</v>
      </c>
      <c r="V44" s="1560" t="s">
        <v>8</v>
      </c>
      <c r="W44" s="1561">
        <f t="shared" si="12"/>
        <v>100</v>
      </c>
      <c r="X44" s="3189"/>
      <c r="Y44" s="3413"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3"/>
      <c r="Q45" s="3187">
        <f t="shared" si="14"/>
        <v>111</v>
      </c>
      <c r="R45" s="1560" t="s">
        <v>8</v>
      </c>
      <c r="S45" s="1561">
        <f t="shared" si="10"/>
        <v>100</v>
      </c>
      <c r="T45" s="1560" t="s">
        <v>8</v>
      </c>
      <c r="U45" s="1561">
        <f t="shared" si="11"/>
        <v>100</v>
      </c>
      <c r="V45" s="1560" t="s">
        <v>8</v>
      </c>
      <c r="W45" s="1561">
        <f t="shared" si="12"/>
        <v>100</v>
      </c>
      <c r="X45" s="3189"/>
      <c r="Y45" s="3413"/>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3"/>
      <c r="Q46" s="3187">
        <f t="shared" si="14"/>
        <v>111</v>
      </c>
      <c r="R46" s="1560" t="s">
        <v>8</v>
      </c>
      <c r="S46" s="1561">
        <f t="shared" si="10"/>
        <v>100</v>
      </c>
      <c r="T46" s="1560" t="s">
        <v>8</v>
      </c>
      <c r="U46" s="1561">
        <f t="shared" si="11"/>
        <v>100</v>
      </c>
      <c r="V46" s="1560" t="s">
        <v>8</v>
      </c>
      <c r="W46" s="1561">
        <f t="shared" si="12"/>
        <v>100</v>
      </c>
      <c r="X46" s="3189"/>
      <c r="Y46" s="3413"/>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3"/>
      <c r="Q47" s="3187">
        <f t="shared" si="14"/>
        <v>111</v>
      </c>
      <c r="R47" s="1564" t="s">
        <v>8</v>
      </c>
      <c r="S47" s="1565">
        <f t="shared" si="10"/>
        <v>100</v>
      </c>
      <c r="T47" s="1564" t="s">
        <v>8</v>
      </c>
      <c r="U47" s="1565">
        <f t="shared" si="11"/>
        <v>100</v>
      </c>
      <c r="V47" s="1564" t="s">
        <v>8</v>
      </c>
      <c r="W47" s="1565">
        <f t="shared" si="12"/>
        <v>100</v>
      </c>
      <c r="X47" s="1566"/>
      <c r="Y47" s="3413"/>
      <c r="Z47" s="1567">
        <f t="shared" si="13"/>
        <v>111</v>
      </c>
      <c r="AA47" s="3191">
        <f t="shared" si="3"/>
        <v>1</v>
      </c>
      <c r="AB47" s="3191">
        <f t="shared" si="4"/>
        <v>1</v>
      </c>
      <c r="AC47" s="3191">
        <f t="shared" si="5"/>
        <v>1</v>
      </c>
    </row>
    <row r="48" spans="1:29" ht="20.25">
      <c r="A48" s="607" t="s">
        <v>556</v>
      </c>
      <c r="B48" s="608" t="s">
        <v>3020</v>
      </c>
      <c r="C48" s="609" t="s">
        <v>1</v>
      </c>
      <c r="D48" s="610"/>
      <c r="E48" s="2594">
        <f>Sheet1!O237</f>
        <v>2625</v>
      </c>
      <c r="F48" s="612"/>
      <c r="G48" s="613">
        <v>2625</v>
      </c>
      <c r="H48" s="614"/>
      <c r="I48" s="611">
        <v>1765</v>
      </c>
      <c r="J48" s="614"/>
      <c r="K48" s="1336"/>
      <c r="L48" s="2130"/>
      <c r="M48" s="2118"/>
      <c r="N48" s="2118"/>
      <c r="O48" s="2131"/>
      <c r="P48" s="3405" t="str">
        <f>A48</f>
        <v>成交单价</v>
      </c>
      <c r="Q48" s="3405"/>
      <c r="R48" s="3414">
        <f>E48</f>
        <v>2625</v>
      </c>
      <c r="S48" s="3414"/>
      <c r="T48" s="3414">
        <f>G48</f>
        <v>2625</v>
      </c>
      <c r="U48" s="3414"/>
      <c r="V48" s="3414">
        <f>I48</f>
        <v>1765</v>
      </c>
      <c r="W48" s="3414"/>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05" t="str">
        <f>A49</f>
        <v>比较价格（元/平方米）</v>
      </c>
      <c r="Q49" s="3405"/>
      <c r="R49" s="3406">
        <f>ROUND(PRODUCT(R48,AA9:AA47),0)</f>
        <v>2527</v>
      </c>
      <c r="S49" s="3406"/>
      <c r="T49" s="3406">
        <f>ROUND(PRODUCT(T48,AB9:AB47),0)</f>
        <v>2502</v>
      </c>
      <c r="U49" s="3406"/>
      <c r="V49" s="3406">
        <f>ROUND(PRODUCT(V48,AC9:AC47),0)</f>
        <v>2137</v>
      </c>
      <c r="W49" s="3406"/>
      <c r="X49" s="1546"/>
      <c r="Y49" s="1546"/>
      <c r="Z49" s="1546"/>
      <c r="AA49" s="1546"/>
      <c r="AB49" s="1546"/>
      <c r="AC49" s="1546"/>
    </row>
    <row r="50" spans="1:29" ht="21" thickBot="1">
      <c r="A50" s="621" t="s">
        <v>2931</v>
      </c>
      <c r="B50" s="622"/>
      <c r="C50" s="623">
        <f>R50</f>
        <v>2389</v>
      </c>
      <c r="D50" s="623"/>
      <c r="E50" s="623"/>
      <c r="F50" s="623"/>
      <c r="G50" s="623"/>
      <c r="H50" s="623"/>
      <c r="I50" s="623"/>
      <c r="J50" s="623"/>
      <c r="K50" s="1338"/>
      <c r="L50" s="2130"/>
      <c r="M50" s="2118"/>
      <c r="N50" s="2118"/>
      <c r="O50" s="2131"/>
      <c r="P50" s="3409" t="str">
        <f>A50</f>
        <v>估价对象XX用房的比较价格（楼面单价，元/平方米）</v>
      </c>
      <c r="Q50" s="3410"/>
      <c r="R50" s="3411">
        <f>ROUND(AVERAGE(R49:V49),0)</f>
        <v>2389</v>
      </c>
      <c r="S50" s="3411"/>
      <c r="T50" s="3411"/>
      <c r="U50" s="3411"/>
      <c r="V50" s="3411"/>
      <c r="W50" s="341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0" t="s">
        <v>2279</v>
      </c>
      <c r="H57" s="3401"/>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02"/>
      <c r="H58" s="340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4"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3328</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27" t="s">
        <v>522</v>
      </c>
      <c r="D6" s="3428"/>
      <c r="E6" s="3427" t="s">
        <v>523</v>
      </c>
      <c r="F6" s="3428"/>
      <c r="G6" s="3427" t="s">
        <v>524</v>
      </c>
      <c r="H6" s="3428"/>
      <c r="I6" s="3427" t="s">
        <v>525</v>
      </c>
      <c r="J6" s="3428"/>
      <c r="K6" s="514" t="s">
        <v>526</v>
      </c>
      <c r="L6" s="2119"/>
      <c r="M6" s="2118"/>
      <c r="N6" s="2118"/>
      <c r="O6" s="2120"/>
      <c r="P6" s="3429" t="s">
        <v>527</v>
      </c>
      <c r="Q6" s="3430"/>
      <c r="R6" s="3417" t="s">
        <v>523</v>
      </c>
      <c r="S6" s="3418"/>
      <c r="T6" s="3417" t="s">
        <v>524</v>
      </c>
      <c r="U6" s="3418"/>
      <c r="V6" s="3414" t="s">
        <v>525</v>
      </c>
      <c r="W6" s="3414"/>
      <c r="X6" s="1554"/>
      <c r="Y6" s="3417" t="s">
        <v>527</v>
      </c>
      <c r="Z6" s="3418"/>
      <c r="AA6" s="3423" t="s">
        <v>523</v>
      </c>
      <c r="AB6" s="3424" t="s">
        <v>524</v>
      </c>
      <c r="AC6" s="3423" t="s">
        <v>525</v>
      </c>
    </row>
    <row r="7" spans="1:30" ht="20.25">
      <c r="A7" s="515"/>
      <c r="B7" s="516"/>
      <c r="C7" s="3435" t="s">
        <v>2925</v>
      </c>
      <c r="D7" s="3436"/>
      <c r="E7" s="3437" t="s">
        <v>3014</v>
      </c>
      <c r="F7" s="3436"/>
      <c r="G7" s="3437" t="s">
        <v>3016</v>
      </c>
      <c r="H7" s="3436"/>
      <c r="I7" s="3437" t="s">
        <v>3018</v>
      </c>
      <c r="J7" s="3436"/>
      <c r="K7" s="514"/>
      <c r="L7" s="2119"/>
      <c r="M7" s="2118"/>
      <c r="N7" s="2118"/>
      <c r="O7" s="2120"/>
      <c r="P7" s="3431"/>
      <c r="Q7" s="3432"/>
      <c r="R7" s="3419"/>
      <c r="S7" s="3420"/>
      <c r="T7" s="3419"/>
      <c r="U7" s="3420"/>
      <c r="V7" s="3414"/>
      <c r="W7" s="3414"/>
      <c r="X7" s="1554"/>
      <c r="Y7" s="3419"/>
      <c r="Z7" s="3420"/>
      <c r="AA7" s="3424"/>
      <c r="AB7" s="3424"/>
      <c r="AC7" s="3424"/>
    </row>
    <row r="8" spans="1:30" ht="21" thickBot="1">
      <c r="A8" s="515"/>
      <c r="B8" s="516"/>
      <c r="C8" s="3438" t="s">
        <v>2929</v>
      </c>
      <c r="D8" s="3439"/>
      <c r="E8" s="3438" t="s">
        <v>2929</v>
      </c>
      <c r="F8" s="3439"/>
      <c r="G8" s="3440" t="s">
        <v>2929</v>
      </c>
      <c r="H8" s="3441"/>
      <c r="I8" s="3440" t="s">
        <v>2929</v>
      </c>
      <c r="J8" s="3441"/>
      <c r="K8" s="514" t="s">
        <v>528</v>
      </c>
      <c r="L8" s="2119"/>
      <c r="M8" s="2118"/>
      <c r="N8" s="2118"/>
      <c r="O8" s="2120"/>
      <c r="P8" s="3433"/>
      <c r="Q8" s="3434"/>
      <c r="R8" s="3419"/>
      <c r="S8" s="3420"/>
      <c r="T8" s="3421"/>
      <c r="U8" s="3422"/>
      <c r="V8" s="3414"/>
      <c r="W8" s="3414"/>
      <c r="X8" s="1554"/>
      <c r="Y8" s="3421"/>
      <c r="Z8" s="3422"/>
      <c r="AA8" s="3425"/>
      <c r="AB8" s="3425"/>
      <c r="AC8" s="3425"/>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15" t="s">
        <v>530</v>
      </c>
      <c r="Q9" s="3426"/>
      <c r="R9" s="1555" t="s">
        <v>8</v>
      </c>
      <c r="S9" s="1556">
        <f t="shared" ref="S9:S17" si="0">F9</f>
        <v>92</v>
      </c>
      <c r="T9" s="1555" t="s">
        <v>8</v>
      </c>
      <c r="U9" s="1556">
        <f t="shared" ref="U9:U17" si="1">H9</f>
        <v>94</v>
      </c>
      <c r="V9" s="1555" t="s">
        <v>8</v>
      </c>
      <c r="W9" s="1556">
        <f t="shared" ref="W9:W17" si="2">J9</f>
        <v>95</v>
      </c>
      <c r="X9" s="1557"/>
      <c r="Y9" s="3415" t="s">
        <v>530</v>
      </c>
      <c r="Z9" s="3416"/>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3019</v>
      </c>
      <c r="F10" s="522">
        <f>SUMIF(75:75,E10,76:76)-SUMIF(75:75,C10,76:76)+100</f>
        <v>100</v>
      </c>
      <c r="G10" s="3193" t="s">
        <v>3019</v>
      </c>
      <c r="H10" s="520">
        <f>SUMIF(75:75,G10,76:76)-SUMIF(75:75,C10,76:76)+100</f>
        <v>100</v>
      </c>
      <c r="I10" s="3193" t="s">
        <v>3019</v>
      </c>
      <c r="J10" s="520">
        <f>SUMIF(75:75,I10,76:76)-SUMIF(75:75,C10,76:76)+100</f>
        <v>100</v>
      </c>
      <c r="K10" s="524"/>
      <c r="L10" s="2121"/>
      <c r="M10" s="2118"/>
      <c r="N10" s="2118"/>
      <c r="O10" s="2122"/>
      <c r="P10" s="3415" t="s">
        <v>533</v>
      </c>
      <c r="Q10" s="3416"/>
      <c r="R10" s="1555" t="s">
        <v>8</v>
      </c>
      <c r="S10" s="1556">
        <f t="shared" si="0"/>
        <v>100</v>
      </c>
      <c r="T10" s="1555" t="s">
        <v>8</v>
      </c>
      <c r="U10" s="1556">
        <f t="shared" si="1"/>
        <v>100</v>
      </c>
      <c r="V10" s="1555" t="s">
        <v>8</v>
      </c>
      <c r="W10" s="1556">
        <f t="shared" si="2"/>
        <v>100</v>
      </c>
      <c r="X10" s="1557"/>
      <c r="Y10" s="3415" t="s">
        <v>533</v>
      </c>
      <c r="Z10" s="3416"/>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5"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05"/>
      <c r="Q12" s="1147" t="str">
        <f t="shared" si="6"/>
        <v>土地使用年限（年）</v>
      </c>
      <c r="R12" s="1555" t="s">
        <v>8</v>
      </c>
      <c r="S12" s="1556">
        <f t="shared" si="0"/>
        <v>106</v>
      </c>
      <c r="T12" s="1555" t="s">
        <v>8</v>
      </c>
      <c r="U12" s="1556">
        <f t="shared" si="1"/>
        <v>106</v>
      </c>
      <c r="V12" s="1555" t="s">
        <v>8</v>
      </c>
      <c r="W12" s="1556">
        <f t="shared" si="2"/>
        <v>106</v>
      </c>
      <c r="X12" s="1557"/>
      <c r="Y12" s="3349"/>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05"/>
      <c r="Q13" s="1147" t="str">
        <f t="shared" si="6"/>
        <v>容积率</v>
      </c>
      <c r="R13" s="1555" t="s">
        <v>8</v>
      </c>
      <c r="S13" s="1556">
        <f t="shared" si="0"/>
        <v>98</v>
      </c>
      <c r="T13" s="1555" t="s">
        <v>8</v>
      </c>
      <c r="U13" s="1556">
        <f t="shared" si="1"/>
        <v>98</v>
      </c>
      <c r="V13" s="1555" t="s">
        <v>8</v>
      </c>
      <c r="W13" s="1556">
        <f t="shared" si="2"/>
        <v>96</v>
      </c>
      <c r="X13" s="1557"/>
      <c r="Y13" s="3349"/>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5"/>
      <c r="Q14" s="1147" t="str">
        <f t="shared" si="6"/>
        <v>配建</v>
      </c>
      <c r="R14" s="1555" t="s">
        <v>8</v>
      </c>
      <c r="S14" s="1556">
        <f t="shared" si="0"/>
        <v>100</v>
      </c>
      <c r="T14" s="1555" t="s">
        <v>8</v>
      </c>
      <c r="U14" s="1556">
        <f t="shared" si="1"/>
        <v>100</v>
      </c>
      <c r="V14" s="1555" t="s">
        <v>8</v>
      </c>
      <c r="W14" s="1556">
        <f t="shared" si="2"/>
        <v>100</v>
      </c>
      <c r="X14" s="1557"/>
      <c r="Y14" s="334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5"/>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5"/>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7" t="s">
        <v>540</v>
      </c>
      <c r="Q17" s="1559" t="str">
        <f t="shared" si="6"/>
        <v>居住社区成熟度</v>
      </c>
      <c r="R17" s="1560" t="s">
        <v>8</v>
      </c>
      <c r="S17" s="1561">
        <f t="shared" si="0"/>
        <v>100</v>
      </c>
      <c r="T17" s="1560" t="s">
        <v>8</v>
      </c>
      <c r="U17" s="1561">
        <f t="shared" si="1"/>
        <v>100</v>
      </c>
      <c r="V17" s="1560" t="s">
        <v>8</v>
      </c>
      <c r="W17" s="1561">
        <f t="shared" si="2"/>
        <v>100</v>
      </c>
      <c r="X17" s="1554"/>
      <c r="Y17" s="3407"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08"/>
      <c r="Q18" s="1559"/>
      <c r="R18" s="1560"/>
      <c r="S18" s="1561"/>
      <c r="T18" s="1560"/>
      <c r="U18" s="1561"/>
      <c r="V18" s="1560"/>
      <c r="W18" s="1561"/>
      <c r="X18" s="1554"/>
      <c r="Y18" s="3408"/>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8"/>
      <c r="Q19" s="1559" t="str">
        <f>B19</f>
        <v>商业繁华度</v>
      </c>
      <c r="R19" s="1560" t="s">
        <v>8</v>
      </c>
      <c r="S19" s="1561">
        <f>F19</f>
        <v>100</v>
      </c>
      <c r="T19" s="1560" t="s">
        <v>8</v>
      </c>
      <c r="U19" s="1561">
        <f>H19</f>
        <v>100</v>
      </c>
      <c r="V19" s="1560" t="s">
        <v>8</v>
      </c>
      <c r="W19" s="1561">
        <f>J19</f>
        <v>100</v>
      </c>
      <c r="X19" s="1554"/>
      <c r="Y19" s="3408"/>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08"/>
      <c r="Q20" s="1559"/>
      <c r="R20" s="1560"/>
      <c r="S20" s="1561"/>
      <c r="T20" s="1560"/>
      <c r="U20" s="1561"/>
      <c r="V20" s="1560"/>
      <c r="W20" s="1561"/>
      <c r="X20" s="1554"/>
      <c r="Y20" s="3408"/>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8"/>
      <c r="Q21" s="1559" t="str">
        <f>B21</f>
        <v>办公集聚程度</v>
      </c>
      <c r="R21" s="1560" t="s">
        <v>8</v>
      </c>
      <c r="S21" s="1561">
        <f>F21</f>
        <v>100</v>
      </c>
      <c r="T21" s="1560" t="s">
        <v>8</v>
      </c>
      <c r="U21" s="1561">
        <f>H21</f>
        <v>100</v>
      </c>
      <c r="V21" s="1560" t="s">
        <v>8</v>
      </c>
      <c r="W21" s="1561">
        <f>J21</f>
        <v>100</v>
      </c>
      <c r="X21" s="1554"/>
      <c r="Y21" s="3408"/>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08"/>
      <c r="Q22" s="1559"/>
      <c r="R22" s="1560"/>
      <c r="S22" s="1561"/>
      <c r="T22" s="1560"/>
      <c r="U22" s="1561"/>
      <c r="V22" s="1560"/>
      <c r="W22" s="1561"/>
      <c r="X22" s="1554"/>
      <c r="Y22" s="3408"/>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08"/>
      <c r="Q23" s="1559" t="str">
        <f>B23</f>
        <v>交通便捷度</v>
      </c>
      <c r="R23" s="1560" t="s">
        <v>8</v>
      </c>
      <c r="S23" s="1561">
        <f>F23</f>
        <v>100</v>
      </c>
      <c r="T23" s="1560" t="s">
        <v>8</v>
      </c>
      <c r="U23" s="1561">
        <f>H23</f>
        <v>100</v>
      </c>
      <c r="V23" s="1560" t="s">
        <v>8</v>
      </c>
      <c r="W23" s="1561">
        <f>J23</f>
        <v>100</v>
      </c>
      <c r="X23" s="1554"/>
      <c r="Y23" s="3408"/>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08"/>
      <c r="Q24" s="1559"/>
      <c r="R24" s="1560"/>
      <c r="S24" s="1561"/>
      <c r="T24" s="1560"/>
      <c r="U24" s="1561"/>
      <c r="V24" s="1560"/>
      <c r="W24" s="1561"/>
      <c r="X24" s="1554"/>
      <c r="Y24" s="3408"/>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8"/>
      <c r="Q25" s="1559" t="str">
        <f t="shared" ref="Q25:Q39" si="8">B25</f>
        <v>区域土地利用方向</v>
      </c>
      <c r="R25" s="1560" t="s">
        <v>8</v>
      </c>
      <c r="S25" s="1561">
        <f>F25</f>
        <v>100</v>
      </c>
      <c r="T25" s="1560" t="s">
        <v>8</v>
      </c>
      <c r="U25" s="1561">
        <f>H25</f>
        <v>100</v>
      </c>
      <c r="V25" s="1560" t="s">
        <v>8</v>
      </c>
      <c r="W25" s="1561">
        <f>J25</f>
        <v>100</v>
      </c>
      <c r="X25" s="1554"/>
      <c r="Y25" s="3408"/>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8"/>
      <c r="Q26" s="1559"/>
      <c r="R26" s="1560"/>
      <c r="S26" s="1561"/>
      <c r="T26" s="1560"/>
      <c r="U26" s="1561"/>
      <c r="V26" s="1560"/>
      <c r="W26" s="1561"/>
      <c r="X26" s="1554"/>
      <c r="Y26" s="3408"/>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08"/>
      <c r="Q27" s="1559" t="str">
        <f t="shared" si="8"/>
        <v>自然及人文环境状况</v>
      </c>
      <c r="R27" s="1560" t="s">
        <v>8</v>
      </c>
      <c r="S27" s="1561">
        <f>F27</f>
        <v>100</v>
      </c>
      <c r="T27" s="1560" t="s">
        <v>8</v>
      </c>
      <c r="U27" s="1561">
        <f>H27</f>
        <v>100</v>
      </c>
      <c r="V27" s="1560" t="s">
        <v>8</v>
      </c>
      <c r="W27" s="1561">
        <f>J27</f>
        <v>100</v>
      </c>
      <c r="X27" s="1554"/>
      <c r="Y27" s="3408"/>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08"/>
      <c r="Q28" s="1559"/>
      <c r="R28" s="1560"/>
      <c r="S28" s="1561"/>
      <c r="T28" s="1560"/>
      <c r="U28" s="1561"/>
      <c r="V28" s="1560"/>
      <c r="W28" s="1561"/>
      <c r="X28" s="1554"/>
      <c r="Y28" s="3408"/>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08"/>
      <c r="Q29" s="1147" t="str">
        <f t="shared" si="8"/>
        <v>公共配套设施</v>
      </c>
      <c r="R29" s="1555" t="s">
        <v>8</v>
      </c>
      <c r="S29" s="1556">
        <f>F29</f>
        <v>100</v>
      </c>
      <c r="T29" s="1555" t="s">
        <v>8</v>
      </c>
      <c r="U29" s="1556">
        <f>H29</f>
        <v>100</v>
      </c>
      <c r="V29" s="1555" t="s">
        <v>8</v>
      </c>
      <c r="W29" s="1556">
        <f>J29</f>
        <v>100</v>
      </c>
      <c r="X29" s="1557"/>
      <c r="Y29" s="3408"/>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08"/>
      <c r="Q30" s="1147"/>
      <c r="R30" s="1555"/>
      <c r="S30" s="1556"/>
      <c r="T30" s="1555"/>
      <c r="U30" s="1556"/>
      <c r="V30" s="1555"/>
      <c r="W30" s="1556"/>
      <c r="X30" s="1557"/>
      <c r="Y30" s="3408"/>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8"/>
      <c r="Q31" s="2543" t="str">
        <f t="shared" ref="Q31" si="9">B31</f>
        <v>基础设施水平</v>
      </c>
      <c r="R31" s="1555" t="s">
        <v>8</v>
      </c>
      <c r="S31" s="1556">
        <f>F31</f>
        <v>100</v>
      </c>
      <c r="T31" s="1555" t="s">
        <v>8</v>
      </c>
      <c r="U31" s="1556">
        <f>H31</f>
        <v>100</v>
      </c>
      <c r="V31" s="1555" t="s">
        <v>8</v>
      </c>
      <c r="W31" s="1556">
        <f>J31</f>
        <v>100</v>
      </c>
      <c r="X31" s="1557"/>
      <c r="Y31" s="3408"/>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08"/>
      <c r="Q32" s="2543"/>
      <c r="R32" s="1555"/>
      <c r="S32" s="1556"/>
      <c r="T32" s="1555"/>
      <c r="U32" s="1556"/>
      <c r="V32" s="1555"/>
      <c r="W32" s="1556"/>
      <c r="X32" s="1557"/>
      <c r="Y32" s="3408"/>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8"/>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8"/>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8"/>
      <c r="Q34" s="1559" t="str">
        <f t="shared" si="8"/>
        <v>毗邻道路的类型与等级</v>
      </c>
      <c r="R34" s="1560" t="s">
        <v>8</v>
      </c>
      <c r="S34" s="1561">
        <f t="shared" si="10"/>
        <v>100</v>
      </c>
      <c r="T34" s="1560" t="s">
        <v>8</v>
      </c>
      <c r="U34" s="1561">
        <f t="shared" si="11"/>
        <v>100</v>
      </c>
      <c r="V34" s="1560" t="s">
        <v>8</v>
      </c>
      <c r="W34" s="1561">
        <f t="shared" si="12"/>
        <v>100</v>
      </c>
      <c r="X34" s="1554"/>
      <c r="Y34" s="3408"/>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8"/>
      <c r="Q35" s="1559"/>
      <c r="R35" s="1560"/>
      <c r="S35" s="1561"/>
      <c r="T35" s="1560"/>
      <c r="U35" s="1561"/>
      <c r="V35" s="1560"/>
      <c r="W35" s="1561"/>
      <c r="X35" s="1554"/>
      <c r="Y35" s="3408"/>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8"/>
      <c r="Q36" s="1559" t="str">
        <f t="shared" si="8"/>
        <v>土地级别</v>
      </c>
      <c r="R36" s="1560" t="s">
        <v>8</v>
      </c>
      <c r="S36" s="1561">
        <f t="shared" si="10"/>
        <v>100</v>
      </c>
      <c r="T36" s="1560" t="s">
        <v>8</v>
      </c>
      <c r="U36" s="1561">
        <f t="shared" si="11"/>
        <v>100</v>
      </c>
      <c r="V36" s="1560" t="s">
        <v>8</v>
      </c>
      <c r="W36" s="1561">
        <f t="shared" si="12"/>
        <v>100</v>
      </c>
      <c r="X36" s="1554"/>
      <c r="Y36" s="3408"/>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8"/>
      <c r="Q37" s="1559">
        <f t="shared" si="8"/>
        <v>111</v>
      </c>
      <c r="R37" s="1560" t="s">
        <v>8</v>
      </c>
      <c r="S37" s="1561">
        <f t="shared" si="10"/>
        <v>100</v>
      </c>
      <c r="T37" s="1560" t="s">
        <v>8</v>
      </c>
      <c r="U37" s="1561">
        <f t="shared" si="11"/>
        <v>100</v>
      </c>
      <c r="V37" s="1560" t="s">
        <v>8</v>
      </c>
      <c r="W37" s="1561">
        <f t="shared" si="12"/>
        <v>100</v>
      </c>
      <c r="X37" s="1554"/>
      <c r="Y37" s="3408"/>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12" t="s">
        <v>550</v>
      </c>
      <c r="Q38" s="1559">
        <f t="shared" si="8"/>
        <v>111</v>
      </c>
      <c r="R38" s="1560" t="s">
        <v>8</v>
      </c>
      <c r="S38" s="1561">
        <f t="shared" si="10"/>
        <v>100</v>
      </c>
      <c r="T38" s="1560" t="s">
        <v>8</v>
      </c>
      <c r="U38" s="1561">
        <f t="shared" si="11"/>
        <v>100</v>
      </c>
      <c r="V38" s="1560" t="s">
        <v>8</v>
      </c>
      <c r="W38" s="1561">
        <f t="shared" si="12"/>
        <v>100</v>
      </c>
      <c r="X38" s="1554"/>
      <c r="Y38" s="3413"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13"/>
      <c r="Q39" s="1559">
        <f t="shared" si="8"/>
        <v>111</v>
      </c>
      <c r="R39" s="1564" t="s">
        <v>8</v>
      </c>
      <c r="S39" s="1565">
        <f t="shared" si="10"/>
        <v>100</v>
      </c>
      <c r="T39" s="1564" t="s">
        <v>8</v>
      </c>
      <c r="U39" s="1565">
        <f t="shared" si="11"/>
        <v>100</v>
      </c>
      <c r="V39" s="1564" t="s">
        <v>8</v>
      </c>
      <c r="W39" s="1565">
        <f t="shared" si="12"/>
        <v>100</v>
      </c>
      <c r="X39" s="1566"/>
      <c r="Y39" s="3413"/>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13"/>
      <c r="Q40" s="1559" t="str">
        <f>B40</f>
        <v>宗地面积</v>
      </c>
      <c r="R40" s="1560" t="s">
        <v>8</v>
      </c>
      <c r="S40" s="1561">
        <f t="shared" si="10"/>
        <v>94</v>
      </c>
      <c r="T40" s="1560" t="s">
        <v>8</v>
      </c>
      <c r="U40" s="1561">
        <f t="shared" si="11"/>
        <v>96</v>
      </c>
      <c r="V40" s="1560" t="s">
        <v>8</v>
      </c>
      <c r="W40" s="1561">
        <f t="shared" si="12"/>
        <v>92</v>
      </c>
      <c r="X40" s="1554"/>
      <c r="Y40" s="3413"/>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13"/>
      <c r="Q41" s="1559" t="str">
        <f t="shared" ref="Q41:Q47" si="14">B41</f>
        <v>宗地形状</v>
      </c>
      <c r="R41" s="1560" t="s">
        <v>8</v>
      </c>
      <c r="S41" s="1561">
        <f t="shared" si="10"/>
        <v>100</v>
      </c>
      <c r="T41" s="1560" t="s">
        <v>8</v>
      </c>
      <c r="U41" s="1561">
        <f t="shared" si="11"/>
        <v>100</v>
      </c>
      <c r="V41" s="1560" t="s">
        <v>8</v>
      </c>
      <c r="W41" s="1561">
        <f t="shared" si="12"/>
        <v>100</v>
      </c>
      <c r="X41" s="1554"/>
      <c r="Y41" s="3413"/>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13"/>
      <c r="Q42" s="1559" t="str">
        <f t="shared" si="14"/>
        <v>临街宽度及深度</v>
      </c>
      <c r="R42" s="1560" t="s">
        <v>8</v>
      </c>
      <c r="S42" s="1561">
        <f t="shared" si="10"/>
        <v>100</v>
      </c>
      <c r="T42" s="1560" t="s">
        <v>8</v>
      </c>
      <c r="U42" s="1561">
        <f t="shared" si="11"/>
        <v>100</v>
      </c>
      <c r="V42" s="1560" t="s">
        <v>8</v>
      </c>
      <c r="W42" s="1561">
        <f t="shared" si="12"/>
        <v>100</v>
      </c>
      <c r="X42" s="1554"/>
      <c r="Y42" s="3413"/>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13"/>
      <c r="Q43" s="1559" t="str">
        <f t="shared" si="14"/>
        <v>宗地开发程度</v>
      </c>
      <c r="R43" s="1555" t="s">
        <v>8</v>
      </c>
      <c r="S43" s="1556">
        <f t="shared" si="10"/>
        <v>100</v>
      </c>
      <c r="T43" s="1555" t="s">
        <v>8</v>
      </c>
      <c r="U43" s="1556">
        <f t="shared" si="11"/>
        <v>100</v>
      </c>
      <c r="V43" s="1555" t="s">
        <v>8</v>
      </c>
      <c r="W43" s="1556">
        <f t="shared" si="12"/>
        <v>100</v>
      </c>
      <c r="X43" s="1557"/>
      <c r="Y43" s="3413"/>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13" t="s">
        <v>550</v>
      </c>
      <c r="Q44" s="1559" t="str">
        <f t="shared" si="14"/>
        <v>工程地质条件</v>
      </c>
      <c r="R44" s="1560" t="s">
        <v>8</v>
      </c>
      <c r="S44" s="1561">
        <f t="shared" si="10"/>
        <v>100</v>
      </c>
      <c r="T44" s="1560" t="s">
        <v>8</v>
      </c>
      <c r="U44" s="1561">
        <f t="shared" si="11"/>
        <v>100</v>
      </c>
      <c r="V44" s="1560" t="s">
        <v>8</v>
      </c>
      <c r="W44" s="1561">
        <f t="shared" si="12"/>
        <v>100</v>
      </c>
      <c r="X44" s="1554"/>
      <c r="Y44" s="3413"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13"/>
      <c r="Q45" s="1559">
        <f t="shared" si="14"/>
        <v>111</v>
      </c>
      <c r="R45" s="1560" t="s">
        <v>8</v>
      </c>
      <c r="S45" s="1561">
        <f t="shared" si="10"/>
        <v>100</v>
      </c>
      <c r="T45" s="1560" t="s">
        <v>8</v>
      </c>
      <c r="U45" s="1561">
        <f t="shared" si="11"/>
        <v>100</v>
      </c>
      <c r="V45" s="1560" t="s">
        <v>8</v>
      </c>
      <c r="W45" s="1561">
        <f t="shared" si="12"/>
        <v>100</v>
      </c>
      <c r="X45" s="1554"/>
      <c r="Y45" s="3413"/>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13"/>
      <c r="Q46" s="1559">
        <f t="shared" si="14"/>
        <v>111</v>
      </c>
      <c r="R46" s="1560" t="s">
        <v>8</v>
      </c>
      <c r="S46" s="1561">
        <f t="shared" si="10"/>
        <v>100</v>
      </c>
      <c r="T46" s="1560" t="s">
        <v>8</v>
      </c>
      <c r="U46" s="1561">
        <f t="shared" si="11"/>
        <v>100</v>
      </c>
      <c r="V46" s="1560" t="s">
        <v>8</v>
      </c>
      <c r="W46" s="1561">
        <f t="shared" si="12"/>
        <v>100</v>
      </c>
      <c r="X46" s="1554"/>
      <c r="Y46" s="3413"/>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13"/>
      <c r="Q47" s="1559">
        <f t="shared" si="14"/>
        <v>111</v>
      </c>
      <c r="R47" s="1564" t="s">
        <v>8</v>
      </c>
      <c r="S47" s="1565">
        <f t="shared" si="10"/>
        <v>100</v>
      </c>
      <c r="T47" s="1564" t="s">
        <v>8</v>
      </c>
      <c r="U47" s="1565">
        <f t="shared" si="11"/>
        <v>100</v>
      </c>
      <c r="V47" s="1564" t="s">
        <v>8</v>
      </c>
      <c r="W47" s="1565">
        <f t="shared" si="12"/>
        <v>100</v>
      </c>
      <c r="X47" s="1566"/>
      <c r="Y47" s="3413"/>
      <c r="Z47" s="1567">
        <f t="shared" si="13"/>
        <v>111</v>
      </c>
      <c r="AA47" s="1563">
        <f t="shared" si="3"/>
        <v>1</v>
      </c>
      <c r="AB47" s="1563">
        <f t="shared" si="4"/>
        <v>1</v>
      </c>
      <c r="AC47" s="1563">
        <f t="shared" si="5"/>
        <v>1</v>
      </c>
    </row>
    <row r="48" spans="1:29" ht="20.25">
      <c r="A48" s="607" t="s">
        <v>556</v>
      </c>
      <c r="B48" s="608" t="s">
        <v>3020</v>
      </c>
      <c r="C48" s="609" t="s">
        <v>1</v>
      </c>
      <c r="D48" s="610"/>
      <c r="E48" s="611">
        <v>938</v>
      </c>
      <c r="F48" s="612"/>
      <c r="G48" s="613">
        <v>825</v>
      </c>
      <c r="H48" s="614"/>
      <c r="I48" s="611">
        <v>703</v>
      </c>
      <c r="J48" s="614"/>
      <c r="K48" s="1336"/>
      <c r="L48" s="2130"/>
      <c r="M48" s="2118"/>
      <c r="N48" s="2118"/>
      <c r="O48" s="2131"/>
      <c r="P48" s="3405" t="str">
        <f>A48</f>
        <v>成交单价</v>
      </c>
      <c r="Q48" s="3405"/>
      <c r="R48" s="3414">
        <f>E48</f>
        <v>938</v>
      </c>
      <c r="S48" s="3414"/>
      <c r="T48" s="3414">
        <f>G48</f>
        <v>825</v>
      </c>
      <c r="U48" s="3414"/>
      <c r="V48" s="3414">
        <f>I48</f>
        <v>703</v>
      </c>
      <c r="W48" s="3414"/>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05" t="str">
        <f>A49</f>
        <v>比较价格（元/平方米）</v>
      </c>
      <c r="Q49" s="3405"/>
      <c r="R49" s="3406">
        <f>ROUND(PRODUCT(R48,AA9:AA47),0)</f>
        <v>1044</v>
      </c>
      <c r="S49" s="3406"/>
      <c r="T49" s="3406">
        <f>ROUND(PRODUCT(T48,AB9:AB47),0)</f>
        <v>880</v>
      </c>
      <c r="U49" s="3406"/>
      <c r="V49" s="3406">
        <f>ROUND(PRODUCT(V48,AC9:AC47),0)</f>
        <v>790</v>
      </c>
      <c r="W49" s="3406"/>
      <c r="X49" s="1546"/>
      <c r="Y49" s="1546"/>
      <c r="Z49" s="1546"/>
      <c r="AA49" s="1546"/>
      <c r="AB49" s="1546"/>
      <c r="AC49" s="1546"/>
    </row>
    <row r="50" spans="1:29" ht="21" thickBot="1">
      <c r="A50" s="621" t="s">
        <v>2931</v>
      </c>
      <c r="B50" s="622"/>
      <c r="C50" s="623">
        <f>R50</f>
        <v>905</v>
      </c>
      <c r="D50" s="623"/>
      <c r="E50" s="623"/>
      <c r="F50" s="623"/>
      <c r="G50" s="623"/>
      <c r="H50" s="623"/>
      <c r="I50" s="623"/>
      <c r="J50" s="623"/>
      <c r="K50" s="1338"/>
      <c r="L50" s="2130"/>
      <c r="M50" s="2118"/>
      <c r="N50" s="2118"/>
      <c r="O50" s="2131"/>
      <c r="P50" s="3409" t="str">
        <f>A50</f>
        <v>估价对象XX用房的比较价格（楼面单价，元/平方米）</v>
      </c>
      <c r="Q50" s="3410"/>
      <c r="R50" s="3411">
        <f>ROUND(AVERAGE(R49:V49),0)</f>
        <v>905</v>
      </c>
      <c r="S50" s="3411"/>
      <c r="T50" s="3411"/>
      <c r="U50" s="3411"/>
      <c r="V50" s="3411"/>
      <c r="W50" s="341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00" t="s">
        <v>2279</v>
      </c>
      <c r="H57" s="3401"/>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02"/>
      <c r="H58" s="340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4"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35" t="str">
        <f>项目基本情况!B1</f>
        <v>山东省潍坊市诸城市南环路共计8宗商业用地出让国有建设用地使用权抵押价格预评估</v>
      </c>
      <c r="C37" s="3235"/>
      <c r="D37" s="3235"/>
      <c r="E37" s="3235"/>
      <c r="F37" s="3235"/>
      <c r="G37" s="3235"/>
      <c r="H37" s="3235"/>
      <c r="I37" s="3235"/>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41" sqref="F4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2968</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27" t="s">
        <v>522</v>
      </c>
      <c r="D6" s="3428"/>
      <c r="E6" s="3444" t="s">
        <v>523</v>
      </c>
      <c r="F6" s="3445"/>
      <c r="G6" s="3427" t="s">
        <v>524</v>
      </c>
      <c r="H6" s="3428"/>
      <c r="I6" s="3427" t="s">
        <v>525</v>
      </c>
      <c r="J6" s="3428"/>
      <c r="K6" s="514" t="s">
        <v>526</v>
      </c>
      <c r="L6" s="2119"/>
      <c r="M6" s="2120"/>
      <c r="N6" s="2120"/>
      <c r="O6" s="2120"/>
      <c r="P6" s="3429" t="s">
        <v>527</v>
      </c>
      <c r="Q6" s="3430"/>
      <c r="R6" s="3417" t="s">
        <v>523</v>
      </c>
      <c r="S6" s="3418"/>
      <c r="T6" s="3417" t="s">
        <v>524</v>
      </c>
      <c r="U6" s="3418"/>
      <c r="V6" s="3414" t="s">
        <v>525</v>
      </c>
      <c r="W6" s="3414"/>
      <c r="X6" s="1554"/>
      <c r="Y6" s="3417" t="s">
        <v>527</v>
      </c>
      <c r="Z6" s="3418"/>
      <c r="AA6" s="3423" t="s">
        <v>523</v>
      </c>
      <c r="AB6" s="3424" t="s">
        <v>524</v>
      </c>
      <c r="AC6" s="3423" t="s">
        <v>525</v>
      </c>
    </row>
    <row r="7" spans="1:29" ht="15">
      <c r="A7" s="515"/>
      <c r="B7" s="516"/>
      <c r="C7" s="3435" t="s">
        <v>2925</v>
      </c>
      <c r="D7" s="3436"/>
      <c r="E7" s="3446" t="s">
        <v>2926</v>
      </c>
      <c r="F7" s="3447"/>
      <c r="G7" s="3435" t="s">
        <v>2927</v>
      </c>
      <c r="H7" s="3436"/>
      <c r="I7" s="3435" t="s">
        <v>2928</v>
      </c>
      <c r="J7" s="3436"/>
      <c r="K7" s="514"/>
      <c r="L7" s="2119"/>
      <c r="M7" s="2120"/>
      <c r="N7" s="2120"/>
      <c r="O7" s="2120"/>
      <c r="P7" s="3431"/>
      <c r="Q7" s="3432"/>
      <c r="R7" s="3419"/>
      <c r="S7" s="3420"/>
      <c r="T7" s="3419"/>
      <c r="U7" s="3420"/>
      <c r="V7" s="3414"/>
      <c r="W7" s="3414"/>
      <c r="X7" s="1554"/>
      <c r="Y7" s="3419"/>
      <c r="Z7" s="3420"/>
      <c r="AA7" s="3424"/>
      <c r="AB7" s="3424"/>
      <c r="AC7" s="3424"/>
    </row>
    <row r="8" spans="1:29" ht="15.75" thickBot="1">
      <c r="A8" s="517"/>
      <c r="B8" s="518"/>
      <c r="C8" s="3440" t="s">
        <v>2929</v>
      </c>
      <c r="D8" s="3441"/>
      <c r="E8" s="3442" t="s">
        <v>2929</v>
      </c>
      <c r="F8" s="3443"/>
      <c r="G8" s="3440" t="s">
        <v>2929</v>
      </c>
      <c r="H8" s="3441"/>
      <c r="I8" s="3440" t="s">
        <v>2929</v>
      </c>
      <c r="J8" s="3441"/>
      <c r="K8" s="514" t="s">
        <v>528</v>
      </c>
      <c r="L8" s="2119"/>
      <c r="M8" s="2120"/>
      <c r="N8" s="2120"/>
      <c r="O8" s="2120"/>
      <c r="P8" s="3433"/>
      <c r="Q8" s="3434"/>
      <c r="R8" s="3419"/>
      <c r="S8" s="3420"/>
      <c r="T8" s="3421"/>
      <c r="U8" s="3422"/>
      <c r="V8" s="3414"/>
      <c r="W8" s="3414"/>
      <c r="X8" s="1554"/>
      <c r="Y8" s="3421"/>
      <c r="Z8" s="3422"/>
      <c r="AA8" s="3425"/>
      <c r="AB8" s="3425"/>
      <c r="AC8" s="3425"/>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5" t="s">
        <v>530</v>
      </c>
      <c r="Q9" s="3426"/>
      <c r="R9" s="1555" t="s">
        <v>8</v>
      </c>
      <c r="S9" s="1556">
        <f t="shared" ref="S9:S17" si="0">F9</f>
        <v>0</v>
      </c>
      <c r="T9" s="1555" t="s">
        <v>8</v>
      </c>
      <c r="U9" s="1556">
        <f t="shared" ref="U9:U17" si="1">H9</f>
        <v>0</v>
      </c>
      <c r="V9" s="1555" t="s">
        <v>8</v>
      </c>
      <c r="W9" s="1556">
        <f t="shared" ref="W9:W17" si="2">J9</f>
        <v>0</v>
      </c>
      <c r="X9" s="1557"/>
      <c r="Y9" s="3415" t="s">
        <v>530</v>
      </c>
      <c r="Z9" s="3416"/>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5" t="s">
        <v>533</v>
      </c>
      <c r="Q10" s="3416"/>
      <c r="R10" s="1555" t="s">
        <v>8</v>
      </c>
      <c r="S10" s="1556">
        <f t="shared" si="0"/>
        <v>0</v>
      </c>
      <c r="T10" s="1555" t="s">
        <v>8</v>
      </c>
      <c r="U10" s="1556">
        <f t="shared" si="1"/>
        <v>0</v>
      </c>
      <c r="V10" s="1555" t="s">
        <v>8</v>
      </c>
      <c r="W10" s="1556">
        <f t="shared" si="2"/>
        <v>0</v>
      </c>
      <c r="X10" s="1557"/>
      <c r="Y10" s="3415" t="s">
        <v>533</v>
      </c>
      <c r="Z10" s="3416"/>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5"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05"/>
      <c r="Q12" s="1147" t="str">
        <f t="shared" si="6"/>
        <v>土地使用年限（年）</v>
      </c>
      <c r="R12" s="1555" t="s">
        <v>8</v>
      </c>
      <c r="S12" s="1556">
        <f t="shared" si="0"/>
        <v>106</v>
      </c>
      <c r="T12" s="1555" t="s">
        <v>8</v>
      </c>
      <c r="U12" s="1556">
        <f t="shared" si="1"/>
        <v>106</v>
      </c>
      <c r="V12" s="1555" t="s">
        <v>8</v>
      </c>
      <c r="W12" s="1556">
        <f t="shared" si="2"/>
        <v>106</v>
      </c>
      <c r="X12" s="1557"/>
      <c r="Y12" s="3349"/>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5"/>
      <c r="Q13" s="1147" t="str">
        <f t="shared" si="6"/>
        <v>容积率</v>
      </c>
      <c r="R13" s="1555" t="s">
        <v>8</v>
      </c>
      <c r="S13" s="1556" t="e">
        <f t="shared" si="0"/>
        <v>#N/A</v>
      </c>
      <c r="T13" s="1555" t="s">
        <v>8</v>
      </c>
      <c r="U13" s="1556" t="e">
        <f t="shared" si="1"/>
        <v>#N/A</v>
      </c>
      <c r="V13" s="1555" t="s">
        <v>8</v>
      </c>
      <c r="W13" s="1556" t="e">
        <f t="shared" si="2"/>
        <v>#N/A</v>
      </c>
      <c r="X13" s="1557"/>
      <c r="Y13" s="334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5"/>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5"/>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5"/>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7" t="s">
        <v>540</v>
      </c>
      <c r="Q17" s="1559" t="str">
        <f t="shared" si="6"/>
        <v>产业集聚程度</v>
      </c>
      <c r="R17" s="1560" t="s">
        <v>8</v>
      </c>
      <c r="S17" s="1561">
        <f t="shared" si="0"/>
        <v>100</v>
      </c>
      <c r="T17" s="1560" t="s">
        <v>8</v>
      </c>
      <c r="U17" s="1561">
        <f t="shared" si="1"/>
        <v>100</v>
      </c>
      <c r="V17" s="1560" t="s">
        <v>8</v>
      </c>
      <c r="W17" s="1561">
        <f t="shared" si="2"/>
        <v>100</v>
      </c>
      <c r="X17" s="1554"/>
      <c r="Y17" s="3407"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8"/>
      <c r="Q18" s="1559"/>
      <c r="R18" s="1560"/>
      <c r="S18" s="1561"/>
      <c r="T18" s="1560"/>
      <c r="U18" s="1561"/>
      <c r="V18" s="1560"/>
      <c r="W18" s="1561"/>
      <c r="X18" s="1554"/>
      <c r="Y18" s="3408"/>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8"/>
      <c r="Q19" s="1559" t="str">
        <f>B19</f>
        <v>交通便捷度</v>
      </c>
      <c r="R19" s="1560" t="s">
        <v>8</v>
      </c>
      <c r="S19" s="1561">
        <f>F19</f>
        <v>100</v>
      </c>
      <c r="T19" s="1560" t="s">
        <v>8</v>
      </c>
      <c r="U19" s="1561">
        <f>H19</f>
        <v>100</v>
      </c>
      <c r="V19" s="1560" t="s">
        <v>8</v>
      </c>
      <c r="W19" s="1561">
        <f>J19</f>
        <v>100</v>
      </c>
      <c r="X19" s="1554"/>
      <c r="Y19" s="3408"/>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8"/>
      <c r="Q20" s="1559"/>
      <c r="R20" s="1560"/>
      <c r="S20" s="1561"/>
      <c r="T20" s="1560"/>
      <c r="U20" s="1561"/>
      <c r="V20" s="1560"/>
      <c r="W20" s="1561"/>
      <c r="X20" s="1554"/>
      <c r="Y20" s="3408"/>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8"/>
      <c r="Q21" s="1559" t="str">
        <f t="shared" ref="Q21:Q35" si="8">B21</f>
        <v>区域土地利用方向</v>
      </c>
      <c r="R21" s="1560" t="s">
        <v>8</v>
      </c>
      <c r="S21" s="1561">
        <f>F21</f>
        <v>100</v>
      </c>
      <c r="T21" s="1560" t="s">
        <v>8</v>
      </c>
      <c r="U21" s="1561">
        <f>H21</f>
        <v>100</v>
      </c>
      <c r="V21" s="1560" t="s">
        <v>8</v>
      </c>
      <c r="W21" s="1561">
        <f>J21</f>
        <v>100</v>
      </c>
      <c r="X21" s="1554"/>
      <c r="Y21" s="3408"/>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8"/>
      <c r="Q22" s="1559"/>
      <c r="R22" s="1560"/>
      <c r="S22" s="1561"/>
      <c r="T22" s="1560"/>
      <c r="U22" s="1561"/>
      <c r="V22" s="1560"/>
      <c r="W22" s="1561"/>
      <c r="X22" s="1554"/>
      <c r="Y22" s="3408"/>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8"/>
      <c r="Q23" s="1559" t="str">
        <f t="shared" si="8"/>
        <v>环境状况</v>
      </c>
      <c r="R23" s="1560" t="s">
        <v>8</v>
      </c>
      <c r="S23" s="1561">
        <f>F23</f>
        <v>100</v>
      </c>
      <c r="T23" s="1560" t="s">
        <v>8</v>
      </c>
      <c r="U23" s="1561">
        <f>H23</f>
        <v>100</v>
      </c>
      <c r="V23" s="1560" t="s">
        <v>8</v>
      </c>
      <c r="W23" s="1561">
        <f>J23</f>
        <v>100</v>
      </c>
      <c r="X23" s="1554"/>
      <c r="Y23" s="3408"/>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8"/>
      <c r="Q24" s="1559"/>
      <c r="R24" s="1560"/>
      <c r="S24" s="1561"/>
      <c r="T24" s="1560"/>
      <c r="U24" s="1561"/>
      <c r="V24" s="1560"/>
      <c r="W24" s="1561"/>
      <c r="X24" s="1554"/>
      <c r="Y24" s="3408"/>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8"/>
      <c r="Q25" s="1147" t="str">
        <f t="shared" si="8"/>
        <v>公共配套设施</v>
      </c>
      <c r="R25" s="1555" t="s">
        <v>8</v>
      </c>
      <c r="S25" s="1556">
        <f>F25</f>
        <v>100</v>
      </c>
      <c r="T25" s="1555" t="s">
        <v>8</v>
      </c>
      <c r="U25" s="1556">
        <f>H25</f>
        <v>100</v>
      </c>
      <c r="V25" s="1555" t="s">
        <v>8</v>
      </c>
      <c r="W25" s="1556">
        <f>J25</f>
        <v>100</v>
      </c>
      <c r="X25" s="1557"/>
      <c r="Y25" s="3408"/>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8"/>
      <c r="Q26" s="1147"/>
      <c r="R26" s="1555"/>
      <c r="S26" s="1556"/>
      <c r="T26" s="1555"/>
      <c r="U26" s="1556"/>
      <c r="V26" s="1555"/>
      <c r="W26" s="1556"/>
      <c r="X26" s="1557"/>
      <c r="Y26" s="3408"/>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8"/>
      <c r="Q27" s="2543" t="str">
        <f t="shared" ref="Q27" si="9">B27</f>
        <v>基础设施水平</v>
      </c>
      <c r="R27" s="1555" t="s">
        <v>8</v>
      </c>
      <c r="S27" s="1556">
        <f>F27</f>
        <v>100</v>
      </c>
      <c r="T27" s="1555" t="s">
        <v>8</v>
      </c>
      <c r="U27" s="1556">
        <f>H27</f>
        <v>100</v>
      </c>
      <c r="V27" s="1555" t="s">
        <v>8</v>
      </c>
      <c r="W27" s="1556">
        <f>J27</f>
        <v>100</v>
      </c>
      <c r="X27" s="1557"/>
      <c r="Y27" s="3408"/>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8"/>
      <c r="Q28" s="2543"/>
      <c r="R28" s="1555"/>
      <c r="S28" s="1556"/>
      <c r="T28" s="1555"/>
      <c r="U28" s="1556"/>
      <c r="V28" s="1555"/>
      <c r="W28" s="1556"/>
      <c r="X28" s="1557"/>
      <c r="Y28" s="3408"/>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8"/>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8"/>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8"/>
      <c r="Q30" s="1559" t="str">
        <f t="shared" si="8"/>
        <v>毗邻道路的类型与等级</v>
      </c>
      <c r="R30" s="1560" t="s">
        <v>8</v>
      </c>
      <c r="S30" s="1561">
        <f t="shared" si="10"/>
        <v>100</v>
      </c>
      <c r="T30" s="1560" t="s">
        <v>8</v>
      </c>
      <c r="U30" s="1561">
        <f t="shared" si="11"/>
        <v>100</v>
      </c>
      <c r="V30" s="1560" t="s">
        <v>8</v>
      </c>
      <c r="W30" s="1561">
        <f t="shared" si="12"/>
        <v>100</v>
      </c>
      <c r="X30" s="1554"/>
      <c r="Y30" s="3408"/>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8"/>
      <c r="Q31" s="1559"/>
      <c r="R31" s="1560"/>
      <c r="S31" s="1561"/>
      <c r="T31" s="1560"/>
      <c r="U31" s="1561"/>
      <c r="V31" s="1560"/>
      <c r="W31" s="1561"/>
      <c r="X31" s="1554"/>
      <c r="Y31" s="3408"/>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8"/>
      <c r="Q32" s="1559" t="str">
        <f t="shared" si="8"/>
        <v>土地级别</v>
      </c>
      <c r="R32" s="1560" t="s">
        <v>8</v>
      </c>
      <c r="S32" s="1561">
        <f t="shared" si="10"/>
        <v>100</v>
      </c>
      <c r="T32" s="1560" t="s">
        <v>8</v>
      </c>
      <c r="U32" s="1561">
        <f t="shared" si="11"/>
        <v>100</v>
      </c>
      <c r="V32" s="1560" t="s">
        <v>8</v>
      </c>
      <c r="W32" s="1561">
        <f t="shared" si="12"/>
        <v>100</v>
      </c>
      <c r="X32" s="1554"/>
      <c r="Y32" s="3408"/>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8"/>
      <c r="Q33" s="1559">
        <f t="shared" si="8"/>
        <v>111</v>
      </c>
      <c r="R33" s="1560" t="s">
        <v>8</v>
      </c>
      <c r="S33" s="1561">
        <f t="shared" si="10"/>
        <v>100</v>
      </c>
      <c r="T33" s="1560" t="s">
        <v>8</v>
      </c>
      <c r="U33" s="1561">
        <f t="shared" si="11"/>
        <v>100</v>
      </c>
      <c r="V33" s="1560" t="s">
        <v>8</v>
      </c>
      <c r="W33" s="1561">
        <f t="shared" si="12"/>
        <v>100</v>
      </c>
      <c r="X33" s="1554"/>
      <c r="Y33" s="3408"/>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12" t="s">
        <v>550</v>
      </c>
      <c r="Q34" s="1559">
        <f t="shared" si="8"/>
        <v>111</v>
      </c>
      <c r="R34" s="1560" t="s">
        <v>8</v>
      </c>
      <c r="S34" s="1561">
        <f t="shared" si="10"/>
        <v>100</v>
      </c>
      <c r="T34" s="1560" t="s">
        <v>8</v>
      </c>
      <c r="U34" s="1561">
        <f t="shared" si="11"/>
        <v>100</v>
      </c>
      <c r="V34" s="1560" t="s">
        <v>8</v>
      </c>
      <c r="W34" s="1561">
        <f t="shared" si="12"/>
        <v>100</v>
      </c>
      <c r="X34" s="1554"/>
      <c r="Y34" s="3413"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13"/>
      <c r="Q35" s="1559">
        <f t="shared" si="8"/>
        <v>111</v>
      </c>
      <c r="R35" s="1564" t="s">
        <v>8</v>
      </c>
      <c r="S35" s="1565">
        <f t="shared" si="10"/>
        <v>100</v>
      </c>
      <c r="T35" s="1564" t="s">
        <v>8</v>
      </c>
      <c r="U35" s="1565">
        <f t="shared" si="11"/>
        <v>100</v>
      </c>
      <c r="V35" s="1564" t="s">
        <v>8</v>
      </c>
      <c r="W35" s="1565">
        <f t="shared" si="12"/>
        <v>100</v>
      </c>
      <c r="X35" s="1566"/>
      <c r="Y35" s="3413"/>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13"/>
      <c r="Q36" s="1559" t="str">
        <f>B36</f>
        <v>宗地面积</v>
      </c>
      <c r="R36" s="1560" t="s">
        <v>8</v>
      </c>
      <c r="S36" s="1561" t="e">
        <f t="shared" si="10"/>
        <v>#N/A</v>
      </c>
      <c r="T36" s="1560" t="s">
        <v>8</v>
      </c>
      <c r="U36" s="1561" t="e">
        <f t="shared" si="11"/>
        <v>#N/A</v>
      </c>
      <c r="V36" s="1560" t="s">
        <v>8</v>
      </c>
      <c r="W36" s="1561" t="e">
        <f t="shared" si="12"/>
        <v>#N/A</v>
      </c>
      <c r="X36" s="1554"/>
      <c r="Y36" s="3413"/>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13"/>
      <c r="Q37" s="1559" t="str">
        <f t="shared" ref="Q37:Q42" si="14">B37</f>
        <v>宗地形状</v>
      </c>
      <c r="R37" s="1560" t="s">
        <v>8</v>
      </c>
      <c r="S37" s="1561">
        <f t="shared" si="10"/>
        <v>100</v>
      </c>
      <c r="T37" s="1560" t="s">
        <v>8</v>
      </c>
      <c r="U37" s="1561">
        <f t="shared" si="11"/>
        <v>100</v>
      </c>
      <c r="V37" s="1560" t="s">
        <v>8</v>
      </c>
      <c r="W37" s="1561">
        <f t="shared" si="12"/>
        <v>100</v>
      </c>
      <c r="X37" s="1554"/>
      <c r="Y37" s="3413"/>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13"/>
      <c r="Q38" s="1559" t="str">
        <f t="shared" si="14"/>
        <v>宗地开发程度</v>
      </c>
      <c r="R38" s="1555" t="s">
        <v>8</v>
      </c>
      <c r="S38" s="1556">
        <f t="shared" si="10"/>
        <v>100</v>
      </c>
      <c r="T38" s="1555" t="s">
        <v>8</v>
      </c>
      <c r="U38" s="1556">
        <f t="shared" si="11"/>
        <v>100</v>
      </c>
      <c r="V38" s="1555" t="s">
        <v>8</v>
      </c>
      <c r="W38" s="1556">
        <f t="shared" si="12"/>
        <v>100</v>
      </c>
      <c r="X38" s="1557"/>
      <c r="Y38" s="3413"/>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3" t="s">
        <v>601</v>
      </c>
      <c r="Q39" s="1559" t="str">
        <f t="shared" si="14"/>
        <v>工程地质条件</v>
      </c>
      <c r="R39" s="1560" t="s">
        <v>8</v>
      </c>
      <c r="S39" s="1561">
        <f t="shared" si="10"/>
        <v>100</v>
      </c>
      <c r="T39" s="1560" t="s">
        <v>8</v>
      </c>
      <c r="U39" s="1561">
        <f t="shared" si="11"/>
        <v>100</v>
      </c>
      <c r="V39" s="1560" t="s">
        <v>8</v>
      </c>
      <c r="W39" s="1561">
        <f t="shared" si="12"/>
        <v>100</v>
      </c>
      <c r="X39" s="1554"/>
      <c r="Y39" s="3413"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13"/>
      <c r="Q40" s="1559">
        <f t="shared" si="14"/>
        <v>111</v>
      </c>
      <c r="R40" s="1560" t="s">
        <v>8</v>
      </c>
      <c r="S40" s="1561">
        <f t="shared" si="10"/>
        <v>100</v>
      </c>
      <c r="T40" s="1560" t="s">
        <v>8</v>
      </c>
      <c r="U40" s="1561">
        <f t="shared" si="11"/>
        <v>100</v>
      </c>
      <c r="V40" s="1560" t="s">
        <v>8</v>
      </c>
      <c r="W40" s="1561">
        <f t="shared" si="12"/>
        <v>100</v>
      </c>
      <c r="X40" s="1554"/>
      <c r="Y40" s="341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13"/>
      <c r="Q41" s="1559">
        <f t="shared" si="14"/>
        <v>111</v>
      </c>
      <c r="R41" s="1560" t="s">
        <v>8</v>
      </c>
      <c r="S41" s="1561">
        <f t="shared" si="10"/>
        <v>100</v>
      </c>
      <c r="T41" s="1560" t="s">
        <v>8</v>
      </c>
      <c r="U41" s="1561">
        <f t="shared" si="11"/>
        <v>100</v>
      </c>
      <c r="V41" s="1560" t="s">
        <v>8</v>
      </c>
      <c r="W41" s="1561">
        <f t="shared" si="12"/>
        <v>100</v>
      </c>
      <c r="X41" s="1554"/>
      <c r="Y41" s="3413"/>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13"/>
      <c r="Q42" s="1559">
        <f t="shared" si="14"/>
        <v>111</v>
      </c>
      <c r="R42" s="1564" t="s">
        <v>8</v>
      </c>
      <c r="S42" s="1565">
        <f t="shared" si="10"/>
        <v>100</v>
      </c>
      <c r="T42" s="1564" t="s">
        <v>8</v>
      </c>
      <c r="U42" s="1565">
        <f t="shared" si="11"/>
        <v>100</v>
      </c>
      <c r="V42" s="1564" t="s">
        <v>8</v>
      </c>
      <c r="W42" s="1565">
        <f t="shared" si="12"/>
        <v>100</v>
      </c>
      <c r="X42" s="1566"/>
      <c r="Y42" s="3413"/>
      <c r="Z42" s="1567">
        <f t="shared" si="13"/>
        <v>111</v>
      </c>
      <c r="AA42" s="1563">
        <f t="shared" si="3"/>
        <v>1</v>
      </c>
      <c r="AB42" s="1563">
        <f t="shared" si="4"/>
        <v>1</v>
      </c>
      <c r="AC42" s="1563">
        <f t="shared" si="5"/>
        <v>1</v>
      </c>
    </row>
    <row r="43" spans="1:29" ht="15">
      <c r="A43" s="607" t="s">
        <v>556</v>
      </c>
      <c r="B43" s="608" t="s">
        <v>2930</v>
      </c>
      <c r="C43" s="609" t="s">
        <v>1</v>
      </c>
      <c r="D43" s="610"/>
      <c r="E43" s="611"/>
      <c r="F43" s="612"/>
      <c r="G43" s="613"/>
      <c r="H43" s="614"/>
      <c r="I43" s="611"/>
      <c r="J43" s="614"/>
      <c r="K43" s="1336"/>
      <c r="L43" s="2130"/>
      <c r="M43" s="2120"/>
      <c r="N43" s="2120"/>
      <c r="O43" s="2131"/>
      <c r="P43" s="3405" t="str">
        <f>A43</f>
        <v>成交单价</v>
      </c>
      <c r="Q43" s="3405"/>
      <c r="R43" s="3414">
        <f>E43</f>
        <v>0</v>
      </c>
      <c r="S43" s="3414"/>
      <c r="T43" s="3414">
        <f>G43</f>
        <v>0</v>
      </c>
      <c r="U43" s="3414"/>
      <c r="V43" s="3414">
        <f>I43</f>
        <v>0</v>
      </c>
      <c r="W43" s="3414"/>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05" t="str">
        <f>A44</f>
        <v>比较价格（元/平方米）</v>
      </c>
      <c r="Q44" s="3405"/>
      <c r="R44" s="3406" t="e">
        <f>ROUND(PRODUCT(R43,AA9:AA42),0)</f>
        <v>#DIV/0!</v>
      </c>
      <c r="S44" s="3406"/>
      <c r="T44" s="3406" t="e">
        <f>ROUND(PRODUCT(T43,AB9:AB42),0)</f>
        <v>#DIV/0!</v>
      </c>
      <c r="U44" s="3406"/>
      <c r="V44" s="3406" t="e">
        <f>ROUND(PRODUCT(V43,AC9:AC42),0)</f>
        <v>#DIV/0!</v>
      </c>
      <c r="W44" s="3406"/>
      <c r="X44" s="1546"/>
      <c r="Y44" s="1546"/>
      <c r="Z44" s="1546"/>
      <c r="AA44" s="1546"/>
      <c r="AB44" s="1546"/>
      <c r="AC44" s="1546"/>
    </row>
    <row r="45" spans="1:29" ht="15.75" thickBot="1">
      <c r="A45" s="621" t="s">
        <v>2931</v>
      </c>
      <c r="B45" s="622"/>
      <c r="C45" s="623" t="e">
        <f>R45</f>
        <v>#DIV/0!</v>
      </c>
      <c r="D45" s="623"/>
      <c r="E45" s="623"/>
      <c r="F45" s="623"/>
      <c r="G45" s="623"/>
      <c r="H45" s="623"/>
      <c r="I45" s="623"/>
      <c r="J45" s="623"/>
      <c r="K45" s="1338"/>
      <c r="L45" s="2130"/>
      <c r="M45" s="2120"/>
      <c r="N45" s="2120"/>
      <c r="O45" s="2131"/>
      <c r="P45" s="3409" t="str">
        <f>A45</f>
        <v>估价对象XX用房的比较价格（楼面单价，元/平方米）</v>
      </c>
      <c r="Q45" s="3410"/>
      <c r="R45" s="3411" t="e">
        <f>ROUND(AVERAGE(R44:V44),0)</f>
        <v>#DIV/0!</v>
      </c>
      <c r="S45" s="3411"/>
      <c r="T45" s="3411"/>
      <c r="U45" s="3411"/>
      <c r="V45" s="3411"/>
      <c r="W45" s="341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48" t="s">
        <v>2282</v>
      </c>
      <c r="H52" s="3449"/>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50"/>
      <c r="H53" s="345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2"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4"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65"/>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4" t="s">
        <v>2779</v>
      </c>
      <c r="X8" s="3455"/>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65"/>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3"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5"/>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5"/>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3"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64"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3"/>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6"/>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53"/>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6"/>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7"/>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4" t="s">
        <v>1837</v>
      </c>
      <c r="B16" s="1424" t="s">
        <v>949</v>
      </c>
      <c r="C16" s="1052" t="e">
        <f>ROUND(IF(F17="与级别开发程度一致",0,(G17-E17)/C17),0)</f>
        <v>#DIV/0!</v>
      </c>
      <c r="D16" s="3461" t="s">
        <v>953</v>
      </c>
      <c r="E16" s="3462"/>
      <c r="F16" s="3461" t="s">
        <v>950</v>
      </c>
      <c r="G16" s="3462"/>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68"/>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1" t="s">
        <v>2957</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2"/>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2"/>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73"/>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2984</v>
      </c>
      <c r="C41" s="839" t="e">
        <f>ROUND(POWER(1+E41,H41-G41)*(POWER(1+E41,G41)-1)/(POWER(1+E41,H41)-1),4)</f>
        <v>#DIV/0!</v>
      </c>
      <c r="D41" s="378" t="s">
        <v>2982</v>
      </c>
      <c r="E41" s="3150">
        <f>G20</f>
        <v>0</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2933</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2932</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2934</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2932</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2932</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2932</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9" t="s">
        <v>1632</v>
      </c>
      <c r="B90" s="3469"/>
      <c r="C90" s="3469"/>
      <c r="D90" s="3469"/>
      <c r="E90" s="3469"/>
      <c r="F90" s="3469"/>
      <c r="G90" s="3469"/>
      <c r="H90" s="3469"/>
      <c r="I90" s="3469"/>
      <c r="J90" s="3469"/>
      <c r="K90" s="2415"/>
      <c r="L90" s="2415"/>
      <c r="M90" s="2415"/>
      <c r="N90" s="2415"/>
    </row>
    <row r="91" spans="1:40">
      <c r="A91" s="3470" t="s">
        <v>1442</v>
      </c>
      <c r="B91" s="3470" t="s">
        <v>1633</v>
      </c>
      <c r="C91" s="1136" t="s">
        <v>1634</v>
      </c>
      <c r="D91" s="1137"/>
      <c r="E91" s="1137"/>
      <c r="F91" s="1137"/>
      <c r="G91" s="1137"/>
      <c r="H91" s="1137"/>
      <c r="I91" s="1137"/>
      <c r="J91" s="1138"/>
      <c r="K91" s="1130"/>
      <c r="L91" s="1130"/>
      <c r="M91" s="1130"/>
      <c r="N91" s="1130"/>
    </row>
    <row r="92" spans="1:40">
      <c r="A92" s="3470"/>
      <c r="B92" s="3470"/>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56"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7"/>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6"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7"/>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7"/>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7"/>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7"/>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7"/>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7"/>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7"/>
      <c r="B108" s="3459"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8"/>
      <c r="B109" s="3460"/>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63" t="s">
        <v>1638</v>
      </c>
      <c r="B110" s="3463"/>
      <c r="C110" s="3463"/>
      <c r="D110" s="3463"/>
      <c r="E110" s="3463"/>
      <c r="F110" s="3463"/>
      <c r="G110" s="3463"/>
      <c r="H110" s="3463"/>
      <c r="I110" s="3463"/>
      <c r="J110" s="3463"/>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2987</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70" t="s">
        <v>1006</v>
      </c>
      <c r="B18" s="1150" t="s">
        <v>1445</v>
      </c>
      <c r="C18" s="1127" t="s">
        <v>1446</v>
      </c>
      <c r="D18" s="1128"/>
      <c r="E18" s="1150">
        <v>1</v>
      </c>
      <c r="F18" s="1129" t="s">
        <v>1447</v>
      </c>
      <c r="G18" s="1130"/>
      <c r="H18" s="1101"/>
      <c r="I18" s="1101"/>
    </row>
    <row r="19" spans="1:9" s="1585" customFormat="1" ht="19.5" customHeight="1">
      <c r="A19" s="3470"/>
      <c r="B19" s="3470" t="s">
        <v>1448</v>
      </c>
      <c r="C19" s="1127" t="s">
        <v>1449</v>
      </c>
      <c r="D19" s="1128"/>
      <c r="E19" s="1150">
        <v>0.9</v>
      </c>
      <c r="F19" s="1129" t="s">
        <v>1450</v>
      </c>
      <c r="G19" s="1130"/>
      <c r="H19" s="1101"/>
      <c r="I19" s="1101"/>
    </row>
    <row r="20" spans="1:9" s="1585" customFormat="1" ht="19.5" customHeight="1">
      <c r="A20" s="3470"/>
      <c r="B20" s="3470"/>
      <c r="C20" s="1127" t="s">
        <v>1451</v>
      </c>
      <c r="D20" s="1128"/>
      <c r="E20" s="1150">
        <v>1.1000000000000001</v>
      </c>
      <c r="F20" s="1129" t="s">
        <v>1452</v>
      </c>
      <c r="G20" s="1130"/>
      <c r="H20" s="1101"/>
      <c r="I20" s="1101"/>
    </row>
    <row r="21" spans="1:9" s="1585" customFormat="1" ht="19.5" customHeight="1">
      <c r="A21" s="3470"/>
      <c r="B21" s="3470"/>
      <c r="C21" s="1127" t="s">
        <v>1453</v>
      </c>
      <c r="D21" s="1128"/>
      <c r="E21" s="1150">
        <v>0.8</v>
      </c>
      <c r="F21" s="1129" t="s">
        <v>1454</v>
      </c>
      <c r="G21" s="1130"/>
      <c r="H21" s="1101"/>
      <c r="I21" s="1101"/>
    </row>
    <row r="22" spans="1:9" s="1585" customFormat="1" ht="19.5" customHeight="1">
      <c r="A22" s="3470"/>
      <c r="B22" s="3470"/>
      <c r="C22" s="1127" t="s">
        <v>1455</v>
      </c>
      <c r="D22" s="1128"/>
      <c r="E22" s="1150">
        <v>0.5</v>
      </c>
      <c r="F22" s="1129"/>
      <c r="G22" s="1130"/>
      <c r="H22" s="1101"/>
      <c r="I22" s="1101"/>
    </row>
    <row r="23" spans="1:9" s="1585" customFormat="1" ht="19.5" customHeight="1">
      <c r="A23" s="3470" t="s">
        <v>1028</v>
      </c>
      <c r="B23" s="1150" t="s">
        <v>1445</v>
      </c>
      <c r="C23" s="1127" t="s">
        <v>1456</v>
      </c>
      <c r="D23" s="1128"/>
      <c r="E23" s="1150">
        <v>1</v>
      </c>
      <c r="F23" s="1129" t="s">
        <v>1457</v>
      </c>
      <c r="G23" s="1130"/>
      <c r="H23" s="1101"/>
      <c r="I23" s="1101"/>
    </row>
    <row r="24" spans="1:9" s="1585" customFormat="1" ht="19.5" customHeight="1">
      <c r="A24" s="3470"/>
      <c r="B24" s="3470" t="s">
        <v>1448</v>
      </c>
      <c r="C24" s="1127" t="s">
        <v>1458</v>
      </c>
      <c r="D24" s="1128"/>
      <c r="E24" s="1150">
        <v>0.5</v>
      </c>
      <c r="F24" s="1129"/>
      <c r="G24" s="1130"/>
      <c r="H24" s="1101"/>
      <c r="I24" s="1101"/>
    </row>
    <row r="25" spans="1:9" s="1585" customFormat="1" ht="19.5" customHeight="1">
      <c r="A25" s="3470"/>
      <c r="B25" s="3470"/>
      <c r="C25" s="1127" t="s">
        <v>1459</v>
      </c>
      <c r="D25" s="1128"/>
      <c r="E25" s="1150">
        <v>1.1000000000000001</v>
      </c>
      <c r="F25" s="1129"/>
      <c r="G25" s="1130"/>
      <c r="H25" s="1101"/>
      <c r="I25" s="1101"/>
    </row>
    <row r="26" spans="1:9" s="1585" customFormat="1" ht="19.5" customHeight="1">
      <c r="A26" s="3470"/>
      <c r="B26" s="3470"/>
      <c r="C26" s="1127" t="s">
        <v>1460</v>
      </c>
      <c r="D26" s="1128"/>
      <c r="E26" s="1150">
        <v>1.1000000000000001</v>
      </c>
      <c r="F26" s="1129"/>
      <c r="G26" s="1130"/>
      <c r="H26" s="1101"/>
      <c r="I26" s="1101"/>
    </row>
    <row r="27" spans="1:9" s="1585" customFormat="1" ht="19.5" customHeight="1">
      <c r="A27" s="3470"/>
      <c r="B27" s="3470"/>
      <c r="C27" s="1127" t="s">
        <v>1461</v>
      </c>
      <c r="D27" s="1128"/>
      <c r="E27" s="1150">
        <v>0.9</v>
      </c>
      <c r="F27" s="1129" t="s">
        <v>1462</v>
      </c>
      <c r="G27" s="1130"/>
      <c r="H27" s="1101"/>
      <c r="I27" s="1101"/>
    </row>
    <row r="28" spans="1:9" s="1585" customFormat="1" ht="19.5" customHeight="1">
      <c r="A28" s="3470"/>
      <c r="B28" s="3470"/>
      <c r="C28" s="1127" t="s">
        <v>1463</v>
      </c>
      <c r="D28" s="1128"/>
      <c r="E28" s="1150">
        <v>0.9</v>
      </c>
      <c r="F28" s="1129" t="s">
        <v>1464</v>
      </c>
      <c r="G28" s="1130"/>
      <c r="H28" s="1101"/>
      <c r="I28" s="1101"/>
    </row>
    <row r="29" spans="1:9" s="1585" customFormat="1" ht="19.5" customHeight="1">
      <c r="A29" s="3470"/>
      <c r="B29" s="3470"/>
      <c r="C29" s="1127" t="s">
        <v>1465</v>
      </c>
      <c r="D29" s="1128"/>
      <c r="E29" s="1150">
        <v>0.9</v>
      </c>
      <c r="F29" s="1129" t="s">
        <v>1466</v>
      </c>
      <c r="G29" s="1130"/>
      <c r="H29" s="1101"/>
      <c r="I29" s="1101"/>
    </row>
    <row r="30" spans="1:9" s="1585" customFormat="1" ht="19.5" customHeight="1">
      <c r="A30" s="3470"/>
      <c r="B30" s="3470"/>
      <c r="C30" s="1127" t="s">
        <v>1467</v>
      </c>
      <c r="D30" s="1128"/>
      <c r="E30" s="1150">
        <v>0.9</v>
      </c>
      <c r="F30" s="1129" t="s">
        <v>1468</v>
      </c>
      <c r="G30" s="1130"/>
      <c r="H30" s="1101"/>
      <c r="I30" s="1101"/>
    </row>
    <row r="31" spans="1:9" s="1585" customFormat="1" ht="19.5" customHeight="1">
      <c r="A31" s="3470"/>
      <c r="B31" s="3470"/>
      <c r="C31" s="1127" t="s">
        <v>1469</v>
      </c>
      <c r="D31" s="1128"/>
      <c r="E31" s="1150">
        <v>0.8</v>
      </c>
      <c r="F31" s="1129" t="s">
        <v>1470</v>
      </c>
      <c r="G31" s="1130"/>
      <c r="H31" s="1101"/>
      <c r="I31" s="1101"/>
    </row>
    <row r="32" spans="1:9" s="1585" customFormat="1" ht="19.5" customHeight="1">
      <c r="A32" s="3470"/>
      <c r="B32" s="3470"/>
      <c r="C32" s="1127" t="s">
        <v>1471</v>
      </c>
      <c r="D32" s="1128"/>
      <c r="E32" s="1150">
        <v>0.8</v>
      </c>
      <c r="F32" s="1129" t="s">
        <v>1472</v>
      </c>
      <c r="G32" s="1130"/>
      <c r="H32" s="1101"/>
      <c r="I32" s="1101"/>
    </row>
    <row r="33" spans="1:9" s="1585" customFormat="1" ht="19.5" customHeight="1">
      <c r="A33" s="3470" t="s">
        <v>1473</v>
      </c>
      <c r="B33" s="1150" t="s">
        <v>1445</v>
      </c>
      <c r="C33" s="1127" t="s">
        <v>1474</v>
      </c>
      <c r="D33" s="1128"/>
      <c r="E33" s="1150">
        <v>1</v>
      </c>
      <c r="F33" s="1129" t="s">
        <v>1475</v>
      </c>
      <c r="G33" s="1130"/>
      <c r="H33" s="1101"/>
      <c r="I33" s="1101"/>
    </row>
    <row r="34" spans="1:9" s="1585" customFormat="1" ht="19.5" customHeight="1">
      <c r="A34" s="3470"/>
      <c r="B34" s="1150" t="s">
        <v>1448</v>
      </c>
      <c r="C34" s="1127" t="s">
        <v>1476</v>
      </c>
      <c r="D34" s="1128"/>
      <c r="E34" s="1150">
        <v>1.5</v>
      </c>
      <c r="F34" s="1129" t="s">
        <v>1477</v>
      </c>
      <c r="G34" s="1130"/>
      <c r="H34" s="1101"/>
      <c r="I34" s="1101"/>
    </row>
    <row r="35" spans="1:9" s="1585" customFormat="1" ht="19.5" customHeight="1">
      <c r="A35" s="3470" t="s">
        <v>1431</v>
      </c>
      <c r="B35" s="1150" t="s">
        <v>1445</v>
      </c>
      <c r="C35" s="1127" t="s">
        <v>1478</v>
      </c>
      <c r="D35" s="1128"/>
      <c r="E35" s="1150">
        <v>1</v>
      </c>
      <c r="F35" s="1129" t="s">
        <v>1479</v>
      </c>
      <c r="G35" s="1130"/>
      <c r="H35" s="1101"/>
      <c r="I35" s="1101"/>
    </row>
    <row r="36" spans="1:9" s="1585" customFormat="1" ht="19.5" customHeight="1">
      <c r="A36" s="3470"/>
      <c r="B36" s="3470" t="s">
        <v>1448</v>
      </c>
      <c r="C36" s="1127" t="s">
        <v>1480</v>
      </c>
      <c r="D36" s="1128"/>
      <c r="E36" s="1150">
        <v>1</v>
      </c>
      <c r="F36" s="1129" t="s">
        <v>1481</v>
      </c>
      <c r="G36" s="1130"/>
      <c r="H36" s="1101"/>
      <c r="I36" s="1101"/>
    </row>
    <row r="37" spans="1:9" s="1585" customFormat="1" ht="19.5" customHeight="1">
      <c r="A37" s="3470"/>
      <c r="B37" s="3470"/>
      <c r="C37" s="1127" t="s">
        <v>1482</v>
      </c>
      <c r="D37" s="1128"/>
      <c r="E37" s="1150">
        <v>1.5</v>
      </c>
      <c r="F37" s="1129" t="s">
        <v>1483</v>
      </c>
      <c r="G37" s="1130"/>
      <c r="H37" s="1101"/>
      <c r="I37" s="1101"/>
    </row>
    <row r="38" spans="1:9" s="1585" customFormat="1" ht="19.5" customHeight="1">
      <c r="A38" s="3470"/>
      <c r="B38" s="3470"/>
      <c r="C38" s="1127" t="s">
        <v>1484</v>
      </c>
      <c r="D38" s="1128"/>
      <c r="E38" s="1150">
        <v>1</v>
      </c>
      <c r="F38" s="1129" t="s">
        <v>1485</v>
      </c>
      <c r="G38" s="1130"/>
      <c r="H38" s="1101"/>
      <c r="I38" s="1101"/>
    </row>
    <row r="39" spans="1:9" s="1585" customFormat="1" ht="19.5" customHeight="1">
      <c r="A39" s="3470"/>
      <c r="B39" s="3470"/>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70" t="s">
        <v>1500</v>
      </c>
      <c r="C61" s="1064" t="s">
        <v>1501</v>
      </c>
      <c r="D61" s="1064" t="s">
        <v>1502</v>
      </c>
      <c r="E61" s="1135">
        <v>0.5</v>
      </c>
      <c r="F61" s="1150">
        <v>80</v>
      </c>
      <c r="H61" s="1101">
        <f>SUMIF(C59:C119,基准地价!C8,E59:E119)</f>
        <v>0</v>
      </c>
    </row>
    <row r="62" spans="1:8" s="1101" customFormat="1" ht="24">
      <c r="A62" s="1150">
        <v>2</v>
      </c>
      <c r="B62" s="3470"/>
      <c r="C62" s="1064" t="s">
        <v>1503</v>
      </c>
      <c r="D62" s="1064" t="s">
        <v>1504</v>
      </c>
      <c r="E62" s="1135">
        <v>0.5</v>
      </c>
      <c r="F62" s="1150">
        <v>80</v>
      </c>
    </row>
    <row r="63" spans="1:8" s="1101" customFormat="1" ht="36">
      <c r="A63" s="1150">
        <v>3</v>
      </c>
      <c r="B63" s="3470"/>
      <c r="C63" s="1064" t="s">
        <v>1505</v>
      </c>
      <c r="D63" s="1064" t="s">
        <v>1506</v>
      </c>
      <c r="E63" s="1135">
        <v>0.5</v>
      </c>
      <c r="F63" s="1150">
        <v>80</v>
      </c>
    </row>
    <row r="64" spans="1:8" s="1101" customFormat="1" ht="36">
      <c r="A64" s="1150">
        <v>4</v>
      </c>
      <c r="B64" s="3470"/>
      <c r="C64" s="1064" t="s">
        <v>1507</v>
      </c>
      <c r="D64" s="1064" t="s">
        <v>1508</v>
      </c>
      <c r="E64" s="1135">
        <v>0.4</v>
      </c>
      <c r="F64" s="1150">
        <v>60</v>
      </c>
    </row>
    <row r="65" spans="1:6" s="1101" customFormat="1" ht="36">
      <c r="A65" s="1150">
        <v>5</v>
      </c>
      <c r="B65" s="3470"/>
      <c r="C65" s="1064" t="s">
        <v>1509</v>
      </c>
      <c r="D65" s="1064" t="s">
        <v>1510</v>
      </c>
      <c r="E65" s="1135">
        <v>0.2</v>
      </c>
      <c r="F65" s="1150">
        <v>30</v>
      </c>
    </row>
    <row r="66" spans="1:6" s="1101" customFormat="1" ht="36">
      <c r="A66" s="1150">
        <v>6</v>
      </c>
      <c r="B66" s="3470"/>
      <c r="C66" s="1064" t="s">
        <v>1511</v>
      </c>
      <c r="D66" s="1064" t="s">
        <v>1512</v>
      </c>
      <c r="E66" s="1135">
        <v>0.3</v>
      </c>
      <c r="F66" s="1150">
        <v>50</v>
      </c>
    </row>
    <row r="67" spans="1:6" s="1101" customFormat="1" ht="36">
      <c r="A67" s="1150">
        <v>7</v>
      </c>
      <c r="B67" s="3470"/>
      <c r="C67" s="1064" t="s">
        <v>1513</v>
      </c>
      <c r="D67" s="1064" t="s">
        <v>1514</v>
      </c>
      <c r="E67" s="1135">
        <v>0.2</v>
      </c>
      <c r="F67" s="1150">
        <v>30</v>
      </c>
    </row>
    <row r="68" spans="1:6" s="1101" customFormat="1" ht="36">
      <c r="A68" s="1150">
        <v>8</v>
      </c>
      <c r="B68" s="3470"/>
      <c r="C68" s="1064" t="s">
        <v>1515</v>
      </c>
      <c r="D68" s="1064" t="s">
        <v>1516</v>
      </c>
      <c r="E68" s="1135">
        <v>0.2</v>
      </c>
      <c r="F68" s="1150">
        <v>30</v>
      </c>
    </row>
    <row r="69" spans="1:6" s="1101" customFormat="1" ht="36">
      <c r="A69" s="1150">
        <v>9</v>
      </c>
      <c r="B69" s="3470"/>
      <c r="C69" s="1064" t="s">
        <v>1517</v>
      </c>
      <c r="D69" s="1064" t="s">
        <v>1518</v>
      </c>
      <c r="E69" s="1135">
        <v>0.2</v>
      </c>
      <c r="F69" s="1150">
        <v>30</v>
      </c>
    </row>
    <row r="70" spans="1:6" s="1101" customFormat="1" ht="48">
      <c r="A70" s="1150">
        <v>10</v>
      </c>
      <c r="B70" s="3470"/>
      <c r="C70" s="1064" t="s">
        <v>1519</v>
      </c>
      <c r="D70" s="1064" t="s">
        <v>1520</v>
      </c>
      <c r="E70" s="1135">
        <v>0.2</v>
      </c>
      <c r="F70" s="1150">
        <v>30</v>
      </c>
    </row>
    <row r="71" spans="1:6" s="1101" customFormat="1" ht="48">
      <c r="A71" s="1150">
        <v>11</v>
      </c>
      <c r="B71" s="3470"/>
      <c r="C71" s="1064" t="s">
        <v>1521</v>
      </c>
      <c r="D71" s="1064" t="s">
        <v>1522</v>
      </c>
      <c r="E71" s="1135">
        <v>0.2</v>
      </c>
      <c r="F71" s="1150">
        <v>30</v>
      </c>
    </row>
    <row r="72" spans="1:6" s="1101" customFormat="1" ht="36">
      <c r="A72" s="1150">
        <v>12</v>
      </c>
      <c r="B72" s="3470"/>
      <c r="C72" s="1064" t="s">
        <v>1523</v>
      </c>
      <c r="D72" s="1064" t="s">
        <v>1524</v>
      </c>
      <c r="E72" s="1135">
        <v>0.5</v>
      </c>
      <c r="F72" s="1150">
        <v>80</v>
      </c>
    </row>
    <row r="73" spans="1:6" s="1101" customFormat="1" ht="24">
      <c r="A73" s="1150">
        <v>13</v>
      </c>
      <c r="B73" s="3470"/>
      <c r="C73" s="1064" t="s">
        <v>1525</v>
      </c>
      <c r="D73" s="1064" t="s">
        <v>1526</v>
      </c>
      <c r="E73" s="1135">
        <v>0.4</v>
      </c>
      <c r="F73" s="1150">
        <v>60</v>
      </c>
    </row>
    <row r="74" spans="1:6" s="1101" customFormat="1" ht="24">
      <c r="A74" s="1150">
        <v>14</v>
      </c>
      <c r="B74" s="3470"/>
      <c r="C74" s="1064" t="s">
        <v>1527</v>
      </c>
      <c r="D74" s="1064" t="s">
        <v>1528</v>
      </c>
      <c r="E74" s="1135">
        <v>0.2</v>
      </c>
      <c r="F74" s="1150">
        <v>30</v>
      </c>
    </row>
    <row r="75" spans="1:6" s="1101" customFormat="1" ht="24">
      <c r="A75" s="1150">
        <v>15</v>
      </c>
      <c r="B75" s="3470"/>
      <c r="C75" s="1064" t="s">
        <v>1529</v>
      </c>
      <c r="D75" s="1064" t="s">
        <v>1530</v>
      </c>
      <c r="E75" s="1135">
        <v>0.2</v>
      </c>
      <c r="F75" s="1150">
        <v>30</v>
      </c>
    </row>
    <row r="76" spans="1:6" s="1101" customFormat="1" ht="24">
      <c r="A76" s="1150">
        <v>16</v>
      </c>
      <c r="B76" s="3470" t="s">
        <v>1531</v>
      </c>
      <c r="C76" s="1064" t="s">
        <v>1532</v>
      </c>
      <c r="D76" s="1064" t="s">
        <v>1533</v>
      </c>
      <c r="E76" s="1135">
        <v>0.5</v>
      </c>
      <c r="F76" s="1150">
        <v>80</v>
      </c>
    </row>
    <row r="77" spans="1:6" s="1101" customFormat="1" ht="24">
      <c r="A77" s="1150">
        <v>17</v>
      </c>
      <c r="B77" s="3470"/>
      <c r="C77" s="1064" t="s">
        <v>1534</v>
      </c>
      <c r="D77" s="1064" t="s">
        <v>1535</v>
      </c>
      <c r="E77" s="1135">
        <v>0.5</v>
      </c>
      <c r="F77" s="1150">
        <v>80</v>
      </c>
    </row>
    <row r="78" spans="1:6" s="1101" customFormat="1" ht="24">
      <c r="A78" s="1150">
        <v>18</v>
      </c>
      <c r="B78" s="3470"/>
      <c r="C78" s="1064" t="s">
        <v>1536</v>
      </c>
      <c r="D78" s="1064" t="s">
        <v>1537</v>
      </c>
      <c r="E78" s="1135">
        <v>0.2</v>
      </c>
      <c r="F78" s="1150">
        <v>30</v>
      </c>
    </row>
    <row r="79" spans="1:6" s="1101" customFormat="1" ht="24">
      <c r="A79" s="1150">
        <v>19</v>
      </c>
      <c r="B79" s="3470"/>
      <c r="C79" s="1064" t="s">
        <v>1538</v>
      </c>
      <c r="D79" s="1064" t="s">
        <v>1539</v>
      </c>
      <c r="E79" s="1135">
        <v>0.5</v>
      </c>
      <c r="F79" s="1150">
        <v>80</v>
      </c>
    </row>
    <row r="80" spans="1:6" s="1101" customFormat="1" ht="36">
      <c r="A80" s="1150">
        <v>20</v>
      </c>
      <c r="B80" s="3470"/>
      <c r="C80" s="1064" t="s">
        <v>1540</v>
      </c>
      <c r="D80" s="1064" t="s">
        <v>1541</v>
      </c>
      <c r="E80" s="1135">
        <v>0.2</v>
      </c>
      <c r="F80" s="1150">
        <v>30</v>
      </c>
    </row>
    <row r="81" spans="1:6" s="1101" customFormat="1" ht="36">
      <c r="A81" s="1150">
        <v>21</v>
      </c>
      <c r="B81" s="3470"/>
      <c r="C81" s="1064" t="s">
        <v>1542</v>
      </c>
      <c r="D81" s="1064" t="s">
        <v>1543</v>
      </c>
      <c r="E81" s="1135">
        <v>0.2</v>
      </c>
      <c r="F81" s="1150">
        <v>30</v>
      </c>
    </row>
    <row r="82" spans="1:6" s="1101" customFormat="1" ht="48">
      <c r="A82" s="1150">
        <v>22</v>
      </c>
      <c r="B82" s="3470"/>
      <c r="C82" s="1064" t="s">
        <v>1544</v>
      </c>
      <c r="D82" s="1064" t="s">
        <v>1545</v>
      </c>
      <c r="E82" s="1135">
        <v>0.2</v>
      </c>
      <c r="F82" s="1150">
        <v>30</v>
      </c>
    </row>
    <row r="83" spans="1:6" s="1101" customFormat="1" ht="48">
      <c r="A83" s="1150">
        <v>23</v>
      </c>
      <c r="B83" s="3470"/>
      <c r="C83" s="1064" t="s">
        <v>1546</v>
      </c>
      <c r="D83" s="1064" t="s">
        <v>1547</v>
      </c>
      <c r="E83" s="1135">
        <v>0.2</v>
      </c>
      <c r="F83" s="1150">
        <v>30</v>
      </c>
    </row>
    <row r="84" spans="1:6" s="1101" customFormat="1" ht="36">
      <c r="A84" s="1150">
        <v>24</v>
      </c>
      <c r="B84" s="3470"/>
      <c r="C84" s="1064" t="s">
        <v>1548</v>
      </c>
      <c r="D84" s="1064" t="s">
        <v>1549</v>
      </c>
      <c r="E84" s="1135">
        <v>0.2</v>
      </c>
      <c r="F84" s="1150">
        <v>30</v>
      </c>
    </row>
    <row r="85" spans="1:6" s="1101" customFormat="1" ht="36">
      <c r="A85" s="1150">
        <v>25</v>
      </c>
      <c r="B85" s="3470"/>
      <c r="C85" s="1064" t="s">
        <v>1550</v>
      </c>
      <c r="D85" s="1064" t="s">
        <v>1551</v>
      </c>
      <c r="E85" s="1135">
        <v>0.5</v>
      </c>
      <c r="F85" s="1150">
        <v>80</v>
      </c>
    </row>
    <row r="86" spans="1:6" s="1101" customFormat="1" ht="36">
      <c r="A86" s="1150">
        <v>26</v>
      </c>
      <c r="B86" s="3470"/>
      <c r="C86" s="1064" t="s">
        <v>1552</v>
      </c>
      <c r="D86" s="1064" t="s">
        <v>1553</v>
      </c>
      <c r="E86" s="1135">
        <v>0.2</v>
      </c>
      <c r="F86" s="1150">
        <v>30</v>
      </c>
    </row>
    <row r="87" spans="1:6" s="1101" customFormat="1" ht="36">
      <c r="A87" s="1150">
        <v>27</v>
      </c>
      <c r="B87" s="3470"/>
      <c r="C87" s="1064" t="s">
        <v>1554</v>
      </c>
      <c r="D87" s="1064" t="s">
        <v>1555</v>
      </c>
      <c r="E87" s="1135">
        <v>0.2</v>
      </c>
      <c r="F87" s="1150">
        <v>30</v>
      </c>
    </row>
    <row r="88" spans="1:6" s="1101" customFormat="1" ht="36">
      <c r="A88" s="1150">
        <v>28</v>
      </c>
      <c r="B88" s="3470"/>
      <c r="C88" s="1064" t="s">
        <v>1556</v>
      </c>
      <c r="D88" s="1064" t="s">
        <v>1557</v>
      </c>
      <c r="E88" s="1135">
        <v>0.2</v>
      </c>
      <c r="F88" s="1150">
        <v>30</v>
      </c>
    </row>
    <row r="89" spans="1:6" s="1101" customFormat="1" ht="24">
      <c r="A89" s="1150">
        <v>29</v>
      </c>
      <c r="B89" s="3470"/>
      <c r="C89" s="1064" t="s">
        <v>1558</v>
      </c>
      <c r="D89" s="1064" t="s">
        <v>1559</v>
      </c>
      <c r="E89" s="1135">
        <v>0.2</v>
      </c>
      <c r="F89" s="1150">
        <v>30</v>
      </c>
    </row>
    <row r="90" spans="1:6" s="1101" customFormat="1" ht="24">
      <c r="A90" s="1150">
        <v>30</v>
      </c>
      <c r="B90" s="3470"/>
      <c r="C90" s="1064" t="s">
        <v>1560</v>
      </c>
      <c r="D90" s="1064" t="s">
        <v>1561</v>
      </c>
      <c r="E90" s="1135">
        <v>0.2</v>
      </c>
      <c r="F90" s="1150">
        <v>30</v>
      </c>
    </row>
    <row r="91" spans="1:6" s="1101" customFormat="1" ht="36">
      <c r="A91" s="1150">
        <v>31</v>
      </c>
      <c r="B91" s="3470"/>
      <c r="C91" s="1064" t="s">
        <v>1562</v>
      </c>
      <c r="D91" s="1064" t="s">
        <v>1563</v>
      </c>
      <c r="E91" s="1135">
        <v>0.2</v>
      </c>
      <c r="F91" s="1150">
        <v>30</v>
      </c>
    </row>
    <row r="92" spans="1:6" s="1101" customFormat="1" ht="24">
      <c r="A92" s="1150">
        <v>32</v>
      </c>
      <c r="B92" s="3470" t="s">
        <v>1564</v>
      </c>
      <c r="C92" s="1150" t="s">
        <v>1565</v>
      </c>
      <c r="D92" s="1064" t="s">
        <v>1566</v>
      </c>
      <c r="E92" s="1135">
        <v>0.2</v>
      </c>
      <c r="F92" s="1150">
        <v>30</v>
      </c>
    </row>
    <row r="93" spans="1:6" s="1101" customFormat="1" ht="36">
      <c r="A93" s="1150">
        <v>33</v>
      </c>
      <c r="B93" s="3470"/>
      <c r="C93" s="1150" t="s">
        <v>1567</v>
      </c>
      <c r="D93" s="1064" t="s">
        <v>1568</v>
      </c>
      <c r="E93" s="1135">
        <v>0.2</v>
      </c>
      <c r="F93" s="1150">
        <v>30</v>
      </c>
    </row>
    <row r="94" spans="1:6" s="1101" customFormat="1" ht="48">
      <c r="A94" s="1150">
        <v>34</v>
      </c>
      <c r="B94" s="3470"/>
      <c r="C94" s="1150" t="s">
        <v>1569</v>
      </c>
      <c r="D94" s="1064" t="s">
        <v>1570</v>
      </c>
      <c r="E94" s="1135">
        <v>0.2</v>
      </c>
      <c r="F94" s="1150">
        <v>30</v>
      </c>
    </row>
    <row r="95" spans="1:6" s="1101" customFormat="1" ht="36">
      <c r="A95" s="1150">
        <v>35</v>
      </c>
      <c r="B95" s="3470"/>
      <c r="C95" s="1150" t="s">
        <v>1571</v>
      </c>
      <c r="D95" s="1064" t="s">
        <v>1572</v>
      </c>
      <c r="E95" s="1135">
        <v>0.2</v>
      </c>
      <c r="F95" s="1150">
        <v>30</v>
      </c>
    </row>
    <row r="96" spans="1:6" s="1101" customFormat="1" ht="48">
      <c r="A96" s="1150">
        <v>36</v>
      </c>
      <c r="B96" s="3470"/>
      <c r="C96" s="1064" t="s">
        <v>1573</v>
      </c>
      <c r="D96" s="1064" t="s">
        <v>1574</v>
      </c>
      <c r="E96" s="1135">
        <v>0.2</v>
      </c>
      <c r="F96" s="1150">
        <v>30</v>
      </c>
    </row>
    <row r="97" spans="1:6" s="1101" customFormat="1" ht="36">
      <c r="A97" s="1150">
        <v>37</v>
      </c>
      <c r="B97" s="3470"/>
      <c r="C97" s="1150" t="s">
        <v>1575</v>
      </c>
      <c r="D97" s="1064" t="s">
        <v>1576</v>
      </c>
      <c r="E97" s="1135">
        <v>0.2</v>
      </c>
      <c r="F97" s="1150">
        <v>30</v>
      </c>
    </row>
    <row r="98" spans="1:6" s="1101" customFormat="1" ht="36">
      <c r="A98" s="1150">
        <v>38</v>
      </c>
      <c r="B98" s="3470"/>
      <c r="C98" s="1150" t="s">
        <v>1577</v>
      </c>
      <c r="D98" s="1064" t="s">
        <v>1578</v>
      </c>
      <c r="E98" s="1135">
        <v>0.2</v>
      </c>
      <c r="F98" s="1150">
        <v>30</v>
      </c>
    </row>
    <row r="99" spans="1:6" s="1101" customFormat="1" ht="36">
      <c r="A99" s="1150">
        <v>39</v>
      </c>
      <c r="B99" s="3470" t="s">
        <v>1579</v>
      </c>
      <c r="C99" s="1150" t="s">
        <v>1580</v>
      </c>
      <c r="D99" s="1064" t="s">
        <v>1581</v>
      </c>
      <c r="E99" s="1135">
        <v>0.3</v>
      </c>
      <c r="F99" s="1150">
        <v>50</v>
      </c>
    </row>
    <row r="100" spans="1:6" s="1101" customFormat="1" ht="24">
      <c r="A100" s="1150">
        <v>40</v>
      </c>
      <c r="B100" s="3470"/>
      <c r="C100" s="1150" t="s">
        <v>1582</v>
      </c>
      <c r="D100" s="1064" t="s">
        <v>1583</v>
      </c>
      <c r="E100" s="1135">
        <v>0.2</v>
      </c>
      <c r="F100" s="1150">
        <v>30</v>
      </c>
    </row>
    <row r="101" spans="1:6" s="1101" customFormat="1" ht="36">
      <c r="A101" s="1150">
        <v>41</v>
      </c>
      <c r="B101" s="3470"/>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70" t="s">
        <v>1594</v>
      </c>
      <c r="C105" s="1150" t="s">
        <v>1595</v>
      </c>
      <c r="D105" s="1064" t="s">
        <v>1596</v>
      </c>
      <c r="E105" s="1135">
        <v>0.2</v>
      </c>
      <c r="F105" s="1150">
        <v>30</v>
      </c>
    </row>
    <row r="106" spans="1:6" s="1101" customFormat="1" ht="36">
      <c r="A106" s="1150">
        <v>46</v>
      </c>
      <c r="B106" s="3470"/>
      <c r="C106" s="1150" t="s">
        <v>1597</v>
      </c>
      <c r="D106" s="1064" t="s">
        <v>1598</v>
      </c>
      <c r="E106" s="1135">
        <v>0.2</v>
      </c>
      <c r="F106" s="1150">
        <v>30</v>
      </c>
    </row>
    <row r="107" spans="1:6" s="1101" customFormat="1" ht="36">
      <c r="A107" s="1150">
        <v>47</v>
      </c>
      <c r="B107" s="3470" t="s">
        <v>1599</v>
      </c>
      <c r="C107" s="1150" t="s">
        <v>1600</v>
      </c>
      <c r="D107" s="1064" t="s">
        <v>1601</v>
      </c>
      <c r="E107" s="1135">
        <v>0.3</v>
      </c>
      <c r="F107" s="1150">
        <v>50</v>
      </c>
    </row>
    <row r="108" spans="1:6" s="1101" customFormat="1" ht="36">
      <c r="A108" s="1150">
        <v>48</v>
      </c>
      <c r="B108" s="347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70" t="s">
        <v>1610</v>
      </c>
      <c r="C111" s="1150" t="s">
        <v>1611</v>
      </c>
      <c r="D111" s="1064" t="s">
        <v>1612</v>
      </c>
      <c r="E111" s="1135">
        <v>0.2</v>
      </c>
      <c r="F111" s="1150">
        <v>30</v>
      </c>
    </row>
    <row r="112" spans="1:6" s="1101" customFormat="1" ht="24">
      <c r="A112" s="1150">
        <v>52</v>
      </c>
      <c r="B112" s="3470"/>
      <c r="C112" s="1150" t="s">
        <v>1613</v>
      </c>
      <c r="D112" s="1064" t="s">
        <v>1614</v>
      </c>
      <c r="E112" s="1135">
        <v>0.2</v>
      </c>
      <c r="F112" s="1150">
        <v>30</v>
      </c>
    </row>
    <row r="113" spans="1:14" s="1101" customFormat="1" ht="24">
      <c r="A113" s="1150">
        <v>53</v>
      </c>
      <c r="B113" s="3470"/>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70" t="s">
        <v>1623</v>
      </c>
      <c r="C116" s="1150" t="s">
        <v>1624</v>
      </c>
      <c r="D116" s="1064" t="s">
        <v>1625</v>
      </c>
      <c r="E116" s="1135">
        <v>0.2</v>
      </c>
      <c r="F116" s="1150">
        <v>30</v>
      </c>
    </row>
    <row r="117" spans="1:14" ht="36">
      <c r="A117" s="1150">
        <v>57</v>
      </c>
      <c r="B117" s="347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9" t="s">
        <v>1632</v>
      </c>
      <c r="B121" s="3469"/>
      <c r="C121" s="3469"/>
      <c r="D121" s="3469"/>
      <c r="E121" s="3469"/>
      <c r="F121" s="3469"/>
      <c r="G121" s="3469"/>
      <c r="H121" s="3469"/>
      <c r="I121" s="3469"/>
      <c r="J121" s="346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4" t="s">
        <v>1038</v>
      </c>
      <c r="B1" s="3474"/>
      <c r="C1" s="3474"/>
      <c r="D1" s="3474"/>
      <c r="E1" s="3474"/>
      <c r="F1" s="3474"/>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5" t="s">
        <v>1051</v>
      </c>
      <c r="B2" s="3475"/>
      <c r="C2" s="3475"/>
      <c r="D2" s="3475"/>
      <c r="E2" s="3475"/>
      <c r="F2" s="3475"/>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6"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7"/>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78" t="s">
        <v>2077</v>
      </c>
      <c r="B1" s="3478"/>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6" t="s">
        <v>2572</v>
      </c>
      <c r="C1" s="3486"/>
      <c r="D1" s="3486"/>
      <c r="E1" s="3486"/>
      <c r="F1" s="3486"/>
      <c r="G1" s="3485" t="s">
        <v>2573</v>
      </c>
      <c r="H1" s="3485"/>
      <c r="I1" s="3485"/>
      <c r="J1" s="3485"/>
      <c r="K1" s="3485"/>
      <c r="L1" s="3485"/>
      <c r="N1" s="3485" t="s">
        <v>2574</v>
      </c>
      <c r="O1" s="3485"/>
      <c r="P1" s="3485"/>
      <c r="Q1" s="3485"/>
      <c r="R1" s="2619"/>
      <c r="S1" s="3485" t="s">
        <v>2575</v>
      </c>
      <c r="T1" s="3485"/>
      <c r="U1" s="3485"/>
      <c r="V1" s="3485"/>
      <c r="X1" s="3484" t="s">
        <v>2635</v>
      </c>
      <c r="Y1" s="3485"/>
      <c r="Z1" s="3485"/>
      <c r="AA1" s="3485"/>
      <c r="AB1" s="3485"/>
      <c r="AD1" s="3484" t="s">
        <v>2639</v>
      </c>
      <c r="AE1" s="3485"/>
      <c r="AF1" s="3485"/>
      <c r="AG1" s="3485"/>
      <c r="AH1" s="3485"/>
    </row>
    <row r="2" spans="1:34" s="2720" customFormat="1" ht="14.25" thickBot="1">
      <c r="B2" s="2728" t="s">
        <v>2576</v>
      </c>
      <c r="C2" s="2728" t="s">
        <v>2637</v>
      </c>
      <c r="D2" s="2721" t="s">
        <v>1643</v>
      </c>
      <c r="E2" s="2721" t="s">
        <v>1948</v>
      </c>
      <c r="F2" s="2728" t="s">
        <v>2638</v>
      </c>
      <c r="G2" s="2724"/>
      <c r="H2" s="2723"/>
      <c r="I2" s="2728" t="s">
        <v>2952</v>
      </c>
      <c r="J2" s="2721" t="s">
        <v>2954</v>
      </c>
      <c r="K2" s="2721" t="s">
        <v>2955</v>
      </c>
      <c r="L2" s="2728" t="s">
        <v>2956</v>
      </c>
      <c r="N2" s="2728" t="s">
        <v>2576</v>
      </c>
      <c r="O2" s="2721" t="s">
        <v>2953</v>
      </c>
      <c r="P2" s="2721" t="s">
        <v>1948</v>
      </c>
      <c r="Q2" s="2728" t="s">
        <v>2638</v>
      </c>
      <c r="R2" s="2722"/>
      <c r="S2" s="2728" t="s">
        <v>2576</v>
      </c>
      <c r="T2" s="2721" t="s">
        <v>2953</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2965</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2988</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2966</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2989</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2985</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80">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2975</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80"/>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2976</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80"/>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2972</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81"/>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2963</v>
      </c>
      <c r="B11" s="3098">
        <v>439</v>
      </c>
      <c r="C11" s="3098">
        <v>327</v>
      </c>
      <c r="D11" s="3098">
        <f t="shared" si="54"/>
        <v>327</v>
      </c>
      <c r="E11" s="3098">
        <v>627</v>
      </c>
      <c r="F11" s="3099">
        <v>283</v>
      </c>
      <c r="G11" s="3479">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2967</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80"/>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80"/>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81"/>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79">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80"/>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80"/>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83"/>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82">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80"/>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80"/>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83"/>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82">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80"/>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80"/>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83"/>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87">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8"/>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88"/>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89"/>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82">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80"/>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80"/>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83"/>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82">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80">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80">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83">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82">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80">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80">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83">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82">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80">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80">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83">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82">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80">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80">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83">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82">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80">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80">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83">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82">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80">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80">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83">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82">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80">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80">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83">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82">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80">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80">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83">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82">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80">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80">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83">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82">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80">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80">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83">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2945</v>
      </c>
      <c r="B1" s="3058"/>
      <c r="C1" s="3058"/>
      <c r="D1" s="3058"/>
      <c r="E1" s="3058"/>
      <c r="F1" s="3058"/>
    </row>
    <row r="2" spans="1:6" ht="14.25">
      <c r="A2" s="3059" t="s">
        <v>2940</v>
      </c>
      <c r="B2" s="3060" t="e">
        <f ca="1">SUMIF(B7:B14,"&lt;&gt;#ref!",B7:B14)</f>
        <v>#DIV/0!</v>
      </c>
      <c r="C2" s="3059" t="s">
        <v>2941</v>
      </c>
      <c r="D2" s="3058"/>
      <c r="E2" s="3058"/>
      <c r="F2" s="3058"/>
    </row>
    <row r="3" spans="1:6" ht="14.25">
      <c r="A3" s="3059" t="s">
        <v>2973</v>
      </c>
      <c r="B3" s="3060" t="e">
        <f ca="1">ROUND(B2*10000/E3,0)</f>
        <v>#DIV/0!</v>
      </c>
      <c r="C3" s="3059" t="s">
        <v>2076</v>
      </c>
      <c r="D3" s="3059" t="s">
        <v>2942</v>
      </c>
      <c r="E3" s="3060">
        <f ca="1">SUMIF(E7:E14,"&lt;&gt;#ref!",E7:E14)</f>
        <v>0</v>
      </c>
      <c r="F3" s="3058"/>
    </row>
    <row r="4" spans="1:6" ht="14.25">
      <c r="A4" s="3059" t="s">
        <v>2949</v>
      </c>
      <c r="B4" s="3060" t="e">
        <f ca="1">ROUND(B2*10000/E4,0)</f>
        <v>#DIV/0!</v>
      </c>
      <c r="C4" s="3059" t="s">
        <v>2076</v>
      </c>
      <c r="D4" s="3059" t="s">
        <v>2950</v>
      </c>
      <c r="E4" s="3060">
        <f ca="1">SUMIF(F7:F14,"&lt;&gt;#ref!",F7:F14)</f>
        <v>0</v>
      </c>
      <c r="F4" s="3058"/>
    </row>
    <row r="5" spans="1:6" ht="14.25">
      <c r="A5" s="3061"/>
      <c r="B5" s="1867"/>
      <c r="C5" s="1867"/>
      <c r="D5" s="1867"/>
      <c r="E5" s="1867"/>
      <c r="F5" s="3058"/>
    </row>
    <row r="6" spans="1:6" ht="28.5">
      <c r="A6" s="3062" t="s">
        <v>2946</v>
      </c>
      <c r="B6" s="3059" t="s">
        <v>2943</v>
      </c>
      <c r="C6" s="3060"/>
      <c r="D6" s="1867"/>
      <c r="E6" s="3059" t="s">
        <v>2944</v>
      </c>
      <c r="F6" s="3059" t="s">
        <v>2948</v>
      </c>
    </row>
    <row r="7" spans="1:6" ht="14.25">
      <c r="A7" s="260" t="s">
        <v>2947</v>
      </c>
      <c r="B7" s="3063" t="e">
        <f ca="1">SUMIF(INDIRECT("'"&amp;A7&amp;"'"&amp;"!A:A"),"总价",INDIRECT("'"&amp;A7&amp;"'"&amp;"!B:B"))</f>
        <v>#DIV/0!</v>
      </c>
      <c r="C7" s="3059" t="s">
        <v>2941</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2941</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2941</v>
      </c>
      <c r="D9" s="1867"/>
      <c r="E9" s="3064" t="e">
        <f t="shared" ca="1" si="1"/>
        <v>#REF!</v>
      </c>
      <c r="F9" s="3064" t="e">
        <f t="shared" ca="1" si="2"/>
        <v>#REF!</v>
      </c>
    </row>
    <row r="10" spans="1:6" ht="14.25">
      <c r="A10" s="260"/>
      <c r="B10" s="3063" t="e">
        <f t="shared" ca="1" si="0"/>
        <v>#REF!</v>
      </c>
      <c r="C10" s="3059" t="s">
        <v>2941</v>
      </c>
      <c r="D10" s="1867"/>
      <c r="E10" s="3064" t="e">
        <f t="shared" ca="1" si="1"/>
        <v>#REF!</v>
      </c>
      <c r="F10" s="3064" t="e">
        <f t="shared" ca="1" si="2"/>
        <v>#REF!</v>
      </c>
    </row>
    <row r="11" spans="1:6" ht="14.25">
      <c r="A11" s="260"/>
      <c r="B11" s="3063" t="e">
        <f t="shared" ca="1" si="0"/>
        <v>#REF!</v>
      </c>
      <c r="C11" s="3059" t="s">
        <v>2941</v>
      </c>
      <c r="D11" s="1867"/>
      <c r="E11" s="3064" t="e">
        <f t="shared" ca="1" si="1"/>
        <v>#REF!</v>
      </c>
      <c r="F11" s="3064" t="e">
        <f t="shared" ca="1" si="2"/>
        <v>#REF!</v>
      </c>
    </row>
    <row r="12" spans="1:6" ht="14.25">
      <c r="A12" s="260"/>
      <c r="B12" s="3063" t="e">
        <f t="shared" ca="1" si="0"/>
        <v>#REF!</v>
      </c>
      <c r="C12" s="3059" t="s">
        <v>2941</v>
      </c>
      <c r="D12" s="1867"/>
      <c r="E12" s="3064" t="e">
        <f t="shared" ca="1" si="1"/>
        <v>#REF!</v>
      </c>
      <c r="F12" s="3064" t="e">
        <f t="shared" ca="1" si="2"/>
        <v>#REF!</v>
      </c>
    </row>
    <row r="13" spans="1:6" ht="14.25">
      <c r="A13" s="260"/>
      <c r="B13" s="3063" t="e">
        <f t="shared" ca="1" si="0"/>
        <v>#REF!</v>
      </c>
      <c r="C13" s="3059" t="s">
        <v>2941</v>
      </c>
      <c r="D13" s="1867"/>
      <c r="E13" s="3064" t="e">
        <f t="shared" ca="1" si="1"/>
        <v>#REF!</v>
      </c>
      <c r="F13" s="3064" t="e">
        <f t="shared" ca="1" si="2"/>
        <v>#REF!</v>
      </c>
    </row>
    <row r="14" spans="1:6" ht="14.25">
      <c r="A14" s="3057"/>
      <c r="B14" s="3063" t="e">
        <f t="shared" ca="1" si="0"/>
        <v>#REF!</v>
      </c>
      <c r="C14" s="3059" t="s">
        <v>2941</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2937</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91" t="s">
        <v>2459</v>
      </c>
      <c r="C8" s="1811">
        <f ca="1">ROUND(F8*F10*F9*(1-F11)/10000,0)</f>
        <v>0</v>
      </c>
      <c r="D8" s="1808" t="s">
        <v>2530</v>
      </c>
      <c r="E8" s="61" t="s">
        <v>637</v>
      </c>
      <c r="F8" s="785">
        <f ca="1">INDIRECT("'数据-取费表'!u"&amp;$G$1)</f>
        <v>0</v>
      </c>
      <c r="G8" s="1579"/>
      <c r="H8" s="2469" t="s">
        <v>1823</v>
      </c>
      <c r="I8" s="3491" t="s">
        <v>2459</v>
      </c>
      <c r="J8" s="783">
        <f ca="1">ROUND(M8*M10*M9*(1-M11)/10000,0)</f>
        <v>0</v>
      </c>
      <c r="K8" s="341" t="s">
        <v>2530</v>
      </c>
      <c r="L8" s="784" t="s">
        <v>1737</v>
      </c>
      <c r="M8" s="785">
        <f ca="1">INDIRECT("'数据-取费表'!z"&amp;$G$1)</f>
        <v>0</v>
      </c>
    </row>
    <row r="9" spans="1:25" ht="18" customHeight="1">
      <c r="A9" s="2465"/>
      <c r="B9" s="3492"/>
      <c r="C9" s="1812"/>
      <c r="D9" s="1809"/>
      <c r="E9" s="61" t="s">
        <v>638</v>
      </c>
      <c r="F9" s="785">
        <f ca="1">IF(INDIRECT("'数据-取费表'!ah"&amp;$G$1)="",INDIRECT("'数据-取费表'!k"&amp;$G$1),INDIRECT("'数据-取费表'!ah"&amp;$G$1))</f>
        <v>0</v>
      </c>
      <c r="G9" s="1579"/>
      <c r="H9" s="2454"/>
      <c r="I9" s="3492"/>
      <c r="J9" s="788"/>
      <c r="K9" s="789"/>
      <c r="L9" s="784" t="s">
        <v>1738</v>
      </c>
      <c r="M9" s="785">
        <f ca="1">F9</f>
        <v>0</v>
      </c>
    </row>
    <row r="10" spans="1:25" ht="18" customHeight="1">
      <c r="A10" s="2458"/>
      <c r="B10" s="3493"/>
      <c r="C10" s="1812"/>
      <c r="D10" s="1809"/>
      <c r="E10" s="61" t="s">
        <v>639</v>
      </c>
      <c r="F10" s="785">
        <f ca="1">INDIRECT("'数据-取费表'!ai"&amp;$G$1)</f>
        <v>0</v>
      </c>
      <c r="G10" s="1579"/>
      <c r="H10" s="2454"/>
      <c r="I10" s="3493"/>
      <c r="J10" s="788"/>
      <c r="K10" s="789"/>
      <c r="L10" s="784" t="s">
        <v>1739</v>
      </c>
      <c r="M10" s="785">
        <f ca="1">INDIRECT("'数据-取费表'!ai"&amp;$G$1)</f>
        <v>0</v>
      </c>
    </row>
    <row r="11" spans="1:25" ht="18" customHeight="1">
      <c r="A11" s="786"/>
      <c r="B11" s="3494"/>
      <c r="C11" s="1812"/>
      <c r="D11" s="1809"/>
      <c r="E11" s="61" t="s">
        <v>640</v>
      </c>
      <c r="F11" s="794">
        <f ca="1">INDIRECT("'数据-取费表'!w"&amp;$G$1)</f>
        <v>0</v>
      </c>
      <c r="G11" s="1579"/>
      <c r="H11" s="2470"/>
      <c r="I11" s="3493"/>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2970</v>
      </c>
      <c r="E12" s="2463" t="s">
        <v>2460</v>
      </c>
      <c r="F12" s="2586"/>
      <c r="G12" s="1579"/>
      <c r="H12" s="2526" t="s">
        <v>1824</v>
      </c>
      <c r="I12" s="2531" t="s">
        <v>2455</v>
      </c>
      <c r="J12" s="783">
        <f ca="1">ROUND(IF(M12="押一",J8/12*M13,IF(M12="押二",J8/12*2*M13,IF(M12="押三",J8/12*3*M13,J13*M13))),0)</f>
        <v>0</v>
      </c>
      <c r="K12" s="2466" t="s">
        <v>2970</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90"/>
      <c r="J36" s="2065"/>
      <c r="K36" s="2066"/>
      <c r="L36" s="2065"/>
      <c r="M36" s="2065"/>
    </row>
    <row r="37" spans="1:18" ht="18" customHeight="1">
      <c r="A37" s="815"/>
      <c r="B37" s="793"/>
      <c r="C37" s="69"/>
      <c r="D37" s="816"/>
      <c r="E37" s="784" t="s">
        <v>674</v>
      </c>
      <c r="F37" s="785">
        <f ca="1">INDIRECT("'数据-取费表'!r"&amp;$G$1)</f>
        <v>0</v>
      </c>
      <c r="G37" s="2048"/>
      <c r="H37" s="2051"/>
      <c r="I37" s="3490"/>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2958</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2961</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2974</v>
      </c>
      <c r="J54" s="3106">
        <f ca="1">IF(M48="住宅",MAX(J52,L49-'数据-取费表'!B20),MIN(J52,L49-'数据-取费表'!B20))</f>
        <v>-1</v>
      </c>
      <c r="K54" s="3495"/>
      <c r="L54" s="3496"/>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2938</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3003</v>
      </c>
      <c r="D1" s="3078" t="s">
        <v>3023</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91" t="s">
        <v>2459</v>
      </c>
      <c r="C6" s="783">
        <f ca="1">ROUND(F6*F8*F7*(1-F9)/10000,0)</f>
        <v>3365</v>
      </c>
      <c r="D6" s="2462" t="s">
        <v>2458</v>
      </c>
      <c r="E6" s="784" t="s">
        <v>1737</v>
      </c>
      <c r="F6" s="785">
        <f ca="1">INDIRECT("'数据-取费表'!u"&amp;$G$1)</f>
        <v>1.68</v>
      </c>
      <c r="G6" s="1579"/>
      <c r="H6" s="2469" t="s">
        <v>2464</v>
      </c>
      <c r="I6" s="3491" t="s">
        <v>2459</v>
      </c>
      <c r="J6" s="783">
        <f ca="1">ROUND(M6*M8*M7*(1-M9)/10000,0)</f>
        <v>0</v>
      </c>
      <c r="K6" s="341" t="s">
        <v>1736</v>
      </c>
      <c r="L6" s="784" t="s">
        <v>1737</v>
      </c>
      <c r="M6" s="785">
        <f ca="1">INDIRECT("'数据-取费表'!z"&amp;$G$1)</f>
        <v>0</v>
      </c>
    </row>
    <row r="7" spans="1:33" ht="18" customHeight="1">
      <c r="A7" s="2465"/>
      <c r="B7" s="3492"/>
      <c r="C7" s="788"/>
      <c r="D7" s="789"/>
      <c r="E7" s="784" t="s">
        <v>1738</v>
      </c>
      <c r="F7" s="785">
        <f ca="1">IF(INDIRECT("'数据-取费表'!ah"&amp;$G$1)="",INDIRECT("'数据-取费表'!k"&amp;$G$1),INDIRECT("'数据-取费表'!ah"&amp;$G$1))</f>
        <v>60978</v>
      </c>
      <c r="G7" s="1579"/>
      <c r="H7" s="2454"/>
      <c r="I7" s="3492"/>
      <c r="J7" s="788"/>
      <c r="K7" s="789"/>
      <c r="L7" s="784" t="s">
        <v>1738</v>
      </c>
      <c r="M7" s="785">
        <f ca="1">F7</f>
        <v>60978</v>
      </c>
    </row>
    <row r="8" spans="1:33" ht="18" customHeight="1">
      <c r="A8" s="2458"/>
      <c r="B8" s="3493"/>
      <c r="C8" s="788"/>
      <c r="D8" s="789"/>
      <c r="E8" s="784" t="s">
        <v>1739</v>
      </c>
      <c r="F8" s="785">
        <f ca="1">INDIRECT("'数据-取费表'!ai"&amp;$G$1)</f>
        <v>365</v>
      </c>
      <c r="G8" s="1579"/>
      <c r="H8" s="2454"/>
      <c r="I8" s="3493"/>
      <c r="J8" s="788"/>
      <c r="K8" s="789"/>
      <c r="L8" s="784" t="s">
        <v>1739</v>
      </c>
      <c r="M8" s="785">
        <f ca="1">INDIRECT("'数据-取费表'!ai"&amp;$G$1)</f>
        <v>365</v>
      </c>
    </row>
    <row r="9" spans="1:33" ht="18" customHeight="1">
      <c r="A9" s="786"/>
      <c r="B9" s="3494"/>
      <c r="C9" s="788"/>
      <c r="D9" s="789"/>
      <c r="E9" s="784" t="s">
        <v>1740</v>
      </c>
      <c r="F9" s="794">
        <f ca="1">INDIRECT("'数据-取费表'!w"&amp;$G$1)</f>
        <v>0.1</v>
      </c>
      <c r="G9" s="1579"/>
      <c r="H9" s="2470"/>
      <c r="I9" s="3493"/>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2970</v>
      </c>
      <c r="E10" s="2463" t="s">
        <v>2460</v>
      </c>
      <c r="F10" s="2586" t="s">
        <v>3024</v>
      </c>
      <c r="G10" s="1579"/>
      <c r="H10" s="2526" t="s">
        <v>2465</v>
      </c>
      <c r="I10" s="2531" t="s">
        <v>2455</v>
      </c>
      <c r="J10" s="783">
        <f ca="1">ROUND(IF(M10="押一",J6/12*M11,IF(M10="押二",J6/12*2*M11,IF(M10="押三",J6/12*3*M11,J11*M11))),0)</f>
        <v>0</v>
      </c>
      <c r="K10" s="2466" t="s">
        <v>2970</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3025</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2960</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3026</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2971</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2974</v>
      </c>
      <c r="J53" s="3106">
        <f ca="1">IF(M47="住宅",IF(D1="——",MAX(J51,L48),MAX(J51,L48-'数据-取费表'!B20)),IF(D1="——",MIN(J51,L48),MIN(J51,L48-'数据-取费表'!B20)))</f>
        <v>33.14</v>
      </c>
      <c r="K53" s="3497" t="s">
        <v>2962</v>
      </c>
      <c r="L53" s="3498"/>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2938</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9" t="s">
        <v>2467</v>
      </c>
      <c r="B1" s="3500"/>
      <c r="C1" s="3501"/>
      <c r="D1" s="3502">
        <f>SUM(I10,I15,I20,I21,I23)</f>
        <v>0</v>
      </c>
      <c r="E1" s="3502"/>
      <c r="F1" s="3502"/>
      <c r="G1" s="3502"/>
      <c r="H1" s="3502"/>
      <c r="I1" s="3503"/>
    </row>
    <row r="2" spans="1:9">
      <c r="A2" s="3504" t="s">
        <v>2468</v>
      </c>
      <c r="B2" s="3505" t="s">
        <v>2469</v>
      </c>
      <c r="C2" s="3505"/>
      <c r="D2" s="2472" t="s">
        <v>2470</v>
      </c>
      <c r="E2" s="2472" t="s">
        <v>2471</v>
      </c>
      <c r="F2" s="2472" t="s">
        <v>2472</v>
      </c>
      <c r="G2" s="2472" t="s">
        <v>2473</v>
      </c>
      <c r="H2" s="2472" t="s">
        <v>2474</v>
      </c>
      <c r="I2" s="2473" t="s">
        <v>2475</v>
      </c>
    </row>
    <row r="3" spans="1:9">
      <c r="A3" s="3504"/>
      <c r="B3" s="3505" t="s">
        <v>2476</v>
      </c>
      <c r="C3" s="3505"/>
      <c r="D3" s="2474"/>
      <c r="E3" s="2472"/>
      <c r="F3" s="2475"/>
      <c r="G3" s="2475"/>
      <c r="H3" s="2476"/>
      <c r="I3" s="2477">
        <f>ROUND(D3*E3*F3*G3*H3/10000,0)</f>
        <v>0</v>
      </c>
    </row>
    <row r="4" spans="1:9">
      <c r="A4" s="3504"/>
      <c r="B4" s="3505" t="s">
        <v>2477</v>
      </c>
      <c r="C4" s="3505"/>
      <c r="D4" s="2474"/>
      <c r="E4" s="2472"/>
      <c r="F4" s="2475"/>
      <c r="G4" s="2475"/>
      <c r="H4" s="2476"/>
      <c r="I4" s="2477">
        <f t="shared" ref="I4:I9" si="0">ROUND(D4*E4*F4*G4*H4/10000,0)</f>
        <v>0</v>
      </c>
    </row>
    <row r="5" spans="1:9">
      <c r="A5" s="3504"/>
      <c r="B5" s="3505" t="s">
        <v>2478</v>
      </c>
      <c r="C5" s="3505"/>
      <c r="D5" s="2474"/>
      <c r="E5" s="2472"/>
      <c r="F5" s="2475"/>
      <c r="G5" s="2475"/>
      <c r="H5" s="2476"/>
      <c r="I5" s="2477">
        <f t="shared" si="0"/>
        <v>0</v>
      </c>
    </row>
    <row r="6" spans="1:9">
      <c r="A6" s="3504"/>
      <c r="B6" s="3505" t="s">
        <v>2479</v>
      </c>
      <c r="C6" s="3505"/>
      <c r="D6" s="2474"/>
      <c r="E6" s="2472"/>
      <c r="F6" s="2475"/>
      <c r="G6" s="2475"/>
      <c r="H6" s="2476"/>
      <c r="I6" s="2477">
        <f t="shared" si="0"/>
        <v>0</v>
      </c>
    </row>
    <row r="7" spans="1:9">
      <c r="A7" s="3504"/>
      <c r="B7" s="3505" t="s">
        <v>2480</v>
      </c>
      <c r="C7" s="3505"/>
      <c r="D7" s="2474"/>
      <c r="E7" s="2472"/>
      <c r="F7" s="2475"/>
      <c r="G7" s="2475"/>
      <c r="H7" s="2476"/>
      <c r="I7" s="2477">
        <f t="shared" si="0"/>
        <v>0</v>
      </c>
    </row>
    <row r="8" spans="1:9">
      <c r="A8" s="3504"/>
      <c r="B8" s="3505" t="s">
        <v>2481</v>
      </c>
      <c r="C8" s="3505"/>
      <c r="D8" s="2474"/>
      <c r="E8" s="2472"/>
      <c r="F8" s="2475"/>
      <c r="G8" s="2475"/>
      <c r="H8" s="2476"/>
      <c r="I8" s="2477">
        <f t="shared" si="0"/>
        <v>0</v>
      </c>
    </row>
    <row r="9" spans="1:9">
      <c r="A9" s="3504"/>
      <c r="B9" s="3505" t="s">
        <v>2482</v>
      </c>
      <c r="C9" s="3505"/>
      <c r="D9" s="2474"/>
      <c r="E9" s="2472"/>
      <c r="F9" s="2475"/>
      <c r="G9" s="2475"/>
      <c r="H9" s="2476"/>
      <c r="I9" s="2477">
        <f t="shared" si="0"/>
        <v>0</v>
      </c>
    </row>
    <row r="10" spans="1:9">
      <c r="A10" s="3504"/>
      <c r="B10" s="3506" t="s">
        <v>2483</v>
      </c>
      <c r="C10" s="3506"/>
      <c r="D10" s="2478">
        <v>527</v>
      </c>
      <c r="E10" s="2478" t="e">
        <f>ROUND(D1*10000/D10/H9,0)</f>
        <v>#DIV/0!</v>
      </c>
      <c r="F10" s="2479"/>
      <c r="G10" s="2479"/>
      <c r="H10" s="2480"/>
      <c r="I10" s="2481">
        <f>SUM(I3:I9)</f>
        <v>0</v>
      </c>
    </row>
    <row r="11" spans="1:9" ht="14.25">
      <c r="A11" s="3504" t="s">
        <v>2484</v>
      </c>
      <c r="B11" s="3505" t="s">
        <v>2485</v>
      </c>
      <c r="C11" s="3505"/>
      <c r="D11" s="2474" t="s">
        <v>2486</v>
      </c>
      <c r="E11" s="2474" t="s">
        <v>2487</v>
      </c>
      <c r="F11" s="2475" t="s">
        <v>2488</v>
      </c>
      <c r="G11" s="2475" t="s">
        <v>2489</v>
      </c>
      <c r="H11" s="2482" t="s">
        <v>2490</v>
      </c>
      <c r="I11" s="2473" t="s">
        <v>2491</v>
      </c>
    </row>
    <row r="12" spans="1:9">
      <c r="A12" s="3504"/>
      <c r="B12" s="3505" t="s">
        <v>2492</v>
      </c>
      <c r="C12" s="3505"/>
      <c r="D12" s="2474"/>
      <c r="E12" s="2474"/>
      <c r="F12" s="2475"/>
      <c r="G12" s="2476"/>
      <c r="H12" s="2483"/>
      <c r="I12" s="2473">
        <f>ROUND(D12*E12*F12*G12/10000,0)</f>
        <v>0</v>
      </c>
    </row>
    <row r="13" spans="1:9">
      <c r="A13" s="3504"/>
      <c r="B13" s="3505" t="s">
        <v>2493</v>
      </c>
      <c r="C13" s="3505"/>
      <c r="D13" s="2474"/>
      <c r="E13" s="2474"/>
      <c r="F13" s="2475"/>
      <c r="G13" s="2476"/>
      <c r="H13" s="2483"/>
      <c r="I13" s="2473">
        <f>ROUND(D13*E13*F13*G13/10000,0)</f>
        <v>0</v>
      </c>
    </row>
    <row r="14" spans="1:9">
      <c r="A14" s="3504"/>
      <c r="B14" s="3505" t="s">
        <v>2494</v>
      </c>
      <c r="C14" s="3505"/>
      <c r="D14" s="2474"/>
      <c r="E14" s="2474"/>
      <c r="F14" s="2475"/>
      <c r="G14" s="2476"/>
      <c r="H14" s="2483"/>
      <c r="I14" s="2473">
        <f>ROUND(D14*E14*F14*G14/10000,0)</f>
        <v>0</v>
      </c>
    </row>
    <row r="15" spans="1:9">
      <c r="A15" s="3504"/>
      <c r="B15" s="3506" t="s">
        <v>2483</v>
      </c>
      <c r="C15" s="3506"/>
      <c r="D15" s="2478"/>
      <c r="E15" s="2478">
        <f>SUM(E12:E14)</f>
        <v>0</v>
      </c>
      <c r="F15" s="2479"/>
      <c r="G15" s="2476"/>
      <c r="H15" s="2483"/>
      <c r="I15" s="2484">
        <f>SUM(I12:I14)</f>
        <v>0</v>
      </c>
    </row>
    <row r="16" spans="1:9" ht="24">
      <c r="A16" s="3504" t="s">
        <v>2495</v>
      </c>
      <c r="B16" s="3505" t="s">
        <v>2496</v>
      </c>
      <c r="C16" s="3505"/>
      <c r="D16" s="2474" t="s">
        <v>2497</v>
      </c>
      <c r="E16" s="2485" t="s">
        <v>2498</v>
      </c>
      <c r="F16" s="2475" t="s">
        <v>2499</v>
      </c>
      <c r="G16" s="2476" t="s">
        <v>2489</v>
      </c>
      <c r="H16" s="2482" t="s">
        <v>2490</v>
      </c>
      <c r="I16" s="2473" t="s">
        <v>2491</v>
      </c>
    </row>
    <row r="17" spans="1:9" ht="14.25">
      <c r="A17" s="3504"/>
      <c r="B17" s="3505" t="s">
        <v>2500</v>
      </c>
      <c r="C17" s="3505"/>
      <c r="D17" s="2474"/>
      <c r="E17" s="2474"/>
      <c r="F17" s="2475"/>
      <c r="G17" s="2476"/>
      <c r="H17" s="2486"/>
      <c r="I17" s="2487">
        <f>ROUND(D17*E17*F17*G17/10000,0)</f>
        <v>0</v>
      </c>
    </row>
    <row r="18" spans="1:9" ht="14.25">
      <c r="A18" s="3504"/>
      <c r="B18" s="3505" t="s">
        <v>2501</v>
      </c>
      <c r="C18" s="3505"/>
      <c r="D18" s="2474"/>
      <c r="E18" s="2474"/>
      <c r="F18" s="2475"/>
      <c r="G18" s="2476"/>
      <c r="H18" s="2486"/>
      <c r="I18" s="2487">
        <f>ROUND(D18*E18*F18*G18/10000,0)</f>
        <v>0</v>
      </c>
    </row>
    <row r="19" spans="1:9" ht="14.25">
      <c r="A19" s="3504"/>
      <c r="B19" s="3505" t="s">
        <v>2502</v>
      </c>
      <c r="C19" s="3505"/>
      <c r="D19" s="2474"/>
      <c r="E19" s="2474"/>
      <c r="F19" s="2475"/>
      <c r="G19" s="2476"/>
      <c r="H19" s="2486"/>
      <c r="I19" s="2487">
        <f>ROUND(D19*E19*F19*G19/10000,0)</f>
        <v>0</v>
      </c>
    </row>
    <row r="20" spans="1:9">
      <c r="A20" s="3504"/>
      <c r="B20" s="3506" t="s">
        <v>2483</v>
      </c>
      <c r="C20" s="3506"/>
      <c r="D20" s="2478">
        <f>SUM(D17:D19)</f>
        <v>0</v>
      </c>
      <c r="E20" s="2478"/>
      <c r="F20" s="2479"/>
      <c r="G20" s="2476"/>
      <c r="H20" s="2483"/>
      <c r="I20" s="2484">
        <f>SUM(I17:I19)</f>
        <v>0</v>
      </c>
    </row>
    <row r="21" spans="1:9">
      <c r="A21" s="3504" t="s">
        <v>2503</v>
      </c>
      <c r="B21" s="3508"/>
      <c r="C21" s="3508"/>
      <c r="D21" s="3508"/>
      <c r="E21" s="3508"/>
      <c r="F21" s="3508"/>
      <c r="G21" s="3508"/>
      <c r="H21" s="2488">
        <v>0.1</v>
      </c>
      <c r="I21" s="2481">
        <f>ROUND(I10*H21,0)</f>
        <v>0</v>
      </c>
    </row>
    <row r="22" spans="1:9" ht="14.25">
      <c r="A22" s="3509" t="s">
        <v>2504</v>
      </c>
      <c r="B22" s="3510"/>
      <c r="C22" s="3511"/>
      <c r="D22" s="2489" t="s">
        <v>2505</v>
      </c>
      <c r="E22" s="2489" t="s">
        <v>2506</v>
      </c>
      <c r="F22" s="2490" t="s">
        <v>2507</v>
      </c>
      <c r="G22" s="2490" t="s">
        <v>2508</v>
      </c>
      <c r="H22" s="2482" t="s">
        <v>2509</v>
      </c>
      <c r="I22" s="2473" t="s">
        <v>2510</v>
      </c>
    </row>
    <row r="23" spans="1:9" ht="14.25" thickBot="1">
      <c r="A23" s="3512"/>
      <c r="B23" s="3513"/>
      <c r="C23" s="3514"/>
      <c r="D23" s="2491"/>
      <c r="E23" s="2491"/>
      <c r="F23" s="2491"/>
      <c r="G23" s="2492"/>
      <c r="H23" s="2493"/>
      <c r="I23" s="2494">
        <f>ROUND(E23*D23*F23*(1-G23)/10000,0)</f>
        <v>0</v>
      </c>
    </row>
    <row r="26" spans="1:9">
      <c r="A26" s="2495" t="s">
        <v>2511</v>
      </c>
      <c r="B26" s="2495"/>
      <c r="C26" s="2495"/>
      <c r="D26" s="2495"/>
      <c r="E26" s="3515">
        <f>C27-C30-C31-C32</f>
        <v>0</v>
      </c>
      <c r="F26" s="3515"/>
      <c r="G26" s="3515"/>
      <c r="H26" s="2996" t="s">
        <v>2839</v>
      </c>
    </row>
    <row r="27" spans="1:9">
      <c r="A27" s="2496">
        <v>1</v>
      </c>
      <c r="B27" s="2497" t="s">
        <v>2512</v>
      </c>
      <c r="C27" s="2497"/>
      <c r="D27" s="2497"/>
      <c r="E27" s="3516"/>
      <c r="F27" s="3516"/>
      <c r="G27" s="3516"/>
    </row>
    <row r="28" spans="1:9">
      <c r="A28" s="2498" t="s">
        <v>2513</v>
      </c>
      <c r="B28" s="2497" t="s">
        <v>2514</v>
      </c>
      <c r="C28" s="2497"/>
      <c r="D28" s="2497"/>
      <c r="E28" s="3516"/>
      <c r="F28" s="3516"/>
      <c r="G28" s="3516"/>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507"/>
      <c r="F32" s="3507"/>
      <c r="G32" s="3507"/>
    </row>
    <row r="33" spans="1:7" hidden="1">
      <c r="A33" s="3517" t="s">
        <v>2522</v>
      </c>
      <c r="B33" s="3518"/>
      <c r="C33" s="3518"/>
      <c r="D33" s="3519"/>
      <c r="E33" s="3515"/>
      <c r="F33" s="3515"/>
      <c r="G33" s="3515"/>
    </row>
    <row r="34" spans="1:7" hidden="1">
      <c r="A34" s="2500">
        <v>1</v>
      </c>
      <c r="B34" s="2497" t="s">
        <v>2523</v>
      </c>
      <c r="C34" s="2497"/>
      <c r="D34" s="2497"/>
      <c r="E34" s="3516"/>
      <c r="F34" s="3516"/>
      <c r="G34" s="3516"/>
    </row>
    <row r="35" spans="1:7" hidden="1">
      <c r="A35" s="2500">
        <v>2</v>
      </c>
      <c r="B35" s="2497" t="s">
        <v>2524</v>
      </c>
      <c r="C35" s="2497"/>
      <c r="D35" s="2497"/>
      <c r="E35" s="3516"/>
      <c r="F35" s="3516"/>
      <c r="G35" s="3516"/>
    </row>
    <row r="36" spans="1:7" hidden="1">
      <c r="A36" s="2500">
        <v>3</v>
      </c>
      <c r="B36" s="2497" t="s">
        <v>2525</v>
      </c>
      <c r="C36" s="2497"/>
      <c r="D36" s="2497"/>
      <c r="E36" s="3516"/>
      <c r="F36" s="3516"/>
      <c r="G36" s="3516"/>
    </row>
    <row r="37" spans="1:7" hidden="1">
      <c r="A37" s="2500">
        <v>4</v>
      </c>
      <c r="B37" s="2497" t="s">
        <v>2526</v>
      </c>
      <c r="C37" s="2497"/>
      <c r="D37" s="2497"/>
      <c r="E37" s="3516"/>
      <c r="F37" s="3516"/>
      <c r="G37" s="3516"/>
    </row>
    <row r="38" spans="1:7" hidden="1">
      <c r="A38" s="3517" t="s">
        <v>2527</v>
      </c>
      <c r="B38" s="3518"/>
      <c r="C38" s="3518"/>
      <c r="D38" s="3519"/>
      <c r="E38" s="3515"/>
      <c r="F38" s="3515"/>
      <c r="G38" s="35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27" t="s">
        <v>522</v>
      </c>
      <c r="D4" s="3428"/>
      <c r="E4" s="3444" t="s">
        <v>523</v>
      </c>
      <c r="F4" s="3445"/>
      <c r="G4" s="3427" t="s">
        <v>524</v>
      </c>
      <c r="H4" s="3428"/>
      <c r="I4" s="3427" t="s">
        <v>525</v>
      </c>
      <c r="J4" s="3428"/>
      <c r="K4" s="853" t="s">
        <v>526</v>
      </c>
      <c r="L4" s="2119"/>
      <c r="M4" s="2120"/>
      <c r="N4" s="2120"/>
      <c r="O4" s="2120"/>
      <c r="P4" s="3429" t="s">
        <v>527</v>
      </c>
      <c r="Q4" s="3430"/>
      <c r="R4" s="3417" t="s">
        <v>523</v>
      </c>
      <c r="S4" s="3418"/>
      <c r="T4" s="3417" t="s">
        <v>524</v>
      </c>
      <c r="U4" s="3418"/>
      <c r="V4" s="3414" t="s">
        <v>525</v>
      </c>
      <c r="W4" s="3414"/>
      <c r="X4" s="1554"/>
      <c r="Y4" s="3417" t="s">
        <v>527</v>
      </c>
      <c r="Z4" s="3418"/>
      <c r="AA4" s="3423" t="s">
        <v>523</v>
      </c>
      <c r="AB4" s="3423" t="s">
        <v>524</v>
      </c>
      <c r="AC4" s="3423" t="s">
        <v>525</v>
      </c>
    </row>
    <row r="5" spans="1:29" ht="15">
      <c r="A5" s="515"/>
      <c r="B5" s="516"/>
      <c r="C5" s="3435" t="s">
        <v>2925</v>
      </c>
      <c r="D5" s="3436"/>
      <c r="E5" s="3525" t="s">
        <v>2992</v>
      </c>
      <c r="F5" s="3447"/>
      <c r="G5" s="3437" t="s">
        <v>2993</v>
      </c>
      <c r="H5" s="3436"/>
      <c r="I5" s="3437" t="s">
        <v>2994</v>
      </c>
      <c r="J5" s="3436"/>
      <c r="K5" s="854"/>
      <c r="L5" s="2119"/>
      <c r="M5" s="2120"/>
      <c r="N5" s="2120"/>
      <c r="O5" s="2120"/>
      <c r="P5" s="3431"/>
      <c r="Q5" s="3432"/>
      <c r="R5" s="3419"/>
      <c r="S5" s="3420"/>
      <c r="T5" s="3419"/>
      <c r="U5" s="3420"/>
      <c r="V5" s="3414"/>
      <c r="W5" s="3414"/>
      <c r="X5" s="1554"/>
      <c r="Y5" s="3419"/>
      <c r="Z5" s="3420"/>
      <c r="AA5" s="3424"/>
      <c r="AB5" s="3424"/>
      <c r="AC5" s="3424"/>
    </row>
    <row r="6" spans="1:29" ht="15.75" thickBot="1">
      <c r="A6" s="517"/>
      <c r="B6" s="518"/>
      <c r="C6" s="3440" t="s">
        <v>2929</v>
      </c>
      <c r="D6" s="3441"/>
      <c r="E6" s="3524" t="s">
        <v>2990</v>
      </c>
      <c r="F6" s="3443"/>
      <c r="G6" s="3523" t="s">
        <v>2991</v>
      </c>
      <c r="H6" s="3441"/>
      <c r="I6" s="3523" t="s">
        <v>2995</v>
      </c>
      <c r="J6" s="3441"/>
      <c r="K6" s="854" t="s">
        <v>528</v>
      </c>
      <c r="L6" s="2119"/>
      <c r="M6" s="2120"/>
      <c r="N6" s="2120"/>
      <c r="O6" s="2120"/>
      <c r="P6" s="3433"/>
      <c r="Q6" s="3434"/>
      <c r="R6" s="3419"/>
      <c r="S6" s="3420"/>
      <c r="T6" s="3421"/>
      <c r="U6" s="3422"/>
      <c r="V6" s="3414"/>
      <c r="W6" s="3414"/>
      <c r="X6" s="1554"/>
      <c r="Y6" s="3421"/>
      <c r="Z6" s="3422"/>
      <c r="AA6" s="3425"/>
      <c r="AB6" s="3425"/>
      <c r="AC6" s="3425"/>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15" t="s">
        <v>530</v>
      </c>
      <c r="Q7" s="3426"/>
      <c r="R7" s="1555" t="s">
        <v>13</v>
      </c>
      <c r="S7" s="1556">
        <f t="shared" ref="S7:S15" si="0">F7</f>
        <v>0</v>
      </c>
      <c r="T7" s="1555" t="s">
        <v>13</v>
      </c>
      <c r="U7" s="1556">
        <f t="shared" ref="U7:U15" si="1">H7</f>
        <v>0</v>
      </c>
      <c r="V7" s="1555" t="s">
        <v>13</v>
      </c>
      <c r="W7" s="1556">
        <f t="shared" ref="W7:W15" si="2">J7</f>
        <v>0</v>
      </c>
      <c r="X7" s="1557"/>
      <c r="Y7" s="3415" t="s">
        <v>530</v>
      </c>
      <c r="Z7" s="3416"/>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2996</v>
      </c>
      <c r="J8" s="520">
        <f>SUMIF(61:61,I8,62:62)-SUMIF(61:61,C8,62:62)+100</f>
        <v>100</v>
      </c>
      <c r="K8" s="855"/>
      <c r="L8" s="2121"/>
      <c r="M8" s="2122"/>
      <c r="N8" s="2122"/>
      <c r="O8" s="2122"/>
      <c r="P8" s="3415" t="s">
        <v>533</v>
      </c>
      <c r="Q8" s="3416"/>
      <c r="R8" s="1555" t="s">
        <v>13</v>
      </c>
      <c r="S8" s="1556">
        <f t="shared" si="0"/>
        <v>0</v>
      </c>
      <c r="T8" s="1555" t="s">
        <v>13</v>
      </c>
      <c r="U8" s="1556">
        <f t="shared" si="1"/>
        <v>0</v>
      </c>
      <c r="V8" s="1555" t="s">
        <v>13</v>
      </c>
      <c r="W8" s="1556">
        <f t="shared" si="2"/>
        <v>100</v>
      </c>
      <c r="X8" s="1557"/>
      <c r="Y8" s="3415" t="s">
        <v>533</v>
      </c>
      <c r="Z8" s="3416"/>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05"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5"/>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5"/>
      <c r="Q11" s="1147" t="str">
        <f t="shared" si="6"/>
        <v>容积率</v>
      </c>
      <c r="R11" s="1555" t="s">
        <v>11</v>
      </c>
      <c r="S11" s="1556" t="e">
        <f t="shared" si="0"/>
        <v>#N/A</v>
      </c>
      <c r="T11" s="1555" t="s">
        <v>11</v>
      </c>
      <c r="U11" s="1556" t="e">
        <f t="shared" si="1"/>
        <v>#N/A</v>
      </c>
      <c r="V11" s="1555" t="s">
        <v>11</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5"/>
      <c r="Q12" s="1147">
        <f t="shared" si="6"/>
        <v>111</v>
      </c>
      <c r="R12" s="1555" t="s">
        <v>11</v>
      </c>
      <c r="S12" s="1556">
        <f t="shared" si="0"/>
        <v>100</v>
      </c>
      <c r="T12" s="1555" t="s">
        <v>11</v>
      </c>
      <c r="U12" s="1556">
        <f t="shared" si="1"/>
        <v>100</v>
      </c>
      <c r="V12" s="1555" t="s">
        <v>11</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5"/>
      <c r="Q13" s="1147">
        <f t="shared" si="6"/>
        <v>111</v>
      </c>
      <c r="R13" s="1555" t="s">
        <v>11</v>
      </c>
      <c r="S13" s="1556">
        <f t="shared" si="0"/>
        <v>100</v>
      </c>
      <c r="T13" s="1555" t="s">
        <v>11</v>
      </c>
      <c r="U13" s="1556">
        <f t="shared" si="1"/>
        <v>100</v>
      </c>
      <c r="V13" s="1555" t="s">
        <v>11</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5"/>
      <c r="Q14" s="1147">
        <f t="shared" si="6"/>
        <v>111</v>
      </c>
      <c r="R14" s="1555" t="s">
        <v>11</v>
      </c>
      <c r="S14" s="1556">
        <f t="shared" si="0"/>
        <v>100</v>
      </c>
      <c r="T14" s="1555" t="s">
        <v>11</v>
      </c>
      <c r="U14" s="1556">
        <f t="shared" si="1"/>
        <v>100</v>
      </c>
      <c r="V14" s="1555" t="s">
        <v>11</v>
      </c>
      <c r="W14" s="1556">
        <f t="shared" si="2"/>
        <v>100</v>
      </c>
      <c r="X14" s="1557"/>
      <c r="Y14" s="3349"/>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7" t="s">
        <v>540</v>
      </c>
      <c r="Q15" s="1559" t="str">
        <f t="shared" si="6"/>
        <v>居住社区成熟度</v>
      </c>
      <c r="R15" s="1560" t="s">
        <v>11</v>
      </c>
      <c r="S15" s="1561">
        <f t="shared" si="0"/>
        <v>100</v>
      </c>
      <c r="T15" s="1560" t="s">
        <v>11</v>
      </c>
      <c r="U15" s="1561">
        <f t="shared" si="1"/>
        <v>100</v>
      </c>
      <c r="V15" s="1560" t="s">
        <v>11</v>
      </c>
      <c r="W15" s="1561">
        <f t="shared" si="2"/>
        <v>100</v>
      </c>
      <c r="X15" s="1554"/>
      <c r="Y15" s="3407"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8"/>
      <c r="Q16" s="1559"/>
      <c r="R16" s="1560"/>
      <c r="S16" s="1561"/>
      <c r="T16" s="1560"/>
      <c r="U16" s="1561"/>
      <c r="V16" s="1560"/>
      <c r="W16" s="1561"/>
      <c r="X16" s="1554"/>
      <c r="Y16" s="340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8"/>
      <c r="Q17" s="1559" t="str">
        <f>B17</f>
        <v>交通便捷度</v>
      </c>
      <c r="R17" s="1560" t="s">
        <v>11</v>
      </c>
      <c r="S17" s="1561">
        <f>F17</f>
        <v>100</v>
      </c>
      <c r="T17" s="1560" t="s">
        <v>11</v>
      </c>
      <c r="U17" s="1561">
        <f>H17</f>
        <v>100</v>
      </c>
      <c r="V17" s="1560" t="s">
        <v>11</v>
      </c>
      <c r="W17" s="1561">
        <f>J17</f>
        <v>100</v>
      </c>
      <c r="X17" s="1554"/>
      <c r="Y17" s="340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8"/>
      <c r="Q18" s="1559"/>
      <c r="R18" s="1560"/>
      <c r="S18" s="1561"/>
      <c r="T18" s="1560"/>
      <c r="U18" s="1561"/>
      <c r="V18" s="1560"/>
      <c r="W18" s="1561"/>
      <c r="X18" s="1554"/>
      <c r="Y18" s="3408"/>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8"/>
      <c r="Q19" s="1559" t="str">
        <f>B19</f>
        <v>公共配套设施</v>
      </c>
      <c r="R19" s="1560" t="s">
        <v>11</v>
      </c>
      <c r="S19" s="1561">
        <f>F19</f>
        <v>100</v>
      </c>
      <c r="T19" s="1560" t="s">
        <v>11</v>
      </c>
      <c r="U19" s="1561">
        <f>H19</f>
        <v>100</v>
      </c>
      <c r="V19" s="1560" t="s">
        <v>11</v>
      </c>
      <c r="W19" s="1561">
        <f>J19</f>
        <v>100</v>
      </c>
      <c r="X19" s="1554"/>
      <c r="Y19" s="340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8"/>
      <c r="Q20" s="1559"/>
      <c r="R20" s="1560"/>
      <c r="S20" s="1561"/>
      <c r="T20" s="1560"/>
      <c r="U20" s="1561"/>
      <c r="V20" s="1560"/>
      <c r="W20" s="1561"/>
      <c r="X20" s="1554"/>
      <c r="Y20" s="3408"/>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8"/>
      <c r="Q21" s="2544" t="str">
        <f>B21</f>
        <v>基础设施水平</v>
      </c>
      <c r="R21" s="1560" t="s">
        <v>11</v>
      </c>
      <c r="S21" s="1561">
        <f>F21</f>
        <v>100</v>
      </c>
      <c r="T21" s="1560" t="s">
        <v>11</v>
      </c>
      <c r="U21" s="1561">
        <f>H21</f>
        <v>100</v>
      </c>
      <c r="V21" s="1560" t="s">
        <v>11</v>
      </c>
      <c r="W21" s="1561">
        <f>J21</f>
        <v>100</v>
      </c>
      <c r="X21" s="2546"/>
      <c r="Y21" s="340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8"/>
      <c r="Q22" s="2544"/>
      <c r="R22" s="1560"/>
      <c r="S22" s="1561"/>
      <c r="T22" s="1560"/>
      <c r="U22" s="1561"/>
      <c r="V22" s="1560"/>
      <c r="W22" s="1561"/>
      <c r="X22" s="2546"/>
      <c r="Y22" s="3408"/>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8"/>
      <c r="Q23" s="1559" t="str">
        <f>B23</f>
        <v>自然及人文环境</v>
      </c>
      <c r="R23" s="1560" t="s">
        <v>11</v>
      </c>
      <c r="S23" s="1561">
        <f>F23</f>
        <v>100</v>
      </c>
      <c r="T23" s="1560" t="s">
        <v>11</v>
      </c>
      <c r="U23" s="1561">
        <f>H23</f>
        <v>100</v>
      </c>
      <c r="V23" s="1560" t="s">
        <v>11</v>
      </c>
      <c r="W23" s="1561">
        <f>J23</f>
        <v>100</v>
      </c>
      <c r="X23" s="1554"/>
      <c r="Y23" s="340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8"/>
      <c r="Q24" s="1559"/>
      <c r="R24" s="1560"/>
      <c r="S24" s="1561"/>
      <c r="T24" s="1560"/>
      <c r="U24" s="1561"/>
      <c r="V24" s="1560"/>
      <c r="W24" s="1561"/>
      <c r="X24" s="1554"/>
      <c r="Y24" s="3408"/>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8"/>
      <c r="Q25" s="1559" t="str">
        <f t="shared" ref="Q25:Q46" si="11">B25</f>
        <v>楼层-1</v>
      </c>
      <c r="R25" s="1560" t="s">
        <v>11</v>
      </c>
      <c r="S25" s="1561">
        <f>F25</f>
        <v>100</v>
      </c>
      <c r="T25" s="1560" t="s">
        <v>11</v>
      </c>
      <c r="U25" s="1561">
        <f>H25</f>
        <v>100</v>
      </c>
      <c r="V25" s="1560" t="s">
        <v>11</v>
      </c>
      <c r="W25" s="1561">
        <f>J25</f>
        <v>100</v>
      </c>
      <c r="X25" s="1554"/>
      <c r="Y25" s="3408"/>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8"/>
      <c r="Q26" s="1559" t="str">
        <f t="shared" si="11"/>
        <v>朝向</v>
      </c>
      <c r="R26" s="1560" t="s">
        <v>11</v>
      </c>
      <c r="S26" s="1561">
        <f>F26</f>
        <v>100</v>
      </c>
      <c r="T26" s="1560" t="s">
        <v>11</v>
      </c>
      <c r="U26" s="1561">
        <f>H26</f>
        <v>100</v>
      </c>
      <c r="V26" s="1560" t="s">
        <v>11</v>
      </c>
      <c r="W26" s="1561">
        <f>J26</f>
        <v>100</v>
      </c>
      <c r="X26" s="1554"/>
      <c r="Y26" s="3408"/>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8"/>
      <c r="Q27" s="1147" t="str">
        <f t="shared" si="11"/>
        <v>道路级别</v>
      </c>
      <c r="R27" s="1555" t="s">
        <v>11</v>
      </c>
      <c r="S27" s="1556">
        <f>F27</f>
        <v>100</v>
      </c>
      <c r="T27" s="1555" t="s">
        <v>11</v>
      </c>
      <c r="U27" s="1556">
        <f>H27</f>
        <v>100</v>
      </c>
      <c r="V27" s="1555" t="s">
        <v>11</v>
      </c>
      <c r="W27" s="1556">
        <f>J27</f>
        <v>100</v>
      </c>
      <c r="X27" s="1557"/>
      <c r="Y27" s="3408"/>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8"/>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8"/>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8"/>
      <c r="Q29" s="1559">
        <f t="shared" si="11"/>
        <v>111</v>
      </c>
      <c r="R29" s="1560" t="s">
        <v>11</v>
      </c>
      <c r="S29" s="1561">
        <f t="shared" si="12"/>
        <v>100</v>
      </c>
      <c r="T29" s="1560" t="s">
        <v>11</v>
      </c>
      <c r="U29" s="1561">
        <f t="shared" si="13"/>
        <v>100</v>
      </c>
      <c r="V29" s="1560" t="s">
        <v>11</v>
      </c>
      <c r="W29" s="1561">
        <f t="shared" si="14"/>
        <v>100</v>
      </c>
      <c r="X29" s="1554"/>
      <c r="Y29" s="340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8"/>
      <c r="Q30" s="1559">
        <f t="shared" si="11"/>
        <v>111</v>
      </c>
      <c r="R30" s="1560" t="s">
        <v>11</v>
      </c>
      <c r="S30" s="1561">
        <f t="shared" si="12"/>
        <v>100</v>
      </c>
      <c r="T30" s="1560" t="s">
        <v>11</v>
      </c>
      <c r="U30" s="1561">
        <f t="shared" si="13"/>
        <v>100</v>
      </c>
      <c r="V30" s="1560" t="s">
        <v>11</v>
      </c>
      <c r="W30" s="1561">
        <f t="shared" si="14"/>
        <v>100</v>
      </c>
      <c r="X30" s="1554"/>
      <c r="Y30" s="3408"/>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8"/>
      <c r="Q31" s="1559">
        <f t="shared" si="11"/>
        <v>111</v>
      </c>
      <c r="R31" s="1560" t="s">
        <v>11</v>
      </c>
      <c r="S31" s="1561">
        <f t="shared" si="12"/>
        <v>100</v>
      </c>
      <c r="T31" s="1560" t="s">
        <v>11</v>
      </c>
      <c r="U31" s="1561">
        <f t="shared" si="13"/>
        <v>100</v>
      </c>
      <c r="V31" s="1560" t="s">
        <v>11</v>
      </c>
      <c r="W31" s="1561">
        <f t="shared" si="14"/>
        <v>100</v>
      </c>
      <c r="X31" s="1554"/>
      <c r="Y31" s="3408"/>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12" t="s">
        <v>550</v>
      </c>
      <c r="Q32" s="1559" t="str">
        <f t="shared" si="11"/>
        <v>建筑类型</v>
      </c>
      <c r="R32" s="1560" t="s">
        <v>11</v>
      </c>
      <c r="S32" s="1561">
        <f t="shared" si="12"/>
        <v>100</v>
      </c>
      <c r="T32" s="1560" t="s">
        <v>11</v>
      </c>
      <c r="U32" s="1561">
        <f t="shared" si="13"/>
        <v>100</v>
      </c>
      <c r="V32" s="1560" t="s">
        <v>11</v>
      </c>
      <c r="W32" s="1561">
        <f t="shared" si="14"/>
        <v>100</v>
      </c>
      <c r="X32" s="1554"/>
      <c r="Y32" s="3413"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13"/>
      <c r="Q33" s="1591" t="str">
        <f t="shared" si="11"/>
        <v>项目建筑规模</v>
      </c>
      <c r="R33" s="1564" t="s">
        <v>11</v>
      </c>
      <c r="S33" s="1565" t="e">
        <f t="shared" si="12"/>
        <v>#N/A</v>
      </c>
      <c r="T33" s="1564" t="s">
        <v>11</v>
      </c>
      <c r="U33" s="1565" t="e">
        <f t="shared" si="13"/>
        <v>#N/A</v>
      </c>
      <c r="V33" s="1564" t="s">
        <v>11</v>
      </c>
      <c r="W33" s="1565" t="e">
        <f t="shared" si="14"/>
        <v>#N/A</v>
      </c>
      <c r="X33" s="1566"/>
      <c r="Y33" s="341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13"/>
      <c r="Q34" s="1559" t="str">
        <f t="shared" si="11"/>
        <v>建筑结构</v>
      </c>
      <c r="R34" s="1560" t="s">
        <v>11</v>
      </c>
      <c r="S34" s="1561">
        <f t="shared" si="12"/>
        <v>100</v>
      </c>
      <c r="T34" s="1560" t="s">
        <v>11</v>
      </c>
      <c r="U34" s="1561">
        <f t="shared" si="13"/>
        <v>100</v>
      </c>
      <c r="V34" s="1560" t="s">
        <v>11</v>
      </c>
      <c r="W34" s="1561">
        <f t="shared" si="14"/>
        <v>100</v>
      </c>
      <c r="X34" s="1554"/>
      <c r="Y34" s="3413"/>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13"/>
      <c r="Q35" s="1559" t="str">
        <f t="shared" si="11"/>
        <v>建筑品质</v>
      </c>
      <c r="R35" s="1560" t="s">
        <v>11</v>
      </c>
      <c r="S35" s="1561">
        <f t="shared" si="12"/>
        <v>100</v>
      </c>
      <c r="T35" s="1560" t="s">
        <v>11</v>
      </c>
      <c r="U35" s="1561">
        <f t="shared" si="13"/>
        <v>100</v>
      </c>
      <c r="V35" s="1560" t="s">
        <v>11</v>
      </c>
      <c r="W35" s="1561">
        <f t="shared" si="14"/>
        <v>100</v>
      </c>
      <c r="X35" s="1554"/>
      <c r="Y35" s="3413"/>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13"/>
      <c r="Q36" s="1559" t="str">
        <f t="shared" si="11"/>
        <v>公共部分装修</v>
      </c>
      <c r="R36" s="1560" t="s">
        <v>11</v>
      </c>
      <c r="S36" s="1561">
        <f t="shared" si="12"/>
        <v>100</v>
      </c>
      <c r="T36" s="1560" t="s">
        <v>11</v>
      </c>
      <c r="U36" s="1561">
        <f t="shared" si="13"/>
        <v>100</v>
      </c>
      <c r="V36" s="1560" t="s">
        <v>11</v>
      </c>
      <c r="W36" s="1561">
        <f t="shared" si="14"/>
        <v>100</v>
      </c>
      <c r="X36" s="1554"/>
      <c r="Y36" s="3413"/>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13"/>
      <c r="Q37" s="1147" t="str">
        <f t="shared" si="11"/>
        <v>成新度</v>
      </c>
      <c r="R37" s="1555" t="s">
        <v>11</v>
      </c>
      <c r="S37" s="1556" t="e">
        <f t="shared" si="12"/>
        <v>#N/A</v>
      </c>
      <c r="T37" s="1555" t="s">
        <v>11</v>
      </c>
      <c r="U37" s="1556" t="e">
        <f t="shared" si="13"/>
        <v>#N/A</v>
      </c>
      <c r="V37" s="1555" t="s">
        <v>11</v>
      </c>
      <c r="W37" s="1556" t="e">
        <f t="shared" si="14"/>
        <v>#N/A</v>
      </c>
      <c r="X37" s="1557"/>
      <c r="Y37" s="3413"/>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13" t="s">
        <v>550</v>
      </c>
      <c r="Q38" s="1559" t="str">
        <f t="shared" si="11"/>
        <v>物业管理</v>
      </c>
      <c r="R38" s="1560" t="s">
        <v>11</v>
      </c>
      <c r="S38" s="1561">
        <f t="shared" si="12"/>
        <v>100</v>
      </c>
      <c r="T38" s="1560" t="s">
        <v>11</v>
      </c>
      <c r="U38" s="1561">
        <f t="shared" si="13"/>
        <v>100</v>
      </c>
      <c r="V38" s="1560" t="s">
        <v>11</v>
      </c>
      <c r="W38" s="1561">
        <f t="shared" si="14"/>
        <v>100</v>
      </c>
      <c r="X38" s="1554"/>
      <c r="Y38" s="3413"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13"/>
      <c r="Q39" s="1559" t="str">
        <f t="shared" si="11"/>
        <v>市政基础设施</v>
      </c>
      <c r="R39" s="1560" t="s">
        <v>11</v>
      </c>
      <c r="S39" s="1561">
        <f t="shared" si="12"/>
        <v>100</v>
      </c>
      <c r="T39" s="1560" t="s">
        <v>11</v>
      </c>
      <c r="U39" s="1561">
        <f t="shared" si="13"/>
        <v>100</v>
      </c>
      <c r="V39" s="1560" t="s">
        <v>11</v>
      </c>
      <c r="W39" s="1561">
        <f t="shared" si="14"/>
        <v>100</v>
      </c>
      <c r="X39" s="1554"/>
      <c r="Y39" s="3413"/>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13"/>
      <c r="Q40" s="1559" t="str">
        <f t="shared" si="11"/>
        <v>房型</v>
      </c>
      <c r="R40" s="1560" t="s">
        <v>11</v>
      </c>
      <c r="S40" s="1561">
        <f t="shared" si="12"/>
        <v>100</v>
      </c>
      <c r="T40" s="1560" t="s">
        <v>11</v>
      </c>
      <c r="U40" s="1561">
        <f t="shared" si="13"/>
        <v>100</v>
      </c>
      <c r="V40" s="1560" t="s">
        <v>11</v>
      </c>
      <c r="W40" s="1561">
        <f t="shared" si="14"/>
        <v>100</v>
      </c>
      <c r="X40" s="1554"/>
      <c r="Y40" s="3413"/>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13"/>
      <c r="Q41" s="1591" t="str">
        <f t="shared" si="11"/>
        <v>单套/主力户型建筑面积</v>
      </c>
      <c r="R41" s="1564" t="s">
        <v>11</v>
      </c>
      <c r="S41" s="1565">
        <f t="shared" si="12"/>
        <v>100</v>
      </c>
      <c r="T41" s="1564" t="s">
        <v>11</v>
      </c>
      <c r="U41" s="1565">
        <f t="shared" si="13"/>
        <v>100</v>
      </c>
      <c r="V41" s="1564" t="s">
        <v>11</v>
      </c>
      <c r="W41" s="1565">
        <f t="shared" si="14"/>
        <v>100</v>
      </c>
      <c r="X41" s="1566"/>
      <c r="Y41" s="3413"/>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13"/>
      <c r="Q42" s="1559" t="str">
        <f t="shared" si="11"/>
        <v>内部装修</v>
      </c>
      <c r="R42" s="1560" t="s">
        <v>11</v>
      </c>
      <c r="S42" s="1561">
        <f t="shared" si="12"/>
        <v>100</v>
      </c>
      <c r="T42" s="1560" t="s">
        <v>11</v>
      </c>
      <c r="U42" s="1561">
        <f t="shared" si="13"/>
        <v>100</v>
      </c>
      <c r="V42" s="1560" t="s">
        <v>11</v>
      </c>
      <c r="W42" s="1561">
        <f t="shared" si="14"/>
        <v>100</v>
      </c>
      <c r="X42" s="1554"/>
      <c r="Y42" s="3413"/>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13"/>
      <c r="Q43" s="1559" t="str">
        <f t="shared" si="11"/>
        <v>内部装修维护情况</v>
      </c>
      <c r="R43" s="1560" t="s">
        <v>11</v>
      </c>
      <c r="S43" s="1561">
        <f t="shared" si="12"/>
        <v>100</v>
      </c>
      <c r="T43" s="1560" t="s">
        <v>11</v>
      </c>
      <c r="U43" s="1561">
        <f t="shared" si="13"/>
        <v>100</v>
      </c>
      <c r="V43" s="1560" t="s">
        <v>11</v>
      </c>
      <c r="W43" s="1561">
        <f t="shared" si="14"/>
        <v>100</v>
      </c>
      <c r="X43" s="1554"/>
      <c r="Y43" s="341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13"/>
      <c r="Q44" s="1147">
        <f t="shared" si="11"/>
        <v>111</v>
      </c>
      <c r="R44" s="1555" t="s">
        <v>11</v>
      </c>
      <c r="S44" s="1556">
        <f t="shared" si="12"/>
        <v>100</v>
      </c>
      <c r="T44" s="1555" t="s">
        <v>11</v>
      </c>
      <c r="U44" s="1556">
        <f t="shared" si="13"/>
        <v>100</v>
      </c>
      <c r="V44" s="1555" t="s">
        <v>11</v>
      </c>
      <c r="W44" s="1556">
        <f t="shared" si="14"/>
        <v>100</v>
      </c>
      <c r="X44" s="1557"/>
      <c r="Y44" s="341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13"/>
      <c r="Q45" s="1559">
        <f t="shared" si="11"/>
        <v>111</v>
      </c>
      <c r="R45" s="1560" t="s">
        <v>11</v>
      </c>
      <c r="S45" s="1561">
        <f t="shared" si="12"/>
        <v>100</v>
      </c>
      <c r="T45" s="1560" t="s">
        <v>11</v>
      </c>
      <c r="U45" s="1561">
        <f t="shared" si="13"/>
        <v>100</v>
      </c>
      <c r="V45" s="1560" t="s">
        <v>11</v>
      </c>
      <c r="W45" s="1561">
        <f t="shared" si="14"/>
        <v>100</v>
      </c>
      <c r="X45" s="1554"/>
      <c r="Y45" s="3413"/>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22"/>
      <c r="Q46" s="1559">
        <f t="shared" si="11"/>
        <v>111</v>
      </c>
      <c r="R46" s="1560" t="s">
        <v>10</v>
      </c>
      <c r="S46" s="1561">
        <f t="shared" si="12"/>
        <v>100</v>
      </c>
      <c r="T46" s="1560" t="s">
        <v>10</v>
      </c>
      <c r="U46" s="1561">
        <f t="shared" si="13"/>
        <v>100</v>
      </c>
      <c r="V46" s="1560" t="s">
        <v>10</v>
      </c>
      <c r="W46" s="1561">
        <f t="shared" si="14"/>
        <v>100</v>
      </c>
      <c r="X46" s="1554"/>
      <c r="Y46" s="3522"/>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5" t="str">
        <f>A47</f>
        <v>成交单价（元/平方米）</v>
      </c>
      <c r="Q47" s="3405"/>
      <c r="R47" s="3521">
        <f>E47</f>
        <v>0</v>
      </c>
      <c r="S47" s="3521"/>
      <c r="T47" s="3521">
        <f>G47</f>
        <v>0</v>
      </c>
      <c r="U47" s="3521"/>
      <c r="V47" s="3521">
        <f>I47</f>
        <v>0</v>
      </c>
      <c r="W47" s="3521"/>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05" t="str">
        <f>A48</f>
        <v>比较价格（元/平方米）</v>
      </c>
      <c r="Q48" s="3405"/>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4"/>
      <c r="L49" s="2130"/>
      <c r="M49" s="2131"/>
      <c r="N49" s="2131"/>
      <c r="O49" s="2131"/>
      <c r="P49" s="3409" t="str">
        <f>A49</f>
        <v>估价对象XX用房的比较价格（楼面单价，元/平方米）</v>
      </c>
      <c r="Q49" s="3410"/>
      <c r="R49" s="3520" t="e">
        <f>IF(F1="售价",ROUND(AVERAGE(R48:V48),0),ROUND(AVERAGE(R48:V48),1))</f>
        <v>#DIV/0!</v>
      </c>
      <c r="S49" s="3520"/>
      <c r="T49" s="3520"/>
      <c r="U49" s="3520"/>
      <c r="V49" s="3520"/>
      <c r="W49" s="352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27" t="s">
        <v>522</v>
      </c>
      <c r="D4" s="3428"/>
      <c r="E4" s="3444" t="s">
        <v>523</v>
      </c>
      <c r="F4" s="3445"/>
      <c r="G4" s="3427" t="s">
        <v>524</v>
      </c>
      <c r="H4" s="3428"/>
      <c r="I4" s="3427" t="s">
        <v>525</v>
      </c>
      <c r="J4" s="3428"/>
      <c r="K4" s="514" t="s">
        <v>526</v>
      </c>
      <c r="L4" s="2119"/>
      <c r="M4" s="2120"/>
      <c r="N4" s="2120"/>
      <c r="O4" s="2120"/>
      <c r="P4" s="3429" t="s">
        <v>527</v>
      </c>
      <c r="Q4" s="3430"/>
      <c r="R4" s="3417" t="s">
        <v>523</v>
      </c>
      <c r="S4" s="3418"/>
      <c r="T4" s="3417" t="s">
        <v>524</v>
      </c>
      <c r="U4" s="3418"/>
      <c r="V4" s="3414" t="s">
        <v>525</v>
      </c>
      <c r="W4" s="3414"/>
      <c r="X4" s="1554"/>
      <c r="Y4" s="3417" t="s">
        <v>527</v>
      </c>
      <c r="Z4" s="3418"/>
      <c r="AA4" s="3423" t="s">
        <v>523</v>
      </c>
      <c r="AB4" s="3414" t="s">
        <v>524</v>
      </c>
      <c r="AC4" s="3423" t="s">
        <v>525</v>
      </c>
    </row>
    <row r="5" spans="1:29" ht="15">
      <c r="A5" s="515"/>
      <c r="B5" s="516"/>
      <c r="C5" s="3435" t="s">
        <v>2925</v>
      </c>
      <c r="D5" s="3436"/>
      <c r="E5" s="3446" t="s">
        <v>2926</v>
      </c>
      <c r="F5" s="3447"/>
      <c r="G5" s="3435" t="s">
        <v>2927</v>
      </c>
      <c r="H5" s="3436"/>
      <c r="I5" s="3435" t="s">
        <v>2928</v>
      </c>
      <c r="J5" s="3436"/>
      <c r="K5" s="514"/>
      <c r="L5" s="2119"/>
      <c r="M5" s="2120"/>
      <c r="N5" s="2120"/>
      <c r="O5" s="2120"/>
      <c r="P5" s="3431"/>
      <c r="Q5" s="3432"/>
      <c r="R5" s="3419"/>
      <c r="S5" s="3420"/>
      <c r="T5" s="3419"/>
      <c r="U5" s="3420"/>
      <c r="V5" s="3414"/>
      <c r="W5" s="3414"/>
      <c r="X5" s="1554"/>
      <c r="Y5" s="3419"/>
      <c r="Z5" s="3420"/>
      <c r="AA5" s="3424"/>
      <c r="AB5" s="3414"/>
      <c r="AC5" s="3424"/>
    </row>
    <row r="6" spans="1:29" ht="15.75" thickBot="1">
      <c r="A6" s="517"/>
      <c r="B6" s="518"/>
      <c r="C6" s="3440" t="s">
        <v>2929</v>
      </c>
      <c r="D6" s="3441"/>
      <c r="E6" s="3442" t="s">
        <v>2929</v>
      </c>
      <c r="F6" s="3443"/>
      <c r="G6" s="3440" t="s">
        <v>2929</v>
      </c>
      <c r="H6" s="3441"/>
      <c r="I6" s="3440" t="s">
        <v>2929</v>
      </c>
      <c r="J6" s="3441"/>
      <c r="K6" s="514" t="s">
        <v>528</v>
      </c>
      <c r="L6" s="2119"/>
      <c r="M6" s="2120"/>
      <c r="N6" s="2120"/>
      <c r="O6" s="2120"/>
      <c r="P6" s="3433"/>
      <c r="Q6" s="3434"/>
      <c r="R6" s="3419"/>
      <c r="S6" s="3420"/>
      <c r="T6" s="3421"/>
      <c r="U6" s="3422"/>
      <c r="V6" s="3414"/>
      <c r="W6" s="3414"/>
      <c r="X6" s="1554"/>
      <c r="Y6" s="3421"/>
      <c r="Z6" s="3422"/>
      <c r="AA6" s="3425"/>
      <c r="AB6" s="3414"/>
      <c r="AC6" s="3425"/>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5" t="s">
        <v>530</v>
      </c>
      <c r="Q7" s="3426"/>
      <c r="R7" s="1555" t="s">
        <v>8</v>
      </c>
      <c r="S7" s="1556">
        <f t="shared" ref="S7:S15" si="0">F7</f>
        <v>0</v>
      </c>
      <c r="T7" s="1555" t="s">
        <v>8</v>
      </c>
      <c r="U7" s="1556">
        <f t="shared" ref="U7:U15" si="1">H7</f>
        <v>0</v>
      </c>
      <c r="V7" s="1555" t="s">
        <v>8</v>
      </c>
      <c r="W7" s="1556">
        <f t="shared" ref="W7:W15" si="2">J7</f>
        <v>0</v>
      </c>
      <c r="X7" s="1557"/>
      <c r="Y7" s="3415" t="s">
        <v>530</v>
      </c>
      <c r="Z7" s="3416"/>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5" t="s">
        <v>533</v>
      </c>
      <c r="Q8" s="3416"/>
      <c r="R8" s="1555" t="s">
        <v>8</v>
      </c>
      <c r="S8" s="1556">
        <f t="shared" si="0"/>
        <v>0</v>
      </c>
      <c r="T8" s="1555" t="s">
        <v>8</v>
      </c>
      <c r="U8" s="1556">
        <f t="shared" si="1"/>
        <v>0</v>
      </c>
      <c r="V8" s="1555" t="s">
        <v>8</v>
      </c>
      <c r="W8" s="1556">
        <f t="shared" si="2"/>
        <v>0</v>
      </c>
      <c r="X8" s="1557"/>
      <c r="Y8" s="3415" t="s">
        <v>533</v>
      </c>
      <c r="Z8" s="3416"/>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5"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5"/>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5"/>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5"/>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5"/>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5"/>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7" t="s">
        <v>540</v>
      </c>
      <c r="Q15" s="1559" t="str">
        <f t="shared" si="6"/>
        <v>商业繁华度</v>
      </c>
      <c r="R15" s="1560" t="s">
        <v>8</v>
      </c>
      <c r="S15" s="1561">
        <f t="shared" si="0"/>
        <v>100</v>
      </c>
      <c r="T15" s="1560" t="s">
        <v>8</v>
      </c>
      <c r="U15" s="1561">
        <f t="shared" si="1"/>
        <v>100</v>
      </c>
      <c r="V15" s="1560" t="s">
        <v>8</v>
      </c>
      <c r="W15" s="1561">
        <f t="shared" si="2"/>
        <v>100</v>
      </c>
      <c r="X15" s="1554"/>
      <c r="Y15" s="3407"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8"/>
      <c r="Q16" s="1559"/>
      <c r="R16" s="1560"/>
      <c r="S16" s="1561"/>
      <c r="T16" s="1560"/>
      <c r="U16" s="1561"/>
      <c r="V16" s="1560"/>
      <c r="W16" s="1561"/>
      <c r="X16" s="1554"/>
      <c r="Y16" s="3408"/>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8"/>
      <c r="Q17" s="1559" t="str">
        <f>B17</f>
        <v>交通便捷度</v>
      </c>
      <c r="R17" s="1560" t="s">
        <v>8</v>
      </c>
      <c r="S17" s="1561">
        <f>F17</f>
        <v>100</v>
      </c>
      <c r="T17" s="1560" t="s">
        <v>8</v>
      </c>
      <c r="U17" s="1561">
        <f>H17</f>
        <v>100</v>
      </c>
      <c r="V17" s="1560" t="s">
        <v>8</v>
      </c>
      <c r="W17" s="1561">
        <f>J17</f>
        <v>100</v>
      </c>
      <c r="X17" s="1554"/>
      <c r="Y17" s="340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8"/>
      <c r="Q18" s="1559"/>
      <c r="R18" s="1560"/>
      <c r="S18" s="1561"/>
      <c r="T18" s="1560"/>
      <c r="U18" s="1561"/>
      <c r="V18" s="1560"/>
      <c r="W18" s="1561"/>
      <c r="X18" s="1554"/>
      <c r="Y18" s="3408"/>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8"/>
      <c r="Q19" s="1559" t="str">
        <f>B19</f>
        <v>公共配套设施</v>
      </c>
      <c r="R19" s="1560" t="s">
        <v>8</v>
      </c>
      <c r="S19" s="1561">
        <f>F19</f>
        <v>100</v>
      </c>
      <c r="T19" s="1560" t="s">
        <v>8</v>
      </c>
      <c r="U19" s="1561">
        <f>H19</f>
        <v>100</v>
      </c>
      <c r="V19" s="1560" t="s">
        <v>8</v>
      </c>
      <c r="W19" s="1561">
        <f>J19</f>
        <v>100</v>
      </c>
      <c r="X19" s="1554"/>
      <c r="Y19" s="3408"/>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8"/>
      <c r="Q20" s="1559"/>
      <c r="R20" s="1560"/>
      <c r="S20" s="1561"/>
      <c r="T20" s="1560"/>
      <c r="U20" s="1561"/>
      <c r="V20" s="1560"/>
      <c r="W20" s="1561"/>
      <c r="X20" s="1554"/>
      <c r="Y20" s="3408"/>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8"/>
      <c r="Q21" s="2544" t="str">
        <f>B21</f>
        <v>基础设施水平</v>
      </c>
      <c r="R21" s="1560" t="s">
        <v>8</v>
      </c>
      <c r="S21" s="1561">
        <f>F21</f>
        <v>100</v>
      </c>
      <c r="T21" s="1560" t="s">
        <v>8</v>
      </c>
      <c r="U21" s="1561">
        <f>H21</f>
        <v>100</v>
      </c>
      <c r="V21" s="1560" t="s">
        <v>8</v>
      </c>
      <c r="W21" s="1561">
        <f>J21</f>
        <v>100</v>
      </c>
      <c r="X21" s="2546"/>
      <c r="Y21" s="3408"/>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8"/>
      <c r="Q22" s="2544"/>
      <c r="R22" s="1560"/>
      <c r="S22" s="1561"/>
      <c r="T22" s="1560"/>
      <c r="U22" s="1561"/>
      <c r="V22" s="1560"/>
      <c r="W22" s="1561"/>
      <c r="X22" s="2546"/>
      <c r="Y22" s="3408"/>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8"/>
      <c r="Q23" s="1559" t="str">
        <f>B23</f>
        <v>自然及人文环境</v>
      </c>
      <c r="R23" s="1560" t="s">
        <v>8</v>
      </c>
      <c r="S23" s="1561">
        <f>F23</f>
        <v>100</v>
      </c>
      <c r="T23" s="1560" t="s">
        <v>8</v>
      </c>
      <c r="U23" s="1561">
        <f>H23</f>
        <v>100</v>
      </c>
      <c r="V23" s="1560" t="s">
        <v>8</v>
      </c>
      <c r="W23" s="1561">
        <f>J23</f>
        <v>100</v>
      </c>
      <c r="X23" s="1554"/>
      <c r="Y23" s="3408"/>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8"/>
      <c r="Q24" s="1559"/>
      <c r="R24" s="1560"/>
      <c r="S24" s="1561"/>
      <c r="T24" s="1560"/>
      <c r="U24" s="1561"/>
      <c r="V24" s="1560"/>
      <c r="W24" s="1561"/>
      <c r="X24" s="1554"/>
      <c r="Y24" s="3408"/>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8"/>
      <c r="Q25" s="1559" t="str">
        <f t="shared" ref="Q25:Q46" si="11">B25</f>
        <v>临街状况</v>
      </c>
      <c r="R25" s="1560" t="s">
        <v>8</v>
      </c>
      <c r="S25" s="1561">
        <f>F25</f>
        <v>100</v>
      </c>
      <c r="T25" s="1560" t="s">
        <v>8</v>
      </c>
      <c r="U25" s="1561">
        <f>H25</f>
        <v>100</v>
      </c>
      <c r="V25" s="1560" t="s">
        <v>8</v>
      </c>
      <c r="W25" s="1561">
        <f>J25</f>
        <v>100</v>
      </c>
      <c r="X25" s="1554"/>
      <c r="Y25" s="3408"/>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8"/>
      <c r="Q26" s="1559" t="str">
        <f t="shared" si="11"/>
        <v>平面位置/可视性</v>
      </c>
      <c r="R26" s="1560" t="s">
        <v>8</v>
      </c>
      <c r="S26" s="1561">
        <f>F26</f>
        <v>100</v>
      </c>
      <c r="T26" s="1560" t="s">
        <v>8</v>
      </c>
      <c r="U26" s="1561">
        <f>H26</f>
        <v>100</v>
      </c>
      <c r="V26" s="1560" t="s">
        <v>8</v>
      </c>
      <c r="W26" s="1561">
        <f>J26</f>
        <v>100</v>
      </c>
      <c r="X26" s="1554"/>
      <c r="Y26" s="3408"/>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8"/>
      <c r="Q27" s="1147" t="str">
        <f t="shared" si="11"/>
        <v>人流量</v>
      </c>
      <c r="R27" s="1555" t="s">
        <v>8</v>
      </c>
      <c r="S27" s="1556">
        <f>F27</f>
        <v>100</v>
      </c>
      <c r="T27" s="1555" t="s">
        <v>8</v>
      </c>
      <c r="U27" s="1556">
        <f>H27</f>
        <v>100</v>
      </c>
      <c r="V27" s="1555" t="s">
        <v>8</v>
      </c>
      <c r="W27" s="1556">
        <f>J27</f>
        <v>100</v>
      </c>
      <c r="X27" s="1557"/>
      <c r="Y27" s="3408"/>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8"/>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8"/>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8"/>
      <c r="Q29" s="1559">
        <f t="shared" si="11"/>
        <v>111</v>
      </c>
      <c r="R29" s="1560" t="s">
        <v>8</v>
      </c>
      <c r="S29" s="1561">
        <f t="shared" si="12"/>
        <v>100</v>
      </c>
      <c r="T29" s="1560" t="s">
        <v>8</v>
      </c>
      <c r="U29" s="1561">
        <f t="shared" si="13"/>
        <v>100</v>
      </c>
      <c r="V29" s="1560" t="s">
        <v>8</v>
      </c>
      <c r="W29" s="1561">
        <f t="shared" si="14"/>
        <v>100</v>
      </c>
      <c r="X29" s="1554"/>
      <c r="Y29" s="3408"/>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8"/>
      <c r="Q30" s="1559">
        <f t="shared" si="11"/>
        <v>111</v>
      </c>
      <c r="R30" s="1560" t="s">
        <v>8</v>
      </c>
      <c r="S30" s="1561">
        <f t="shared" si="12"/>
        <v>100</v>
      </c>
      <c r="T30" s="1560" t="s">
        <v>8</v>
      </c>
      <c r="U30" s="1561">
        <f t="shared" si="13"/>
        <v>100</v>
      </c>
      <c r="V30" s="1560" t="s">
        <v>8</v>
      </c>
      <c r="W30" s="1561">
        <f t="shared" si="14"/>
        <v>100</v>
      </c>
      <c r="X30" s="1554"/>
      <c r="Y30" s="3408"/>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8"/>
      <c r="Q31" s="1559">
        <f t="shared" si="11"/>
        <v>111</v>
      </c>
      <c r="R31" s="1560" t="s">
        <v>8</v>
      </c>
      <c r="S31" s="1561">
        <f t="shared" si="12"/>
        <v>100</v>
      </c>
      <c r="T31" s="1560" t="s">
        <v>8</v>
      </c>
      <c r="U31" s="1561">
        <f t="shared" si="13"/>
        <v>100</v>
      </c>
      <c r="V31" s="1560" t="s">
        <v>8</v>
      </c>
      <c r="W31" s="1561">
        <f t="shared" si="14"/>
        <v>100</v>
      </c>
      <c r="X31" s="1554"/>
      <c r="Y31" s="3408"/>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12" t="s">
        <v>550</v>
      </c>
      <c r="Q32" s="1559" t="str">
        <f t="shared" si="11"/>
        <v>商业类型</v>
      </c>
      <c r="R32" s="1560" t="s">
        <v>8</v>
      </c>
      <c r="S32" s="1561">
        <f t="shared" si="12"/>
        <v>100</v>
      </c>
      <c r="T32" s="1560" t="s">
        <v>8</v>
      </c>
      <c r="U32" s="1561">
        <f t="shared" si="13"/>
        <v>100</v>
      </c>
      <c r="V32" s="1560" t="s">
        <v>8</v>
      </c>
      <c r="W32" s="1561">
        <f t="shared" si="14"/>
        <v>100</v>
      </c>
      <c r="X32" s="1554"/>
      <c r="Y32" s="3413"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13"/>
      <c r="Q33" s="1591" t="str">
        <f t="shared" si="11"/>
        <v>项目建筑规模</v>
      </c>
      <c r="R33" s="1564" t="s">
        <v>8</v>
      </c>
      <c r="S33" s="1565" t="e">
        <f t="shared" si="12"/>
        <v>#N/A</v>
      </c>
      <c r="T33" s="1564" t="s">
        <v>8</v>
      </c>
      <c r="U33" s="1565" t="e">
        <f t="shared" si="13"/>
        <v>#N/A</v>
      </c>
      <c r="V33" s="1564" t="s">
        <v>8</v>
      </c>
      <c r="W33" s="1565" t="e">
        <f t="shared" si="14"/>
        <v>#N/A</v>
      </c>
      <c r="X33" s="1566"/>
      <c r="Y33" s="3413"/>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13"/>
      <c r="Q34" s="1559" t="str">
        <f t="shared" si="11"/>
        <v>建筑结构</v>
      </c>
      <c r="R34" s="1560" t="s">
        <v>8</v>
      </c>
      <c r="S34" s="1561">
        <f t="shared" si="12"/>
        <v>100</v>
      </c>
      <c r="T34" s="1560" t="s">
        <v>8</v>
      </c>
      <c r="U34" s="1561">
        <f t="shared" si="13"/>
        <v>100</v>
      </c>
      <c r="V34" s="1560" t="s">
        <v>8</v>
      </c>
      <c r="W34" s="1561">
        <f t="shared" si="14"/>
        <v>100</v>
      </c>
      <c r="X34" s="1554"/>
      <c r="Y34" s="3413"/>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13"/>
      <c r="Q35" s="1559" t="str">
        <f t="shared" si="11"/>
        <v>公共部分装修</v>
      </c>
      <c r="R35" s="1560" t="s">
        <v>8</v>
      </c>
      <c r="S35" s="1561">
        <f t="shared" si="12"/>
        <v>100</v>
      </c>
      <c r="T35" s="1560" t="s">
        <v>8</v>
      </c>
      <c r="U35" s="1561">
        <f t="shared" si="13"/>
        <v>100</v>
      </c>
      <c r="V35" s="1560" t="s">
        <v>8</v>
      </c>
      <c r="W35" s="1561">
        <f t="shared" si="14"/>
        <v>100</v>
      </c>
      <c r="X35" s="1554"/>
      <c r="Y35" s="3413"/>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13"/>
      <c r="Q36" s="1559" t="str">
        <f t="shared" si="11"/>
        <v>成新度</v>
      </c>
      <c r="R36" s="1560" t="s">
        <v>8</v>
      </c>
      <c r="S36" s="1561" t="e">
        <f t="shared" si="12"/>
        <v>#N/A</v>
      </c>
      <c r="T36" s="1560" t="s">
        <v>8</v>
      </c>
      <c r="U36" s="1561" t="e">
        <f t="shared" si="13"/>
        <v>#N/A</v>
      </c>
      <c r="V36" s="1560" t="s">
        <v>8</v>
      </c>
      <c r="W36" s="1561" t="e">
        <f t="shared" si="14"/>
        <v>#N/A</v>
      </c>
      <c r="X36" s="1554"/>
      <c r="Y36" s="3413"/>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13"/>
      <c r="Q37" s="1147" t="str">
        <f t="shared" si="11"/>
        <v>市政基础设施</v>
      </c>
      <c r="R37" s="1555" t="s">
        <v>8</v>
      </c>
      <c r="S37" s="1556">
        <f t="shared" si="12"/>
        <v>100</v>
      </c>
      <c r="T37" s="1555" t="s">
        <v>8</v>
      </c>
      <c r="U37" s="1556">
        <f t="shared" si="13"/>
        <v>100</v>
      </c>
      <c r="V37" s="1555" t="s">
        <v>8</v>
      </c>
      <c r="W37" s="1556">
        <f t="shared" si="14"/>
        <v>100</v>
      </c>
      <c r="X37" s="1557"/>
      <c r="Y37" s="3413"/>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13" t="s">
        <v>766</v>
      </c>
      <c r="Q38" s="1559" t="str">
        <f t="shared" si="11"/>
        <v>业态</v>
      </c>
      <c r="R38" s="1560" t="s">
        <v>8</v>
      </c>
      <c r="S38" s="1561">
        <f t="shared" si="12"/>
        <v>100</v>
      </c>
      <c r="T38" s="1560" t="s">
        <v>8</v>
      </c>
      <c r="U38" s="1561">
        <f t="shared" si="13"/>
        <v>100</v>
      </c>
      <c r="V38" s="1560" t="s">
        <v>8</v>
      </c>
      <c r="W38" s="1561">
        <f t="shared" si="14"/>
        <v>100</v>
      </c>
      <c r="X38" s="1554"/>
      <c r="Y38" s="3413"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13"/>
      <c r="Q39" s="1559" t="str">
        <f t="shared" si="11"/>
        <v>层高</v>
      </c>
      <c r="R39" s="1560" t="s">
        <v>8</v>
      </c>
      <c r="S39" s="1561">
        <f t="shared" si="12"/>
        <v>100</v>
      </c>
      <c r="T39" s="1560" t="s">
        <v>8</v>
      </c>
      <c r="U39" s="1561">
        <f t="shared" si="13"/>
        <v>100</v>
      </c>
      <c r="V39" s="1560" t="s">
        <v>8</v>
      </c>
      <c r="W39" s="1561">
        <f t="shared" si="14"/>
        <v>100</v>
      </c>
      <c r="X39" s="1554"/>
      <c r="Y39" s="3413"/>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13"/>
      <c r="Q40" s="1559" t="str">
        <f t="shared" si="11"/>
        <v>单套建筑面积</v>
      </c>
      <c r="R40" s="1560" t="s">
        <v>8</v>
      </c>
      <c r="S40" s="1561">
        <f t="shared" si="12"/>
        <v>100</v>
      </c>
      <c r="T40" s="1560" t="s">
        <v>8</v>
      </c>
      <c r="U40" s="1561">
        <f t="shared" si="13"/>
        <v>100</v>
      </c>
      <c r="V40" s="1560" t="s">
        <v>8</v>
      </c>
      <c r="W40" s="1561">
        <f t="shared" si="14"/>
        <v>100</v>
      </c>
      <c r="X40" s="1554"/>
      <c r="Y40" s="3413"/>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13"/>
      <c r="Q41" s="1591" t="str">
        <f t="shared" si="11"/>
        <v>进深比</v>
      </c>
      <c r="R41" s="1564" t="s">
        <v>8</v>
      </c>
      <c r="S41" s="1565">
        <f t="shared" si="12"/>
        <v>100</v>
      </c>
      <c r="T41" s="1564" t="s">
        <v>8</v>
      </c>
      <c r="U41" s="1565">
        <f t="shared" si="13"/>
        <v>100</v>
      </c>
      <c r="V41" s="1564" t="s">
        <v>8</v>
      </c>
      <c r="W41" s="1565">
        <f t="shared" si="14"/>
        <v>100</v>
      </c>
      <c r="X41" s="1566"/>
      <c r="Y41" s="3413"/>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13"/>
      <c r="Q42" s="1559" t="str">
        <f t="shared" si="11"/>
        <v>内部装修</v>
      </c>
      <c r="R42" s="1560" t="s">
        <v>8</v>
      </c>
      <c r="S42" s="1561">
        <f t="shared" si="12"/>
        <v>100</v>
      </c>
      <c r="T42" s="1560" t="s">
        <v>8</v>
      </c>
      <c r="U42" s="1561">
        <f t="shared" si="13"/>
        <v>100</v>
      </c>
      <c r="V42" s="1560" t="s">
        <v>8</v>
      </c>
      <c r="W42" s="1561">
        <f t="shared" si="14"/>
        <v>100</v>
      </c>
      <c r="X42" s="1554"/>
      <c r="Y42" s="3413"/>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13"/>
      <c r="Q43" s="1559" t="str">
        <f t="shared" si="11"/>
        <v>内部装修维护情况</v>
      </c>
      <c r="R43" s="1560" t="s">
        <v>8</v>
      </c>
      <c r="S43" s="1561">
        <f t="shared" si="12"/>
        <v>100</v>
      </c>
      <c r="T43" s="1560" t="s">
        <v>8</v>
      </c>
      <c r="U43" s="1561">
        <f t="shared" si="13"/>
        <v>100</v>
      </c>
      <c r="V43" s="1560" t="s">
        <v>8</v>
      </c>
      <c r="W43" s="1561">
        <f t="shared" si="14"/>
        <v>100</v>
      </c>
      <c r="X43" s="1554"/>
      <c r="Y43" s="341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13"/>
      <c r="Q44" s="1147">
        <f t="shared" si="11"/>
        <v>111</v>
      </c>
      <c r="R44" s="1555" t="s">
        <v>8</v>
      </c>
      <c r="S44" s="1556">
        <f t="shared" si="12"/>
        <v>100</v>
      </c>
      <c r="T44" s="1555" t="s">
        <v>8</v>
      </c>
      <c r="U44" s="1556">
        <f t="shared" si="13"/>
        <v>100</v>
      </c>
      <c r="V44" s="1555" t="s">
        <v>8</v>
      </c>
      <c r="W44" s="1556">
        <f t="shared" si="14"/>
        <v>100</v>
      </c>
      <c r="X44" s="1557"/>
      <c r="Y44" s="341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13"/>
      <c r="Q45" s="1559">
        <f t="shared" si="11"/>
        <v>111</v>
      </c>
      <c r="R45" s="1560" t="s">
        <v>8</v>
      </c>
      <c r="S45" s="1561">
        <f t="shared" si="12"/>
        <v>100</v>
      </c>
      <c r="T45" s="1560" t="s">
        <v>8</v>
      </c>
      <c r="U45" s="1561">
        <f t="shared" si="13"/>
        <v>100</v>
      </c>
      <c r="V45" s="1560" t="s">
        <v>8</v>
      </c>
      <c r="W45" s="1561">
        <f t="shared" si="14"/>
        <v>100</v>
      </c>
      <c r="X45" s="1554"/>
      <c r="Y45" s="3413"/>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22"/>
      <c r="Q46" s="1559">
        <f t="shared" si="11"/>
        <v>111</v>
      </c>
      <c r="R46" s="1560" t="s">
        <v>8</v>
      </c>
      <c r="S46" s="1561">
        <f t="shared" si="12"/>
        <v>100</v>
      </c>
      <c r="T46" s="1560" t="s">
        <v>8</v>
      </c>
      <c r="U46" s="1561">
        <f t="shared" si="13"/>
        <v>100</v>
      </c>
      <c r="V46" s="1560" t="s">
        <v>8</v>
      </c>
      <c r="W46" s="1561">
        <f t="shared" si="14"/>
        <v>100</v>
      </c>
      <c r="X46" s="1554"/>
      <c r="Y46" s="3522"/>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5" t="str">
        <f>A47</f>
        <v>成交单价（元/平方米）</v>
      </c>
      <c r="Q47" s="3405"/>
      <c r="R47" s="3521">
        <f>E47</f>
        <v>0</v>
      </c>
      <c r="S47" s="3521"/>
      <c r="T47" s="3521">
        <f>G47</f>
        <v>0</v>
      </c>
      <c r="U47" s="3521"/>
      <c r="V47" s="3521">
        <f>I47</f>
        <v>0</v>
      </c>
      <c r="W47" s="3521"/>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05" t="str">
        <f>A48</f>
        <v>比较价格（元/平方米）</v>
      </c>
      <c r="Q48" s="3405"/>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9"/>
      <c r="L49" s="2130"/>
      <c r="M49" s="2131"/>
      <c r="N49" s="2120"/>
      <c r="O49" s="2131"/>
      <c r="P49" s="3409" t="str">
        <f>A49</f>
        <v>估价对象XX用房的比较价格（楼面单价，元/平方米）</v>
      </c>
      <c r="Q49" s="3410"/>
      <c r="R49" s="3520" t="e">
        <f>IF(F1="售价",ROUND(AVERAGE(R48:V48),0),ROUND(AVERAGE(R48:V48),1))</f>
        <v>#DIV/0!</v>
      </c>
      <c r="S49" s="3520"/>
      <c r="T49" s="3520"/>
      <c r="U49" s="3520"/>
      <c r="V49" s="3520"/>
      <c r="W49" s="3520"/>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27" t="s">
        <v>522</v>
      </c>
      <c r="D4" s="3428"/>
      <c r="E4" s="3444" t="s">
        <v>523</v>
      </c>
      <c r="F4" s="3445"/>
      <c r="G4" s="3427" t="s">
        <v>524</v>
      </c>
      <c r="H4" s="3428"/>
      <c r="I4" s="3427" t="s">
        <v>525</v>
      </c>
      <c r="J4" s="3428"/>
      <c r="K4" s="514" t="s">
        <v>526</v>
      </c>
      <c r="L4" s="2119"/>
      <c r="M4" s="2120"/>
      <c r="N4" s="2120"/>
      <c r="O4" s="2120"/>
      <c r="P4" s="3527" t="s">
        <v>527</v>
      </c>
      <c r="Q4" s="3430"/>
      <c r="R4" s="3417" t="s">
        <v>523</v>
      </c>
      <c r="S4" s="3418"/>
      <c r="T4" s="3417" t="s">
        <v>524</v>
      </c>
      <c r="U4" s="3418"/>
      <c r="V4" s="3414" t="s">
        <v>525</v>
      </c>
      <c r="W4" s="3414"/>
      <c r="X4" s="1554"/>
      <c r="Y4" s="3417" t="s">
        <v>527</v>
      </c>
      <c r="Z4" s="3418"/>
      <c r="AA4" s="3423" t="s">
        <v>523</v>
      </c>
      <c r="AB4" s="3423" t="s">
        <v>524</v>
      </c>
      <c r="AC4" s="3423" t="s">
        <v>525</v>
      </c>
    </row>
    <row r="5" spans="1:29" ht="15">
      <c r="A5" s="515"/>
      <c r="B5" s="516"/>
      <c r="C5" s="3435" t="s">
        <v>2925</v>
      </c>
      <c r="D5" s="3436"/>
      <c r="E5" s="3446" t="s">
        <v>2926</v>
      </c>
      <c r="F5" s="3447"/>
      <c r="G5" s="3435" t="s">
        <v>2927</v>
      </c>
      <c r="H5" s="3436"/>
      <c r="I5" s="3435" t="s">
        <v>2928</v>
      </c>
      <c r="J5" s="3436"/>
      <c r="K5" s="514"/>
      <c r="L5" s="2119"/>
      <c r="M5" s="2120"/>
      <c r="N5" s="2120"/>
      <c r="O5" s="2120"/>
      <c r="P5" s="3528"/>
      <c r="Q5" s="3432"/>
      <c r="R5" s="3419"/>
      <c r="S5" s="3420"/>
      <c r="T5" s="3419"/>
      <c r="U5" s="3420"/>
      <c r="V5" s="3414"/>
      <c r="W5" s="3414"/>
      <c r="X5" s="1554"/>
      <c r="Y5" s="3419"/>
      <c r="Z5" s="3420"/>
      <c r="AA5" s="3424"/>
      <c r="AB5" s="3424"/>
      <c r="AC5" s="3424"/>
    </row>
    <row r="6" spans="1:29" ht="15.75" thickBot="1">
      <c r="A6" s="517"/>
      <c r="B6" s="518"/>
      <c r="C6" s="3440" t="s">
        <v>2929</v>
      </c>
      <c r="D6" s="3441"/>
      <c r="E6" s="3442" t="s">
        <v>2929</v>
      </c>
      <c r="F6" s="3443"/>
      <c r="G6" s="3440" t="s">
        <v>2929</v>
      </c>
      <c r="H6" s="3441"/>
      <c r="I6" s="3440" t="s">
        <v>2929</v>
      </c>
      <c r="J6" s="3441"/>
      <c r="K6" s="514" t="s">
        <v>528</v>
      </c>
      <c r="L6" s="2119"/>
      <c r="M6" s="2120"/>
      <c r="N6" s="2120"/>
      <c r="O6" s="2120"/>
      <c r="P6" s="3529"/>
      <c r="Q6" s="3434"/>
      <c r="R6" s="3419"/>
      <c r="S6" s="3420"/>
      <c r="T6" s="3421"/>
      <c r="U6" s="3422"/>
      <c r="V6" s="3414"/>
      <c r="W6" s="3414"/>
      <c r="X6" s="1554"/>
      <c r="Y6" s="3421"/>
      <c r="Z6" s="3422"/>
      <c r="AA6" s="3425"/>
      <c r="AB6" s="3425"/>
      <c r="AC6" s="3425"/>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6" t="s">
        <v>530</v>
      </c>
      <c r="Q7" s="3426"/>
      <c r="R7" s="1555" t="s">
        <v>8</v>
      </c>
      <c r="S7" s="1556">
        <f t="shared" ref="S7:S15" si="0">F7</f>
        <v>0</v>
      </c>
      <c r="T7" s="1555" t="s">
        <v>8</v>
      </c>
      <c r="U7" s="1556">
        <f t="shared" ref="U7:U15" si="1">H7</f>
        <v>0</v>
      </c>
      <c r="V7" s="1555" t="s">
        <v>8</v>
      </c>
      <c r="W7" s="1556">
        <f t="shared" ref="W7:W15" si="2">J7</f>
        <v>0</v>
      </c>
      <c r="X7" s="1557"/>
      <c r="Y7" s="3415" t="s">
        <v>530</v>
      </c>
      <c r="Z7" s="3416"/>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6" t="s">
        <v>533</v>
      </c>
      <c r="Q8" s="3416"/>
      <c r="R8" s="1555" t="s">
        <v>8</v>
      </c>
      <c r="S8" s="1556">
        <f t="shared" si="0"/>
        <v>0</v>
      </c>
      <c r="T8" s="1555" t="s">
        <v>8</v>
      </c>
      <c r="U8" s="1556">
        <f t="shared" si="1"/>
        <v>0</v>
      </c>
      <c r="V8" s="1555" t="s">
        <v>8</v>
      </c>
      <c r="W8" s="1556">
        <f t="shared" si="2"/>
        <v>0</v>
      </c>
      <c r="X8" s="1557"/>
      <c r="Y8" s="3415" t="s">
        <v>533</v>
      </c>
      <c r="Z8" s="3416"/>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5"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5"/>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5"/>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5"/>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5"/>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5"/>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7" t="s">
        <v>540</v>
      </c>
      <c r="Q15" s="1559" t="str">
        <f t="shared" si="6"/>
        <v>办公集聚程度</v>
      </c>
      <c r="R15" s="1560" t="s">
        <v>8</v>
      </c>
      <c r="S15" s="1561">
        <f t="shared" si="0"/>
        <v>100</v>
      </c>
      <c r="T15" s="1560" t="s">
        <v>8</v>
      </c>
      <c r="U15" s="1561">
        <f t="shared" si="1"/>
        <v>100</v>
      </c>
      <c r="V15" s="1560" t="s">
        <v>8</v>
      </c>
      <c r="W15" s="1561">
        <f t="shared" si="2"/>
        <v>100</v>
      </c>
      <c r="X15" s="1554"/>
      <c r="Y15" s="3407"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8"/>
      <c r="Q16" s="1559"/>
      <c r="R16" s="1560"/>
      <c r="S16" s="1561"/>
      <c r="T16" s="1560"/>
      <c r="U16" s="1561"/>
      <c r="V16" s="1560"/>
      <c r="W16" s="1561"/>
      <c r="X16" s="1554"/>
      <c r="Y16" s="3408"/>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8"/>
      <c r="Q17" s="1559" t="str">
        <f>B17</f>
        <v>交通便捷度</v>
      </c>
      <c r="R17" s="1560" t="s">
        <v>8</v>
      </c>
      <c r="S17" s="1561">
        <f>F17</f>
        <v>100</v>
      </c>
      <c r="T17" s="1560" t="s">
        <v>8</v>
      </c>
      <c r="U17" s="1561">
        <f>H17</f>
        <v>100</v>
      </c>
      <c r="V17" s="1560" t="s">
        <v>8</v>
      </c>
      <c r="W17" s="1561">
        <f>J17</f>
        <v>100</v>
      </c>
      <c r="X17" s="1554"/>
      <c r="Y17" s="3408"/>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8"/>
      <c r="Q18" s="1559"/>
      <c r="R18" s="1560"/>
      <c r="S18" s="1561"/>
      <c r="T18" s="1560"/>
      <c r="U18" s="1561"/>
      <c r="V18" s="1560"/>
      <c r="W18" s="1561"/>
      <c r="X18" s="1554"/>
      <c r="Y18" s="3408"/>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8"/>
      <c r="Q19" s="1559" t="str">
        <f>B19</f>
        <v>公共配套设施</v>
      </c>
      <c r="R19" s="1560" t="s">
        <v>8</v>
      </c>
      <c r="S19" s="1561">
        <f>F19</f>
        <v>100</v>
      </c>
      <c r="T19" s="1560" t="s">
        <v>8</v>
      </c>
      <c r="U19" s="1561">
        <f>H19</f>
        <v>100</v>
      </c>
      <c r="V19" s="1560" t="s">
        <v>8</v>
      </c>
      <c r="W19" s="1561">
        <f>J19</f>
        <v>100</v>
      </c>
      <c r="X19" s="1554"/>
      <c r="Y19" s="3408"/>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8"/>
      <c r="Q20" s="1559"/>
      <c r="R20" s="1560"/>
      <c r="S20" s="1561"/>
      <c r="T20" s="1560"/>
      <c r="U20" s="1561"/>
      <c r="V20" s="1560"/>
      <c r="W20" s="1561"/>
      <c r="X20" s="1554"/>
      <c r="Y20" s="3408"/>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8"/>
      <c r="Q21" s="2544" t="str">
        <f>B21</f>
        <v>基础设施水平</v>
      </c>
      <c r="R21" s="1560" t="s">
        <v>8</v>
      </c>
      <c r="S21" s="1561">
        <f>F21</f>
        <v>100</v>
      </c>
      <c r="T21" s="1560" t="s">
        <v>8</v>
      </c>
      <c r="U21" s="1561">
        <f>H21</f>
        <v>100</v>
      </c>
      <c r="V21" s="1560" t="s">
        <v>8</v>
      </c>
      <c r="W21" s="1561">
        <f>J21</f>
        <v>100</v>
      </c>
      <c r="X21" s="2546"/>
      <c r="Y21" s="3408"/>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8"/>
      <c r="Q22" s="2544"/>
      <c r="R22" s="1560"/>
      <c r="S22" s="1561"/>
      <c r="T22" s="1560"/>
      <c r="U22" s="1561"/>
      <c r="V22" s="1560"/>
      <c r="W22" s="1561"/>
      <c r="X22" s="2546"/>
      <c r="Y22" s="3408"/>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8"/>
      <c r="Q23" s="1559" t="str">
        <f>B23</f>
        <v>环境质量</v>
      </c>
      <c r="R23" s="1560" t="s">
        <v>8</v>
      </c>
      <c r="S23" s="1561">
        <f>F23</f>
        <v>100</v>
      </c>
      <c r="T23" s="1560" t="s">
        <v>8</v>
      </c>
      <c r="U23" s="1561">
        <f>H23</f>
        <v>100</v>
      </c>
      <c r="V23" s="1560" t="s">
        <v>8</v>
      </c>
      <c r="W23" s="1561">
        <f>J23</f>
        <v>100</v>
      </c>
      <c r="X23" s="1554"/>
      <c r="Y23" s="3408"/>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8"/>
      <c r="Q24" s="1559"/>
      <c r="R24" s="1560"/>
      <c r="S24" s="1561"/>
      <c r="T24" s="1560"/>
      <c r="U24" s="1561"/>
      <c r="V24" s="1560"/>
      <c r="W24" s="1561"/>
      <c r="X24" s="1554"/>
      <c r="Y24" s="3408"/>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8"/>
      <c r="Q25" s="1559" t="str">
        <f>B25</f>
        <v>毗邻道路的类型与等级</v>
      </c>
      <c r="R25" s="1560" t="s">
        <v>8</v>
      </c>
      <c r="S25" s="1561">
        <f>F25</f>
        <v>100</v>
      </c>
      <c r="T25" s="1560" t="s">
        <v>8</v>
      </c>
      <c r="U25" s="1561">
        <f>H25</f>
        <v>100</v>
      </c>
      <c r="V25" s="1560" t="s">
        <v>8</v>
      </c>
      <c r="W25" s="1561">
        <f>J25</f>
        <v>100</v>
      </c>
      <c r="X25" s="1554"/>
      <c r="Y25" s="3408"/>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8"/>
      <c r="Q26" s="1559"/>
      <c r="R26" s="1560"/>
      <c r="S26" s="1561"/>
      <c r="T26" s="1560"/>
      <c r="U26" s="1561"/>
      <c r="V26" s="1560"/>
      <c r="W26" s="1561"/>
      <c r="X26" s="1554"/>
      <c r="Y26" s="3408"/>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8"/>
      <c r="Q27" s="1559" t="str">
        <f t="shared" ref="Q27:Q47" si="11">B27</f>
        <v>楼层</v>
      </c>
      <c r="R27" s="1560" t="s">
        <v>8</v>
      </c>
      <c r="S27" s="1561">
        <f>F27</f>
        <v>100</v>
      </c>
      <c r="T27" s="1560" t="s">
        <v>8</v>
      </c>
      <c r="U27" s="1561">
        <f>H27</f>
        <v>100</v>
      </c>
      <c r="V27" s="1560" t="s">
        <v>8</v>
      </c>
      <c r="W27" s="1561">
        <f>J27</f>
        <v>100</v>
      </c>
      <c r="X27" s="1554"/>
      <c r="Y27" s="3408"/>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8"/>
      <c r="Q28" s="1147" t="str">
        <f t="shared" si="11"/>
        <v>朝向</v>
      </c>
      <c r="R28" s="1555" t="s">
        <v>8</v>
      </c>
      <c r="S28" s="1556">
        <f>F28</f>
        <v>100</v>
      </c>
      <c r="T28" s="1555" t="s">
        <v>8</v>
      </c>
      <c r="U28" s="1556">
        <f>H28</f>
        <v>100</v>
      </c>
      <c r="V28" s="1555" t="s">
        <v>8</v>
      </c>
      <c r="W28" s="1556">
        <f>J28</f>
        <v>100</v>
      </c>
      <c r="X28" s="1557"/>
      <c r="Y28" s="3408"/>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8"/>
      <c r="Q29" s="1559">
        <f t="shared" si="11"/>
        <v>111</v>
      </c>
      <c r="R29" s="1560" t="s">
        <v>8</v>
      </c>
      <c r="S29" s="1561">
        <f t="shared" ref="S29:S47" si="12">F29</f>
        <v>100</v>
      </c>
      <c r="T29" s="1560" t="s">
        <v>8</v>
      </c>
      <c r="U29" s="1561">
        <f t="shared" ref="U29:U47" si="13">H29</f>
        <v>100</v>
      </c>
      <c r="V29" s="1560" t="s">
        <v>8</v>
      </c>
      <c r="W29" s="1561">
        <f t="shared" ref="W29:W47" si="14">J29</f>
        <v>100</v>
      </c>
      <c r="X29" s="1554"/>
      <c r="Y29" s="3408"/>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8"/>
      <c r="Q30" s="1559">
        <f t="shared" si="11"/>
        <v>111</v>
      </c>
      <c r="R30" s="1560" t="s">
        <v>8</v>
      </c>
      <c r="S30" s="1561">
        <f t="shared" si="12"/>
        <v>100</v>
      </c>
      <c r="T30" s="1560" t="s">
        <v>8</v>
      </c>
      <c r="U30" s="1561">
        <f t="shared" si="13"/>
        <v>100</v>
      </c>
      <c r="V30" s="1560" t="s">
        <v>8</v>
      </c>
      <c r="W30" s="1561">
        <f t="shared" si="14"/>
        <v>100</v>
      </c>
      <c r="X30" s="1554"/>
      <c r="Y30" s="3408"/>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8"/>
      <c r="Q31" s="1559">
        <f t="shared" si="11"/>
        <v>111</v>
      </c>
      <c r="R31" s="1560" t="s">
        <v>8</v>
      </c>
      <c r="S31" s="1561">
        <f t="shared" si="12"/>
        <v>100</v>
      </c>
      <c r="T31" s="1560" t="s">
        <v>8</v>
      </c>
      <c r="U31" s="1561">
        <f t="shared" si="13"/>
        <v>100</v>
      </c>
      <c r="V31" s="1560" t="s">
        <v>8</v>
      </c>
      <c r="W31" s="1561">
        <f t="shared" si="14"/>
        <v>100</v>
      </c>
      <c r="X31" s="1554"/>
      <c r="Y31" s="3408"/>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8"/>
      <c r="Q32" s="1559">
        <f t="shared" si="11"/>
        <v>111</v>
      </c>
      <c r="R32" s="1560" t="s">
        <v>8</v>
      </c>
      <c r="S32" s="1561">
        <f t="shared" si="12"/>
        <v>100</v>
      </c>
      <c r="T32" s="1560" t="s">
        <v>8</v>
      </c>
      <c r="U32" s="1561">
        <f t="shared" si="13"/>
        <v>100</v>
      </c>
      <c r="V32" s="1560" t="s">
        <v>8</v>
      </c>
      <c r="W32" s="1561">
        <f t="shared" si="14"/>
        <v>100</v>
      </c>
      <c r="X32" s="1554"/>
      <c r="Y32" s="3408"/>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12" t="s">
        <v>550</v>
      </c>
      <c r="Q33" s="1559" t="str">
        <f t="shared" si="11"/>
        <v>建筑类型</v>
      </c>
      <c r="R33" s="1560" t="s">
        <v>8</v>
      </c>
      <c r="S33" s="1561">
        <f t="shared" si="12"/>
        <v>100</v>
      </c>
      <c r="T33" s="1560" t="s">
        <v>8</v>
      </c>
      <c r="U33" s="1561">
        <f t="shared" si="13"/>
        <v>100</v>
      </c>
      <c r="V33" s="1560" t="s">
        <v>8</v>
      </c>
      <c r="W33" s="1561">
        <f t="shared" si="14"/>
        <v>100</v>
      </c>
      <c r="X33" s="1554"/>
      <c r="Y33" s="3413"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13"/>
      <c r="Q34" s="1591" t="str">
        <f t="shared" si="11"/>
        <v>项目建筑规模</v>
      </c>
      <c r="R34" s="1564" t="s">
        <v>8</v>
      </c>
      <c r="S34" s="1565" t="e">
        <f t="shared" si="12"/>
        <v>#N/A</v>
      </c>
      <c r="T34" s="1564" t="s">
        <v>8</v>
      </c>
      <c r="U34" s="1565" t="e">
        <f t="shared" si="13"/>
        <v>#N/A</v>
      </c>
      <c r="V34" s="1564" t="s">
        <v>8</v>
      </c>
      <c r="W34" s="1565" t="e">
        <f t="shared" si="14"/>
        <v>#N/A</v>
      </c>
      <c r="X34" s="1566"/>
      <c r="Y34" s="3413"/>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13"/>
      <c r="Q35" s="1559" t="str">
        <f t="shared" si="11"/>
        <v>建筑结构</v>
      </c>
      <c r="R35" s="1560" t="s">
        <v>8</v>
      </c>
      <c r="S35" s="1561">
        <f t="shared" si="12"/>
        <v>100</v>
      </c>
      <c r="T35" s="1560" t="s">
        <v>8</v>
      </c>
      <c r="U35" s="1561">
        <f t="shared" si="13"/>
        <v>100</v>
      </c>
      <c r="V35" s="1560" t="s">
        <v>8</v>
      </c>
      <c r="W35" s="1561">
        <f t="shared" si="14"/>
        <v>100</v>
      </c>
      <c r="X35" s="1554"/>
      <c r="Y35" s="3413"/>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13"/>
      <c r="Q36" s="1559" t="str">
        <f t="shared" si="11"/>
        <v>公共部分装修</v>
      </c>
      <c r="R36" s="1560" t="s">
        <v>8</v>
      </c>
      <c r="S36" s="1561">
        <f t="shared" si="12"/>
        <v>100</v>
      </c>
      <c r="T36" s="1560" t="s">
        <v>8</v>
      </c>
      <c r="U36" s="1561">
        <f t="shared" si="13"/>
        <v>100</v>
      </c>
      <c r="V36" s="1560" t="s">
        <v>8</v>
      </c>
      <c r="W36" s="1561">
        <f t="shared" si="14"/>
        <v>100</v>
      </c>
      <c r="X36" s="1554"/>
      <c r="Y36" s="3413"/>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13"/>
      <c r="Q37" s="1559" t="str">
        <f t="shared" si="11"/>
        <v>成新度</v>
      </c>
      <c r="R37" s="1560" t="s">
        <v>8</v>
      </c>
      <c r="S37" s="1561" t="e">
        <f t="shared" si="12"/>
        <v>#N/A</v>
      </c>
      <c r="T37" s="1560" t="s">
        <v>8</v>
      </c>
      <c r="U37" s="1561" t="e">
        <f t="shared" si="13"/>
        <v>#N/A</v>
      </c>
      <c r="V37" s="1560" t="s">
        <v>8</v>
      </c>
      <c r="W37" s="1561" t="e">
        <f t="shared" si="14"/>
        <v>#N/A</v>
      </c>
      <c r="X37" s="1554"/>
      <c r="Y37" s="3413"/>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13"/>
      <c r="Q38" s="1147" t="str">
        <f t="shared" si="11"/>
        <v>写字楼等级</v>
      </c>
      <c r="R38" s="1555" t="s">
        <v>8</v>
      </c>
      <c r="S38" s="1556">
        <f t="shared" si="12"/>
        <v>100</v>
      </c>
      <c r="T38" s="1555" t="s">
        <v>8</v>
      </c>
      <c r="U38" s="1556">
        <f t="shared" si="13"/>
        <v>100</v>
      </c>
      <c r="V38" s="1555" t="s">
        <v>8</v>
      </c>
      <c r="W38" s="1556">
        <f t="shared" si="14"/>
        <v>100</v>
      </c>
      <c r="X38" s="1557"/>
      <c r="Y38" s="3413"/>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13" t="s">
        <v>550</v>
      </c>
      <c r="Q39" s="1559" t="str">
        <f t="shared" si="11"/>
        <v>物业管理</v>
      </c>
      <c r="R39" s="1560" t="s">
        <v>8</v>
      </c>
      <c r="S39" s="1561">
        <f t="shared" si="12"/>
        <v>100</v>
      </c>
      <c r="T39" s="1560" t="s">
        <v>8</v>
      </c>
      <c r="U39" s="1561">
        <f t="shared" si="13"/>
        <v>100</v>
      </c>
      <c r="V39" s="1560" t="s">
        <v>8</v>
      </c>
      <c r="W39" s="1561">
        <f t="shared" si="14"/>
        <v>100</v>
      </c>
      <c r="X39" s="1554"/>
      <c r="Y39" s="3413"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13"/>
      <c r="Q40" s="1559" t="str">
        <f t="shared" si="11"/>
        <v>市政基础设施</v>
      </c>
      <c r="R40" s="1560" t="s">
        <v>8</v>
      </c>
      <c r="S40" s="1561">
        <f t="shared" si="12"/>
        <v>100</v>
      </c>
      <c r="T40" s="1560" t="s">
        <v>8</v>
      </c>
      <c r="U40" s="1561">
        <f t="shared" si="13"/>
        <v>100</v>
      </c>
      <c r="V40" s="1560" t="s">
        <v>8</v>
      </c>
      <c r="W40" s="1561">
        <f t="shared" si="14"/>
        <v>100</v>
      </c>
      <c r="X40" s="1554"/>
      <c r="Y40" s="3413"/>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13"/>
      <c r="Q41" s="1559" t="str">
        <f t="shared" si="11"/>
        <v>层高</v>
      </c>
      <c r="R41" s="1560" t="s">
        <v>8</v>
      </c>
      <c r="S41" s="1561">
        <f t="shared" si="12"/>
        <v>100</v>
      </c>
      <c r="T41" s="1560" t="s">
        <v>8</v>
      </c>
      <c r="U41" s="1561">
        <f t="shared" si="13"/>
        <v>100</v>
      </c>
      <c r="V41" s="1560" t="s">
        <v>8</v>
      </c>
      <c r="W41" s="1561">
        <f t="shared" si="14"/>
        <v>100</v>
      </c>
      <c r="X41" s="1554"/>
      <c r="Y41" s="3413"/>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13"/>
      <c r="Q42" s="1591" t="str">
        <f t="shared" si="11"/>
        <v>单套建筑面积</v>
      </c>
      <c r="R42" s="1564" t="s">
        <v>8</v>
      </c>
      <c r="S42" s="1565">
        <f t="shared" si="12"/>
        <v>100</v>
      </c>
      <c r="T42" s="1564" t="s">
        <v>8</v>
      </c>
      <c r="U42" s="1565">
        <f t="shared" si="13"/>
        <v>100</v>
      </c>
      <c r="V42" s="1564" t="s">
        <v>8</v>
      </c>
      <c r="W42" s="1565">
        <f t="shared" si="14"/>
        <v>100</v>
      </c>
      <c r="X42" s="1566"/>
      <c r="Y42" s="3413"/>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13"/>
      <c r="Q43" s="1559" t="str">
        <f t="shared" si="11"/>
        <v>内部装修</v>
      </c>
      <c r="R43" s="1560" t="s">
        <v>8</v>
      </c>
      <c r="S43" s="1561">
        <f t="shared" si="12"/>
        <v>100</v>
      </c>
      <c r="T43" s="1560" t="s">
        <v>8</v>
      </c>
      <c r="U43" s="1561">
        <f t="shared" si="13"/>
        <v>100</v>
      </c>
      <c r="V43" s="1560" t="s">
        <v>8</v>
      </c>
      <c r="W43" s="1561">
        <f t="shared" si="14"/>
        <v>100</v>
      </c>
      <c r="X43" s="1554"/>
      <c r="Y43" s="3413"/>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13"/>
      <c r="Q44" s="1559" t="str">
        <f t="shared" si="11"/>
        <v>内部装修维护情况</v>
      </c>
      <c r="R44" s="1560" t="s">
        <v>8</v>
      </c>
      <c r="S44" s="1561">
        <f t="shared" si="12"/>
        <v>100</v>
      </c>
      <c r="T44" s="1560" t="s">
        <v>8</v>
      </c>
      <c r="U44" s="1561">
        <f t="shared" si="13"/>
        <v>100</v>
      </c>
      <c r="V44" s="1560" t="s">
        <v>8</v>
      </c>
      <c r="W44" s="1561">
        <f t="shared" si="14"/>
        <v>100</v>
      </c>
      <c r="X44" s="1554"/>
      <c r="Y44" s="341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13"/>
      <c r="Q45" s="1147">
        <f t="shared" si="11"/>
        <v>111</v>
      </c>
      <c r="R45" s="1555" t="s">
        <v>8</v>
      </c>
      <c r="S45" s="1556">
        <f t="shared" si="12"/>
        <v>100</v>
      </c>
      <c r="T45" s="1555" t="s">
        <v>8</v>
      </c>
      <c r="U45" s="1556">
        <f t="shared" si="13"/>
        <v>100</v>
      </c>
      <c r="V45" s="1555" t="s">
        <v>8</v>
      </c>
      <c r="W45" s="1556">
        <f t="shared" si="14"/>
        <v>100</v>
      </c>
      <c r="X45" s="1557"/>
      <c r="Y45" s="341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13"/>
      <c r="Q46" s="1559">
        <f t="shared" si="11"/>
        <v>111</v>
      </c>
      <c r="R46" s="1560" t="s">
        <v>8</v>
      </c>
      <c r="S46" s="1561">
        <f t="shared" si="12"/>
        <v>100</v>
      </c>
      <c r="T46" s="1560" t="s">
        <v>8</v>
      </c>
      <c r="U46" s="1561">
        <f t="shared" si="13"/>
        <v>100</v>
      </c>
      <c r="V46" s="1560" t="s">
        <v>8</v>
      </c>
      <c r="W46" s="1561">
        <f t="shared" si="14"/>
        <v>100</v>
      </c>
      <c r="X46" s="1554"/>
      <c r="Y46" s="3413"/>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22"/>
      <c r="Q47" s="1559">
        <f t="shared" si="11"/>
        <v>111</v>
      </c>
      <c r="R47" s="1560" t="s">
        <v>8</v>
      </c>
      <c r="S47" s="1561">
        <f t="shared" si="12"/>
        <v>100</v>
      </c>
      <c r="T47" s="1560" t="s">
        <v>8</v>
      </c>
      <c r="U47" s="1561">
        <f t="shared" si="13"/>
        <v>100</v>
      </c>
      <c r="V47" s="1560" t="s">
        <v>8</v>
      </c>
      <c r="W47" s="1561">
        <f t="shared" si="14"/>
        <v>100</v>
      </c>
      <c r="X47" s="1554"/>
      <c r="Y47" s="3522"/>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0" t="str">
        <f>A48</f>
        <v>成交单价（元/平方米）</v>
      </c>
      <c r="Q48" s="3405"/>
      <c r="R48" s="3521">
        <f>E48</f>
        <v>0</v>
      </c>
      <c r="S48" s="3521"/>
      <c r="T48" s="3521">
        <f>G48</f>
        <v>0</v>
      </c>
      <c r="U48" s="3521"/>
      <c r="V48" s="3521">
        <f>I48</f>
        <v>0</v>
      </c>
      <c r="W48" s="3521"/>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10" t="str">
        <f>A49</f>
        <v>比较价格（元/平方米）</v>
      </c>
      <c r="Q49" s="3405"/>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1546"/>
      <c r="Y49" s="1546"/>
      <c r="Z49" s="1546"/>
      <c r="AA49" s="1546"/>
      <c r="AB49" s="1546"/>
      <c r="AC49" s="1546"/>
    </row>
    <row r="50" spans="1:29" ht="15.75" thickBot="1">
      <c r="A50" s="621" t="s">
        <v>2931</v>
      </c>
      <c r="B50" s="622"/>
      <c r="C50" s="2601" t="e">
        <f>R50</f>
        <v>#DIV/0!</v>
      </c>
      <c r="D50" s="2601"/>
      <c r="E50" s="2601"/>
      <c r="F50" s="2601"/>
      <c r="G50" s="2601"/>
      <c r="H50" s="2601"/>
      <c r="I50" s="2601"/>
      <c r="J50" s="2601"/>
      <c r="K50" s="1599"/>
      <c r="L50" s="2130"/>
      <c r="M50" s="2120"/>
      <c r="N50" s="2120"/>
      <c r="O50" s="2120"/>
      <c r="P50" s="3526" t="str">
        <f>A50</f>
        <v>估价对象XX用房的比较价格（楼面单价，元/平方米）</v>
      </c>
      <c r="Q50" s="3410"/>
      <c r="R50" s="3520" t="e">
        <f>IF(F1="售价",ROUND(AVERAGE(R49:V49),0),ROUND(AVERAGE(R49:V49),1))</f>
        <v>#DIV/0!</v>
      </c>
      <c r="S50" s="3520"/>
      <c r="T50" s="3520"/>
      <c r="U50" s="3520"/>
      <c r="V50" s="3520"/>
      <c r="W50" s="3520"/>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27" t="s">
        <v>522</v>
      </c>
      <c r="D4" s="3428"/>
      <c r="E4" s="3444" t="s">
        <v>523</v>
      </c>
      <c r="F4" s="3445"/>
      <c r="G4" s="3427" t="s">
        <v>524</v>
      </c>
      <c r="H4" s="3428"/>
      <c r="I4" s="3427" t="s">
        <v>525</v>
      </c>
      <c r="J4" s="3428"/>
      <c r="K4" s="514" t="s">
        <v>526</v>
      </c>
      <c r="L4" s="2119"/>
      <c r="M4" s="2120"/>
      <c r="N4" s="2120"/>
      <c r="O4" s="2120"/>
      <c r="P4" s="3429" t="s">
        <v>527</v>
      </c>
      <c r="Q4" s="3430"/>
      <c r="R4" s="3417" t="s">
        <v>523</v>
      </c>
      <c r="S4" s="3418"/>
      <c r="T4" s="3417" t="s">
        <v>524</v>
      </c>
      <c r="U4" s="3418"/>
      <c r="V4" s="3414" t="s">
        <v>525</v>
      </c>
      <c r="W4" s="3414"/>
      <c r="X4" s="1554"/>
      <c r="Y4" s="3417" t="s">
        <v>527</v>
      </c>
      <c r="Z4" s="3418"/>
      <c r="AA4" s="3423" t="s">
        <v>523</v>
      </c>
      <c r="AB4" s="3424" t="s">
        <v>524</v>
      </c>
      <c r="AC4" s="3423" t="s">
        <v>525</v>
      </c>
    </row>
    <row r="5" spans="1:29" ht="15">
      <c r="A5" s="515"/>
      <c r="B5" s="516"/>
      <c r="C5" s="3435" t="s">
        <v>2925</v>
      </c>
      <c r="D5" s="3436"/>
      <c r="E5" s="3446" t="s">
        <v>2926</v>
      </c>
      <c r="F5" s="3447"/>
      <c r="G5" s="3435" t="s">
        <v>2927</v>
      </c>
      <c r="H5" s="3436"/>
      <c r="I5" s="3435" t="s">
        <v>2928</v>
      </c>
      <c r="J5" s="3436"/>
      <c r="K5" s="514"/>
      <c r="L5" s="2119"/>
      <c r="M5" s="2120"/>
      <c r="N5" s="2120"/>
      <c r="O5" s="2120"/>
      <c r="P5" s="3431"/>
      <c r="Q5" s="3432"/>
      <c r="R5" s="3419"/>
      <c r="S5" s="3420"/>
      <c r="T5" s="3419"/>
      <c r="U5" s="3420"/>
      <c r="V5" s="3414"/>
      <c r="W5" s="3414"/>
      <c r="X5" s="1554"/>
      <c r="Y5" s="3419"/>
      <c r="Z5" s="3420"/>
      <c r="AA5" s="3424"/>
      <c r="AB5" s="3424"/>
      <c r="AC5" s="3424"/>
    </row>
    <row r="6" spans="1:29" ht="15.75" thickBot="1">
      <c r="A6" s="517"/>
      <c r="B6" s="518"/>
      <c r="C6" s="3440" t="s">
        <v>2929</v>
      </c>
      <c r="D6" s="3441"/>
      <c r="E6" s="3442" t="s">
        <v>2929</v>
      </c>
      <c r="F6" s="3443"/>
      <c r="G6" s="3440" t="s">
        <v>2929</v>
      </c>
      <c r="H6" s="3441"/>
      <c r="I6" s="3440" t="s">
        <v>2929</v>
      </c>
      <c r="J6" s="3441"/>
      <c r="K6" s="514" t="s">
        <v>528</v>
      </c>
      <c r="L6" s="2119"/>
      <c r="M6" s="2120"/>
      <c r="N6" s="2120"/>
      <c r="O6" s="2120"/>
      <c r="P6" s="3433"/>
      <c r="Q6" s="3434"/>
      <c r="R6" s="3419"/>
      <c r="S6" s="3420"/>
      <c r="T6" s="3421"/>
      <c r="U6" s="3422"/>
      <c r="V6" s="3414"/>
      <c r="W6" s="3414"/>
      <c r="X6" s="1554"/>
      <c r="Y6" s="3421"/>
      <c r="Z6" s="3422"/>
      <c r="AA6" s="3425"/>
      <c r="AB6" s="3425"/>
      <c r="AC6" s="3425"/>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5" t="s">
        <v>530</v>
      </c>
      <c r="Q7" s="3426"/>
      <c r="R7" s="1555" t="s">
        <v>8</v>
      </c>
      <c r="S7" s="1556">
        <f t="shared" ref="S7:S15" si="0">F7</f>
        <v>0</v>
      </c>
      <c r="T7" s="1555" t="s">
        <v>8</v>
      </c>
      <c r="U7" s="1556">
        <f t="shared" ref="U7:U15" si="1">H7</f>
        <v>0</v>
      </c>
      <c r="V7" s="1555" t="s">
        <v>8</v>
      </c>
      <c r="W7" s="1556">
        <f t="shared" ref="W7:W15" si="2">J7</f>
        <v>0</v>
      </c>
      <c r="X7" s="1557"/>
      <c r="Y7" s="3415" t="s">
        <v>530</v>
      </c>
      <c r="Z7" s="3416"/>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5" t="s">
        <v>533</v>
      </c>
      <c r="Q8" s="3416"/>
      <c r="R8" s="1555" t="s">
        <v>8</v>
      </c>
      <c r="S8" s="1556">
        <f t="shared" si="0"/>
        <v>0</v>
      </c>
      <c r="T8" s="1555" t="s">
        <v>8</v>
      </c>
      <c r="U8" s="1556">
        <f t="shared" si="1"/>
        <v>0</v>
      </c>
      <c r="V8" s="1555" t="s">
        <v>8</v>
      </c>
      <c r="W8" s="1556">
        <f t="shared" si="2"/>
        <v>0</v>
      </c>
      <c r="X8" s="1557"/>
      <c r="Y8" s="3415" t="s">
        <v>533</v>
      </c>
      <c r="Z8" s="3416"/>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5"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5"/>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5"/>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5"/>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5"/>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5"/>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7" t="s">
        <v>540</v>
      </c>
      <c r="Q15" s="1559" t="str">
        <f t="shared" si="6"/>
        <v>产业集聚程度</v>
      </c>
      <c r="R15" s="1560" t="s">
        <v>8</v>
      </c>
      <c r="S15" s="1561">
        <f t="shared" si="0"/>
        <v>100</v>
      </c>
      <c r="T15" s="1560" t="s">
        <v>8</v>
      </c>
      <c r="U15" s="1561">
        <f t="shared" si="1"/>
        <v>100</v>
      </c>
      <c r="V15" s="1560" t="s">
        <v>8</v>
      </c>
      <c r="W15" s="1561">
        <f t="shared" si="2"/>
        <v>100</v>
      </c>
      <c r="X15" s="1554"/>
      <c r="Y15" s="3407"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8"/>
      <c r="Q16" s="1559"/>
      <c r="R16" s="1560"/>
      <c r="S16" s="1561"/>
      <c r="T16" s="1560"/>
      <c r="U16" s="1561"/>
      <c r="V16" s="1560"/>
      <c r="W16" s="1561"/>
      <c r="X16" s="1554"/>
      <c r="Y16" s="3408"/>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8"/>
      <c r="Q17" s="1559" t="str">
        <f>B17</f>
        <v>交通便捷度</v>
      </c>
      <c r="R17" s="1560" t="s">
        <v>8</v>
      </c>
      <c r="S17" s="1561">
        <f>F17</f>
        <v>100</v>
      </c>
      <c r="T17" s="1560" t="s">
        <v>8</v>
      </c>
      <c r="U17" s="1561">
        <f>H17</f>
        <v>100</v>
      </c>
      <c r="V17" s="1560" t="s">
        <v>8</v>
      </c>
      <c r="W17" s="1561">
        <f>J17</f>
        <v>100</v>
      </c>
      <c r="X17" s="1554"/>
      <c r="Y17" s="3408"/>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8"/>
      <c r="Q18" s="1559"/>
      <c r="R18" s="1560"/>
      <c r="S18" s="1561"/>
      <c r="T18" s="1560"/>
      <c r="U18" s="1561"/>
      <c r="V18" s="1560"/>
      <c r="W18" s="1561"/>
      <c r="X18" s="1554"/>
      <c r="Y18" s="3408"/>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8"/>
      <c r="Q19" s="1559" t="str">
        <f>B19</f>
        <v>公共配套设施</v>
      </c>
      <c r="R19" s="1560" t="s">
        <v>8</v>
      </c>
      <c r="S19" s="1561">
        <f>F19</f>
        <v>100</v>
      </c>
      <c r="T19" s="1560" t="s">
        <v>8</v>
      </c>
      <c r="U19" s="1561">
        <f>H19</f>
        <v>100</v>
      </c>
      <c r="V19" s="1560" t="s">
        <v>8</v>
      </c>
      <c r="W19" s="1561">
        <f>J19</f>
        <v>100</v>
      </c>
      <c r="X19" s="1554"/>
      <c r="Y19" s="3408"/>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8"/>
      <c r="Q20" s="1559"/>
      <c r="R20" s="1560"/>
      <c r="S20" s="1561"/>
      <c r="T20" s="1560"/>
      <c r="U20" s="1561"/>
      <c r="V20" s="1560"/>
      <c r="W20" s="1561"/>
      <c r="X20" s="1554"/>
      <c r="Y20" s="3408"/>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8"/>
      <c r="Q21" s="2544" t="str">
        <f>B21</f>
        <v>基础设施水平</v>
      </c>
      <c r="R21" s="1560" t="s">
        <v>8</v>
      </c>
      <c r="S21" s="1561">
        <f>F21</f>
        <v>100</v>
      </c>
      <c r="T21" s="1560" t="s">
        <v>8</v>
      </c>
      <c r="U21" s="1561">
        <f>H21</f>
        <v>100</v>
      </c>
      <c r="V21" s="1560" t="s">
        <v>8</v>
      </c>
      <c r="W21" s="1561">
        <f>J21</f>
        <v>100</v>
      </c>
      <c r="X21" s="2546"/>
      <c r="Y21" s="3408"/>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8"/>
      <c r="Q22" s="2544"/>
      <c r="R22" s="1560"/>
      <c r="S22" s="1561"/>
      <c r="T22" s="1560"/>
      <c r="U22" s="1561"/>
      <c r="V22" s="1560"/>
      <c r="W22" s="1561"/>
      <c r="X22" s="2546"/>
      <c r="Y22" s="3408"/>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8"/>
      <c r="Q23" s="1559" t="str">
        <f>B23</f>
        <v>环境质量</v>
      </c>
      <c r="R23" s="1560" t="s">
        <v>8</v>
      </c>
      <c r="S23" s="1561">
        <f>F23</f>
        <v>100</v>
      </c>
      <c r="T23" s="1560" t="s">
        <v>8</v>
      </c>
      <c r="U23" s="1561">
        <f>H23</f>
        <v>100</v>
      </c>
      <c r="V23" s="1560" t="s">
        <v>8</v>
      </c>
      <c r="W23" s="1561">
        <f>J23</f>
        <v>100</v>
      </c>
      <c r="X23" s="1554"/>
      <c r="Y23" s="3408"/>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8"/>
      <c r="Q24" s="1559"/>
      <c r="R24" s="1560"/>
      <c r="S24" s="1561"/>
      <c r="T24" s="1560"/>
      <c r="U24" s="1561"/>
      <c r="V24" s="1560"/>
      <c r="W24" s="1561"/>
      <c r="X24" s="1554"/>
      <c r="Y24" s="3408"/>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8"/>
      <c r="Q25" s="1559">
        <f>B25</f>
        <v>111</v>
      </c>
      <c r="R25" s="1560" t="s">
        <v>8</v>
      </c>
      <c r="S25" s="1561">
        <f>F25</f>
        <v>100</v>
      </c>
      <c r="T25" s="1560" t="s">
        <v>8</v>
      </c>
      <c r="U25" s="1561">
        <f>H25</f>
        <v>100</v>
      </c>
      <c r="V25" s="1560" t="s">
        <v>8</v>
      </c>
      <c r="W25" s="1561">
        <f>J25</f>
        <v>100</v>
      </c>
      <c r="X25" s="1554"/>
      <c r="Y25" s="3408"/>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8"/>
      <c r="Q26" s="1559">
        <f t="shared" ref="Q26:Q40" si="11">B26</f>
        <v>111</v>
      </c>
      <c r="R26" s="1560" t="s">
        <v>8</v>
      </c>
      <c r="S26" s="1561">
        <f>F26</f>
        <v>100</v>
      </c>
      <c r="T26" s="1560" t="s">
        <v>8</v>
      </c>
      <c r="U26" s="1561">
        <f>H26</f>
        <v>100</v>
      </c>
      <c r="V26" s="1560" t="s">
        <v>8</v>
      </c>
      <c r="W26" s="1561">
        <f>J26</f>
        <v>100</v>
      </c>
      <c r="X26" s="1554"/>
      <c r="Y26" s="3408"/>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8"/>
      <c r="Q27" s="1147">
        <f t="shared" si="11"/>
        <v>111</v>
      </c>
      <c r="R27" s="1555" t="s">
        <v>8</v>
      </c>
      <c r="S27" s="1556">
        <f>F27</f>
        <v>100</v>
      </c>
      <c r="T27" s="1555" t="s">
        <v>8</v>
      </c>
      <c r="U27" s="1556">
        <f>H27</f>
        <v>100</v>
      </c>
      <c r="V27" s="1555" t="s">
        <v>8</v>
      </c>
      <c r="W27" s="1556">
        <f>J27</f>
        <v>100</v>
      </c>
      <c r="X27" s="1557"/>
      <c r="Y27" s="3408"/>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8"/>
      <c r="Q28" s="1559">
        <f t="shared" si="11"/>
        <v>111</v>
      </c>
      <c r="R28" s="1560" t="s">
        <v>8</v>
      </c>
      <c r="S28" s="1561">
        <f t="shared" ref="S28:S40" si="12">F28</f>
        <v>100</v>
      </c>
      <c r="T28" s="1560" t="s">
        <v>8</v>
      </c>
      <c r="U28" s="1561">
        <f t="shared" ref="U28:U40" si="13">H28</f>
        <v>100</v>
      </c>
      <c r="V28" s="1560" t="s">
        <v>8</v>
      </c>
      <c r="W28" s="1561">
        <f t="shared" ref="W28:W40" si="14">J28</f>
        <v>100</v>
      </c>
      <c r="X28" s="1554"/>
      <c r="Y28" s="3408"/>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12" t="s">
        <v>550</v>
      </c>
      <c r="Q29" s="1559" t="str">
        <f t="shared" si="11"/>
        <v>建筑类型</v>
      </c>
      <c r="R29" s="1560" t="s">
        <v>8</v>
      </c>
      <c r="S29" s="1561">
        <f t="shared" si="12"/>
        <v>100</v>
      </c>
      <c r="T29" s="1560" t="s">
        <v>8</v>
      </c>
      <c r="U29" s="1561">
        <f t="shared" si="13"/>
        <v>100</v>
      </c>
      <c r="V29" s="1560" t="s">
        <v>8</v>
      </c>
      <c r="W29" s="1561">
        <f t="shared" si="14"/>
        <v>100</v>
      </c>
      <c r="X29" s="1554"/>
      <c r="Y29" s="3413"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13"/>
      <c r="Q30" s="1591" t="str">
        <f t="shared" si="11"/>
        <v>项目建筑规模</v>
      </c>
      <c r="R30" s="1564" t="s">
        <v>8</v>
      </c>
      <c r="S30" s="1565" t="e">
        <f t="shared" si="12"/>
        <v>#N/A</v>
      </c>
      <c r="T30" s="1564" t="s">
        <v>8</v>
      </c>
      <c r="U30" s="1565" t="e">
        <f t="shared" si="13"/>
        <v>#N/A</v>
      </c>
      <c r="V30" s="1564" t="s">
        <v>8</v>
      </c>
      <c r="W30" s="1565" t="e">
        <f t="shared" si="14"/>
        <v>#N/A</v>
      </c>
      <c r="X30" s="1566"/>
      <c r="Y30" s="3413"/>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13"/>
      <c r="Q31" s="1559" t="str">
        <f t="shared" si="11"/>
        <v>建筑结构</v>
      </c>
      <c r="R31" s="1560" t="s">
        <v>8</v>
      </c>
      <c r="S31" s="1561">
        <f t="shared" si="12"/>
        <v>100</v>
      </c>
      <c r="T31" s="1560" t="s">
        <v>8</v>
      </c>
      <c r="U31" s="1561">
        <f t="shared" si="13"/>
        <v>100</v>
      </c>
      <c r="V31" s="1560" t="s">
        <v>8</v>
      </c>
      <c r="W31" s="1561">
        <f t="shared" si="14"/>
        <v>100</v>
      </c>
      <c r="X31" s="1554"/>
      <c r="Y31" s="3413"/>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13"/>
      <c r="Q32" s="1559" t="str">
        <f t="shared" si="11"/>
        <v>公共部分装修</v>
      </c>
      <c r="R32" s="1560" t="s">
        <v>8</v>
      </c>
      <c r="S32" s="1561">
        <f t="shared" si="12"/>
        <v>100</v>
      </c>
      <c r="T32" s="1560" t="s">
        <v>8</v>
      </c>
      <c r="U32" s="1561">
        <f t="shared" si="13"/>
        <v>100</v>
      </c>
      <c r="V32" s="1560" t="s">
        <v>8</v>
      </c>
      <c r="W32" s="1561">
        <f t="shared" si="14"/>
        <v>100</v>
      </c>
      <c r="X32" s="1554"/>
      <c r="Y32" s="3413"/>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13"/>
      <c r="Q33" s="1559" t="str">
        <f t="shared" si="11"/>
        <v>成新度</v>
      </c>
      <c r="R33" s="1560" t="s">
        <v>8</v>
      </c>
      <c r="S33" s="1561" t="e">
        <f t="shared" si="12"/>
        <v>#N/A</v>
      </c>
      <c r="T33" s="1560" t="s">
        <v>8</v>
      </c>
      <c r="U33" s="1561" t="e">
        <f t="shared" si="13"/>
        <v>#N/A</v>
      </c>
      <c r="V33" s="1560" t="s">
        <v>8</v>
      </c>
      <c r="W33" s="1561" t="e">
        <f t="shared" si="14"/>
        <v>#N/A</v>
      </c>
      <c r="X33" s="1554"/>
      <c r="Y33" s="3413"/>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13"/>
      <c r="Q34" s="1147" t="str">
        <f t="shared" si="11"/>
        <v>物业管理</v>
      </c>
      <c r="R34" s="1555" t="s">
        <v>8</v>
      </c>
      <c r="S34" s="1556">
        <f t="shared" si="12"/>
        <v>100</v>
      </c>
      <c r="T34" s="1555" t="s">
        <v>8</v>
      </c>
      <c r="U34" s="1556">
        <f t="shared" si="13"/>
        <v>100</v>
      </c>
      <c r="V34" s="1555" t="s">
        <v>8</v>
      </c>
      <c r="W34" s="1556">
        <f t="shared" si="14"/>
        <v>100</v>
      </c>
      <c r="X34" s="1557"/>
      <c r="Y34" s="3413"/>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13" t="s">
        <v>550</v>
      </c>
      <c r="Q35" s="1559" t="str">
        <f t="shared" si="11"/>
        <v>市政基础设施</v>
      </c>
      <c r="R35" s="1560" t="s">
        <v>8</v>
      </c>
      <c r="S35" s="1561">
        <f t="shared" si="12"/>
        <v>100</v>
      </c>
      <c r="T35" s="1560" t="s">
        <v>8</v>
      </c>
      <c r="U35" s="1561">
        <f t="shared" si="13"/>
        <v>100</v>
      </c>
      <c r="V35" s="1560" t="s">
        <v>8</v>
      </c>
      <c r="W35" s="1561">
        <f t="shared" si="14"/>
        <v>100</v>
      </c>
      <c r="X35" s="1554"/>
      <c r="Y35" s="3413"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13"/>
      <c r="Q36" s="1559" t="str">
        <f t="shared" si="11"/>
        <v>内部装修</v>
      </c>
      <c r="R36" s="1560" t="s">
        <v>8</v>
      </c>
      <c r="S36" s="1561">
        <f t="shared" si="12"/>
        <v>100</v>
      </c>
      <c r="T36" s="1560" t="s">
        <v>8</v>
      </c>
      <c r="U36" s="1561">
        <f t="shared" si="13"/>
        <v>100</v>
      </c>
      <c r="V36" s="1560" t="s">
        <v>8</v>
      </c>
      <c r="W36" s="1561">
        <f t="shared" si="14"/>
        <v>100</v>
      </c>
      <c r="X36" s="1554"/>
      <c r="Y36" s="3413"/>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13"/>
      <c r="Q37" s="1559" t="str">
        <f t="shared" si="11"/>
        <v>内部装修状况</v>
      </c>
      <c r="R37" s="1560" t="s">
        <v>8</v>
      </c>
      <c r="S37" s="1561">
        <f t="shared" si="12"/>
        <v>100</v>
      </c>
      <c r="T37" s="1560" t="s">
        <v>8</v>
      </c>
      <c r="U37" s="1561">
        <f t="shared" si="13"/>
        <v>100</v>
      </c>
      <c r="V37" s="1560" t="s">
        <v>8</v>
      </c>
      <c r="W37" s="1561">
        <f t="shared" si="14"/>
        <v>100</v>
      </c>
      <c r="X37" s="1554"/>
      <c r="Y37" s="341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13"/>
      <c r="Q38" s="1591">
        <f t="shared" si="11"/>
        <v>111</v>
      </c>
      <c r="R38" s="1564" t="s">
        <v>8</v>
      </c>
      <c r="S38" s="1565">
        <f t="shared" si="12"/>
        <v>100</v>
      </c>
      <c r="T38" s="1564" t="s">
        <v>8</v>
      </c>
      <c r="U38" s="1565">
        <f t="shared" si="13"/>
        <v>100</v>
      </c>
      <c r="V38" s="1564" t="s">
        <v>8</v>
      </c>
      <c r="W38" s="1565">
        <f t="shared" si="14"/>
        <v>100</v>
      </c>
      <c r="X38" s="1566"/>
      <c r="Y38" s="341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13"/>
      <c r="Q39" s="1559">
        <f t="shared" si="11"/>
        <v>111</v>
      </c>
      <c r="R39" s="1560" t="s">
        <v>8</v>
      </c>
      <c r="S39" s="1561">
        <f t="shared" si="12"/>
        <v>100</v>
      </c>
      <c r="T39" s="1560" t="s">
        <v>8</v>
      </c>
      <c r="U39" s="1561">
        <f t="shared" si="13"/>
        <v>100</v>
      </c>
      <c r="V39" s="1560" t="s">
        <v>8</v>
      </c>
      <c r="W39" s="1561">
        <f t="shared" si="14"/>
        <v>100</v>
      </c>
      <c r="X39" s="1554"/>
      <c r="Y39" s="3413"/>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22"/>
      <c r="Q40" s="1559">
        <f t="shared" si="11"/>
        <v>111</v>
      </c>
      <c r="R40" s="1560" t="s">
        <v>8</v>
      </c>
      <c r="S40" s="1561">
        <f t="shared" si="12"/>
        <v>100</v>
      </c>
      <c r="T40" s="1560" t="s">
        <v>8</v>
      </c>
      <c r="U40" s="1561">
        <f t="shared" si="13"/>
        <v>100</v>
      </c>
      <c r="V40" s="1560" t="s">
        <v>8</v>
      </c>
      <c r="W40" s="1561">
        <f t="shared" si="14"/>
        <v>100</v>
      </c>
      <c r="X40" s="1554"/>
      <c r="Y40" s="3522"/>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5" t="str">
        <f>A41</f>
        <v>成交单价（元/平方米）</v>
      </c>
      <c r="Q41" s="3405"/>
      <c r="R41" s="3521">
        <f>E41</f>
        <v>0</v>
      </c>
      <c r="S41" s="3521"/>
      <c r="T41" s="3521">
        <f>G41</f>
        <v>0</v>
      </c>
      <c r="U41" s="3521"/>
      <c r="V41" s="3521">
        <f>I41</f>
        <v>0</v>
      </c>
      <c r="W41" s="3521"/>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05" t="str">
        <f>A42</f>
        <v>比较价格（元/平方米）</v>
      </c>
      <c r="Q42" s="3405"/>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1546"/>
      <c r="Y42" s="1546"/>
      <c r="Z42" s="1546"/>
      <c r="AA42" s="1546"/>
      <c r="AB42" s="1546"/>
      <c r="AC42" s="1546"/>
    </row>
    <row r="43" spans="1:29" ht="15.75" thickBot="1">
      <c r="A43" s="621" t="s">
        <v>2931</v>
      </c>
      <c r="B43" s="622"/>
      <c r="C43" s="2601" t="e">
        <f>R43</f>
        <v>#DIV/0!</v>
      </c>
      <c r="D43" s="2601"/>
      <c r="E43" s="2601"/>
      <c r="F43" s="2601"/>
      <c r="G43" s="2601"/>
      <c r="H43" s="2601"/>
      <c r="I43" s="2601"/>
      <c r="J43" s="2601"/>
      <c r="K43" s="1599"/>
      <c r="L43" s="2130"/>
      <c r="M43" s="2131"/>
      <c r="N43" s="2131"/>
      <c r="O43" s="2131"/>
      <c r="P43" s="3409" t="str">
        <f>A43</f>
        <v>估价对象XX用房的比较价格（楼面单价，元/平方米）</v>
      </c>
      <c r="Q43" s="3410"/>
      <c r="R43" s="3520" t="e">
        <f>IF(F1="售价",ROUND(AVERAGE(R42:V42),0),ROUND(AVERAGE(R42:V42),1))</f>
        <v>#DIV/0!</v>
      </c>
      <c r="S43" s="3520"/>
      <c r="T43" s="3520"/>
      <c r="U43" s="3520"/>
      <c r="V43" s="3520"/>
      <c r="W43" s="3520"/>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7" t="s">
        <v>798</v>
      </c>
      <c r="D4" s="3428"/>
      <c r="E4" s="3427" t="s">
        <v>799</v>
      </c>
      <c r="F4" s="3428"/>
      <c r="G4" s="3427" t="s">
        <v>800</v>
      </c>
      <c r="H4" s="3428"/>
      <c r="I4" s="3427" t="s">
        <v>801</v>
      </c>
      <c r="J4" s="3428"/>
      <c r="K4" s="514" t="s">
        <v>802</v>
      </c>
      <c r="L4" s="2119"/>
      <c r="M4" s="2120"/>
      <c r="N4" s="2120"/>
      <c r="O4" s="2120"/>
      <c r="P4" s="3429" t="s">
        <v>803</v>
      </c>
      <c r="Q4" s="3430"/>
      <c r="R4" s="3417" t="s">
        <v>799</v>
      </c>
      <c r="S4" s="3418"/>
      <c r="T4" s="3417" t="s">
        <v>800</v>
      </c>
      <c r="U4" s="3418"/>
      <c r="V4" s="3414" t="s">
        <v>801</v>
      </c>
      <c r="W4" s="3414"/>
      <c r="X4" s="1554"/>
      <c r="Y4" s="3417" t="s">
        <v>803</v>
      </c>
      <c r="Z4" s="3418"/>
      <c r="AA4" s="3423" t="s">
        <v>799</v>
      </c>
      <c r="AB4" s="3424" t="s">
        <v>800</v>
      </c>
      <c r="AC4" s="3423" t="s">
        <v>801</v>
      </c>
    </row>
    <row r="5" spans="1:29" ht="15">
      <c r="A5" s="515"/>
      <c r="B5" s="516"/>
      <c r="C5" s="3435" t="s">
        <v>2925</v>
      </c>
      <c r="D5" s="3436"/>
      <c r="E5" s="3435" t="s">
        <v>2926</v>
      </c>
      <c r="F5" s="3436"/>
      <c r="G5" s="3435" t="s">
        <v>2927</v>
      </c>
      <c r="H5" s="3436"/>
      <c r="I5" s="3435" t="s">
        <v>2928</v>
      </c>
      <c r="J5" s="3436"/>
      <c r="K5" s="514"/>
      <c r="L5" s="2119"/>
      <c r="M5" s="2120"/>
      <c r="N5" s="2120"/>
      <c r="O5" s="2120"/>
      <c r="P5" s="3431"/>
      <c r="Q5" s="3432"/>
      <c r="R5" s="3419"/>
      <c r="S5" s="3420"/>
      <c r="T5" s="3419"/>
      <c r="U5" s="3420"/>
      <c r="V5" s="3414"/>
      <c r="W5" s="3414"/>
      <c r="X5" s="1554"/>
      <c r="Y5" s="3419"/>
      <c r="Z5" s="3420"/>
      <c r="AA5" s="3424"/>
      <c r="AB5" s="3424"/>
      <c r="AC5" s="3424"/>
    </row>
    <row r="6" spans="1:29" ht="15.75" thickBot="1">
      <c r="A6" s="517"/>
      <c r="B6" s="518"/>
      <c r="C6" s="3440" t="s">
        <v>2929</v>
      </c>
      <c r="D6" s="3441"/>
      <c r="E6" s="3438" t="s">
        <v>2929</v>
      </c>
      <c r="F6" s="3439"/>
      <c r="G6" s="3440" t="s">
        <v>2929</v>
      </c>
      <c r="H6" s="3441"/>
      <c r="I6" s="3440" t="s">
        <v>2929</v>
      </c>
      <c r="J6" s="3441"/>
      <c r="K6" s="514" t="s">
        <v>528</v>
      </c>
      <c r="L6" s="2119"/>
      <c r="M6" s="2120"/>
      <c r="N6" s="2120"/>
      <c r="O6" s="2120"/>
      <c r="P6" s="3433"/>
      <c r="Q6" s="3434"/>
      <c r="R6" s="3419"/>
      <c r="S6" s="3420"/>
      <c r="T6" s="3421"/>
      <c r="U6" s="3422"/>
      <c r="V6" s="3414"/>
      <c r="W6" s="3414"/>
      <c r="X6" s="1554"/>
      <c r="Y6" s="3421"/>
      <c r="Z6" s="3422"/>
      <c r="AA6" s="3425"/>
      <c r="AB6" s="3425"/>
      <c r="AC6" s="3425"/>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5" t="s">
        <v>530</v>
      </c>
      <c r="Q7" s="3426"/>
      <c r="R7" s="1555" t="s">
        <v>8</v>
      </c>
      <c r="S7" s="1556">
        <f t="shared" ref="S7:S14" si="0">F7</f>
        <v>0</v>
      </c>
      <c r="T7" s="1555" t="s">
        <v>8</v>
      </c>
      <c r="U7" s="1556">
        <f t="shared" ref="U7:U14" si="1">H7</f>
        <v>0</v>
      </c>
      <c r="V7" s="1555" t="s">
        <v>8</v>
      </c>
      <c r="W7" s="1556">
        <f t="shared" ref="W7:W14" si="2">J7</f>
        <v>0</v>
      </c>
      <c r="X7" s="1557"/>
      <c r="Y7" s="3415" t="s">
        <v>530</v>
      </c>
      <c r="Z7" s="3416"/>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5" t="s">
        <v>533</v>
      </c>
      <c r="Q8" s="3416"/>
      <c r="R8" s="1555" t="s">
        <v>8</v>
      </c>
      <c r="S8" s="1556">
        <f t="shared" si="0"/>
        <v>0</v>
      </c>
      <c r="T8" s="1555" t="s">
        <v>8</v>
      </c>
      <c r="U8" s="1556">
        <f t="shared" si="1"/>
        <v>0</v>
      </c>
      <c r="V8" s="1555" t="s">
        <v>8</v>
      </c>
      <c r="W8" s="1556">
        <f t="shared" si="2"/>
        <v>0</v>
      </c>
      <c r="X8" s="1557"/>
      <c r="Y8" s="3415" t="s">
        <v>533</v>
      </c>
      <c r="Z8" s="3416"/>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5"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5"/>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5"/>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5"/>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5"/>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7" t="s">
        <v>540</v>
      </c>
      <c r="Q14" s="1559" t="str">
        <f t="shared" si="6"/>
        <v>交通便捷度</v>
      </c>
      <c r="R14" s="1560" t="s">
        <v>8</v>
      </c>
      <c r="S14" s="1561">
        <f t="shared" si="0"/>
        <v>100</v>
      </c>
      <c r="T14" s="1560" t="s">
        <v>8</v>
      </c>
      <c r="U14" s="1561">
        <f t="shared" si="1"/>
        <v>100</v>
      </c>
      <c r="V14" s="1560" t="s">
        <v>8</v>
      </c>
      <c r="W14" s="1561">
        <f t="shared" si="2"/>
        <v>100</v>
      </c>
      <c r="X14" s="1554"/>
      <c r="Y14" s="3407"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8"/>
      <c r="Q15" s="1559"/>
      <c r="R15" s="1560"/>
      <c r="S15" s="1561"/>
      <c r="T15" s="1560"/>
      <c r="U15" s="1561"/>
      <c r="V15" s="1560"/>
      <c r="W15" s="1561"/>
      <c r="X15" s="1554"/>
      <c r="Y15" s="3408"/>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8"/>
      <c r="Q16" s="1559" t="str">
        <f>B16</f>
        <v>公共配套设施</v>
      </c>
      <c r="R16" s="1560" t="s">
        <v>8</v>
      </c>
      <c r="S16" s="1561">
        <f>F16</f>
        <v>100</v>
      </c>
      <c r="T16" s="1560" t="s">
        <v>8</v>
      </c>
      <c r="U16" s="1561">
        <f>H16</f>
        <v>100</v>
      </c>
      <c r="V16" s="1560" t="s">
        <v>8</v>
      </c>
      <c r="W16" s="1561">
        <f>J16</f>
        <v>100</v>
      </c>
      <c r="X16" s="1554"/>
      <c r="Y16" s="3408"/>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8"/>
      <c r="Q17" s="1559"/>
      <c r="R17" s="1560"/>
      <c r="S17" s="1561"/>
      <c r="T17" s="1560"/>
      <c r="U17" s="1561"/>
      <c r="V17" s="1560"/>
      <c r="W17" s="1561"/>
      <c r="X17" s="1554"/>
      <c r="Y17" s="3408"/>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8"/>
      <c r="Q18" s="2544" t="str">
        <f>B18</f>
        <v>基础设施水平</v>
      </c>
      <c r="R18" s="1560" t="s">
        <v>8</v>
      </c>
      <c r="S18" s="1561">
        <f>F18</f>
        <v>100</v>
      </c>
      <c r="T18" s="1560" t="s">
        <v>8</v>
      </c>
      <c r="U18" s="1561">
        <f>H18</f>
        <v>100</v>
      </c>
      <c r="V18" s="1560" t="s">
        <v>8</v>
      </c>
      <c r="W18" s="1561">
        <f>J18</f>
        <v>100</v>
      </c>
      <c r="X18" s="2546"/>
      <c r="Y18" s="3408"/>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8"/>
      <c r="Q19" s="2544"/>
      <c r="R19" s="1560"/>
      <c r="S19" s="1561"/>
      <c r="T19" s="1560"/>
      <c r="U19" s="1561"/>
      <c r="V19" s="1560"/>
      <c r="W19" s="1561"/>
      <c r="X19" s="2546"/>
      <c r="Y19" s="3408"/>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8"/>
      <c r="Q20" s="1559" t="str">
        <f>B20</f>
        <v>自然及人文环境</v>
      </c>
      <c r="R20" s="1560" t="s">
        <v>8</v>
      </c>
      <c r="S20" s="1561">
        <f>F20</f>
        <v>100</v>
      </c>
      <c r="T20" s="1560" t="s">
        <v>8</v>
      </c>
      <c r="U20" s="1561">
        <f>H20</f>
        <v>100</v>
      </c>
      <c r="V20" s="1560" t="s">
        <v>8</v>
      </c>
      <c r="W20" s="1561">
        <f>J20</f>
        <v>100</v>
      </c>
      <c r="X20" s="1554"/>
      <c r="Y20" s="3408"/>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8"/>
      <c r="Q21" s="1559"/>
      <c r="R21" s="1560"/>
      <c r="S21" s="1561"/>
      <c r="T21" s="1560"/>
      <c r="U21" s="1561"/>
      <c r="V21" s="1560"/>
      <c r="W21" s="1561"/>
      <c r="X21" s="1554"/>
      <c r="Y21" s="3408"/>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8"/>
      <c r="Q22" s="1559" t="str">
        <f>B22</f>
        <v>楼层</v>
      </c>
      <c r="R22" s="1560" t="s">
        <v>8</v>
      </c>
      <c r="S22" s="1561">
        <f>F22</f>
        <v>100</v>
      </c>
      <c r="T22" s="1560" t="s">
        <v>8</v>
      </c>
      <c r="U22" s="1561">
        <f>H22</f>
        <v>100</v>
      </c>
      <c r="V22" s="1560" t="s">
        <v>8</v>
      </c>
      <c r="W22" s="1561">
        <f>J22</f>
        <v>100</v>
      </c>
      <c r="X22" s="1554"/>
      <c r="Y22" s="3408"/>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8"/>
      <c r="Q23" s="1559">
        <f>B23</f>
        <v>111</v>
      </c>
      <c r="R23" s="1560" t="s">
        <v>8</v>
      </c>
      <c r="S23" s="1561">
        <f>F23</f>
        <v>100</v>
      </c>
      <c r="T23" s="1560" t="s">
        <v>8</v>
      </c>
      <c r="U23" s="1561">
        <f>H23</f>
        <v>100</v>
      </c>
      <c r="V23" s="1560" t="s">
        <v>8</v>
      </c>
      <c r="W23" s="1561">
        <f>J23</f>
        <v>100</v>
      </c>
      <c r="X23" s="1554"/>
      <c r="Y23" s="3408"/>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8"/>
      <c r="Q24" s="1559">
        <f t="shared" ref="Q24:Q36" si="11">B24</f>
        <v>111</v>
      </c>
      <c r="R24" s="1560" t="s">
        <v>8</v>
      </c>
      <c r="S24" s="1561">
        <f>F24</f>
        <v>100</v>
      </c>
      <c r="T24" s="1560" t="s">
        <v>8</v>
      </c>
      <c r="U24" s="1561">
        <f>H24</f>
        <v>100</v>
      </c>
      <c r="V24" s="1560" t="s">
        <v>8</v>
      </c>
      <c r="W24" s="1561">
        <f>J24</f>
        <v>100</v>
      </c>
      <c r="X24" s="1554"/>
      <c r="Y24" s="3408"/>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8"/>
      <c r="Q25" s="1147">
        <f t="shared" si="11"/>
        <v>111</v>
      </c>
      <c r="R25" s="1555" t="s">
        <v>8</v>
      </c>
      <c r="S25" s="1556">
        <f>F25</f>
        <v>100</v>
      </c>
      <c r="T25" s="1555" t="s">
        <v>8</v>
      </c>
      <c r="U25" s="1556">
        <f>H25</f>
        <v>100</v>
      </c>
      <c r="V25" s="1555" t="s">
        <v>8</v>
      </c>
      <c r="W25" s="1556">
        <f>J25</f>
        <v>100</v>
      </c>
      <c r="X25" s="1557"/>
      <c r="Y25" s="3408"/>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12"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3"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13"/>
      <c r="Q27" s="1591" t="str">
        <f t="shared" si="11"/>
        <v>项目停车位配比</v>
      </c>
      <c r="R27" s="1564" t="s">
        <v>8</v>
      </c>
      <c r="S27" s="1565">
        <f t="shared" si="12"/>
        <v>100</v>
      </c>
      <c r="T27" s="1564" t="s">
        <v>8</v>
      </c>
      <c r="U27" s="1565">
        <f t="shared" si="13"/>
        <v>100</v>
      </c>
      <c r="V27" s="1564" t="s">
        <v>8</v>
      </c>
      <c r="W27" s="1565">
        <f t="shared" si="14"/>
        <v>100</v>
      </c>
      <c r="X27" s="1566"/>
      <c r="Y27" s="3413"/>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13"/>
      <c r="Q28" s="1559" t="str">
        <f t="shared" si="11"/>
        <v>公共部分装修</v>
      </c>
      <c r="R28" s="1560" t="s">
        <v>8</v>
      </c>
      <c r="S28" s="1561">
        <f t="shared" si="12"/>
        <v>100</v>
      </c>
      <c r="T28" s="1560" t="s">
        <v>8</v>
      </c>
      <c r="U28" s="1561">
        <f t="shared" si="13"/>
        <v>100</v>
      </c>
      <c r="V28" s="1560" t="s">
        <v>8</v>
      </c>
      <c r="W28" s="1561">
        <f t="shared" si="14"/>
        <v>100</v>
      </c>
      <c r="X28" s="1554"/>
      <c r="Y28" s="3413"/>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13"/>
      <c r="Q29" s="1559" t="str">
        <f t="shared" si="11"/>
        <v>成新率</v>
      </c>
      <c r="R29" s="1560" t="s">
        <v>8</v>
      </c>
      <c r="S29" s="1561" t="e">
        <f t="shared" si="12"/>
        <v>#N/A</v>
      </c>
      <c r="T29" s="1560" t="s">
        <v>8</v>
      </c>
      <c r="U29" s="1561" t="e">
        <f t="shared" si="13"/>
        <v>#N/A</v>
      </c>
      <c r="V29" s="1560" t="s">
        <v>8</v>
      </c>
      <c r="W29" s="1561" t="e">
        <f t="shared" si="14"/>
        <v>#N/A</v>
      </c>
      <c r="X29" s="1554"/>
      <c r="Y29" s="3413"/>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13"/>
      <c r="Q30" s="1559" t="str">
        <f t="shared" si="11"/>
        <v>物业等级</v>
      </c>
      <c r="R30" s="1560" t="s">
        <v>8</v>
      </c>
      <c r="S30" s="1561">
        <f t="shared" si="12"/>
        <v>100</v>
      </c>
      <c r="T30" s="1560" t="s">
        <v>8</v>
      </c>
      <c r="U30" s="1561">
        <f t="shared" si="13"/>
        <v>100</v>
      </c>
      <c r="V30" s="1560" t="s">
        <v>8</v>
      </c>
      <c r="W30" s="1561">
        <f t="shared" si="14"/>
        <v>100</v>
      </c>
      <c r="X30" s="1554"/>
      <c r="Y30" s="3413"/>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13"/>
      <c r="Q31" s="1147" t="str">
        <f t="shared" si="11"/>
        <v>停车位面积</v>
      </c>
      <c r="R31" s="1555" t="s">
        <v>8</v>
      </c>
      <c r="S31" s="1556" t="e">
        <f t="shared" si="12"/>
        <v>#N/A</v>
      </c>
      <c r="T31" s="1555" t="s">
        <v>8</v>
      </c>
      <c r="U31" s="1556" t="e">
        <f t="shared" si="13"/>
        <v>#N/A</v>
      </c>
      <c r="V31" s="1555" t="s">
        <v>8</v>
      </c>
      <c r="W31" s="1556" t="e">
        <f t="shared" si="14"/>
        <v>#N/A</v>
      </c>
      <c r="X31" s="1557"/>
      <c r="Y31" s="3413"/>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13" t="s">
        <v>550</v>
      </c>
      <c r="Q32" s="1559" t="str">
        <f t="shared" si="11"/>
        <v>车位类型</v>
      </c>
      <c r="R32" s="1560" t="s">
        <v>8</v>
      </c>
      <c r="S32" s="1561">
        <f t="shared" si="12"/>
        <v>100</v>
      </c>
      <c r="T32" s="1560" t="s">
        <v>8</v>
      </c>
      <c r="U32" s="1561">
        <f t="shared" si="13"/>
        <v>100</v>
      </c>
      <c r="V32" s="1560" t="s">
        <v>8</v>
      </c>
      <c r="W32" s="1561">
        <f t="shared" si="14"/>
        <v>100</v>
      </c>
      <c r="X32" s="1554"/>
      <c r="Y32" s="3413"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13"/>
      <c r="Q33" s="1559" t="str">
        <f t="shared" si="11"/>
        <v>是否直接入户</v>
      </c>
      <c r="R33" s="1560" t="s">
        <v>8</v>
      </c>
      <c r="S33" s="1561">
        <f t="shared" si="12"/>
        <v>100</v>
      </c>
      <c r="T33" s="1560" t="s">
        <v>8</v>
      </c>
      <c r="U33" s="1561">
        <f t="shared" si="13"/>
        <v>100</v>
      </c>
      <c r="V33" s="1560" t="s">
        <v>8</v>
      </c>
      <c r="W33" s="1561">
        <f t="shared" si="14"/>
        <v>100</v>
      </c>
      <c r="X33" s="1554"/>
      <c r="Y33" s="341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13"/>
      <c r="Q34" s="1559">
        <f t="shared" si="11"/>
        <v>111</v>
      </c>
      <c r="R34" s="1560" t="s">
        <v>8</v>
      </c>
      <c r="S34" s="1561">
        <f t="shared" si="12"/>
        <v>100</v>
      </c>
      <c r="T34" s="1560" t="s">
        <v>8</v>
      </c>
      <c r="U34" s="1561">
        <f t="shared" si="13"/>
        <v>100</v>
      </c>
      <c r="V34" s="1560" t="s">
        <v>8</v>
      </c>
      <c r="W34" s="1561">
        <f t="shared" si="14"/>
        <v>100</v>
      </c>
      <c r="X34" s="1554"/>
      <c r="Y34" s="341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13"/>
      <c r="Q35" s="1591">
        <f t="shared" si="11"/>
        <v>111</v>
      </c>
      <c r="R35" s="1564" t="s">
        <v>8</v>
      </c>
      <c r="S35" s="1565">
        <f t="shared" si="12"/>
        <v>100</v>
      </c>
      <c r="T35" s="1564" t="s">
        <v>8</v>
      </c>
      <c r="U35" s="1565">
        <f t="shared" si="13"/>
        <v>100</v>
      </c>
      <c r="V35" s="1564" t="s">
        <v>8</v>
      </c>
      <c r="W35" s="1565">
        <f t="shared" si="14"/>
        <v>100</v>
      </c>
      <c r="X35" s="1566"/>
      <c r="Y35" s="3413"/>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13"/>
      <c r="Q36" s="1559">
        <f t="shared" si="11"/>
        <v>111</v>
      </c>
      <c r="R36" s="1560" t="s">
        <v>8</v>
      </c>
      <c r="S36" s="1561">
        <f t="shared" si="12"/>
        <v>100</v>
      </c>
      <c r="T36" s="1560" t="s">
        <v>8</v>
      </c>
      <c r="U36" s="1561">
        <f t="shared" si="13"/>
        <v>100</v>
      </c>
      <c r="V36" s="1560" t="s">
        <v>8</v>
      </c>
      <c r="W36" s="1561">
        <f t="shared" si="14"/>
        <v>100</v>
      </c>
      <c r="X36" s="1554"/>
      <c r="Y36" s="3413"/>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05" t="str">
        <f>A37</f>
        <v>成交单价</v>
      </c>
      <c r="Q37" s="3405"/>
      <c r="R37" s="3521">
        <f>E37</f>
        <v>0</v>
      </c>
      <c r="S37" s="3521"/>
      <c r="T37" s="3521">
        <f>G37</f>
        <v>0</v>
      </c>
      <c r="U37" s="3521"/>
      <c r="V37" s="3521">
        <f>I37</f>
        <v>0</v>
      </c>
      <c r="W37" s="3521"/>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05" t="str">
        <f>A38</f>
        <v>比较价格（元/平方米）</v>
      </c>
      <c r="Q38" s="3405"/>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1546"/>
      <c r="Y38" s="1546"/>
      <c r="Z38" s="1546"/>
      <c r="AA38" s="1546"/>
      <c r="AB38" s="1546"/>
      <c r="AC38" s="1546"/>
    </row>
    <row r="39" spans="1:29" ht="15.75" thickBot="1">
      <c r="A39" s="621" t="s">
        <v>2931</v>
      </c>
      <c r="B39" s="622"/>
      <c r="C39" s="2601" t="e">
        <f>R39</f>
        <v>#DIV/0!</v>
      </c>
      <c r="D39" s="2601"/>
      <c r="E39" s="2601"/>
      <c r="F39" s="2601"/>
      <c r="G39" s="2601"/>
      <c r="H39" s="2601"/>
      <c r="I39" s="2601"/>
      <c r="J39" s="2601"/>
      <c r="K39" s="1599"/>
      <c r="L39" s="2130"/>
      <c r="M39" s="2131"/>
      <c r="N39" s="2131"/>
      <c r="O39" s="2131"/>
      <c r="P39" s="3409" t="str">
        <f>A39</f>
        <v>估价对象XX用房的比较价格（楼面单价，元/平方米）</v>
      </c>
      <c r="Q39" s="3410"/>
      <c r="R39" s="3520" t="e">
        <f>IF(F1="售价",ROUND(AVERAGE(R38:V38),0),ROUND(AVERAGE(R38:V38),1))</f>
        <v>#DIV/0!</v>
      </c>
      <c r="S39" s="3520"/>
      <c r="T39" s="3520"/>
      <c r="U39" s="3520"/>
      <c r="V39" s="3520"/>
      <c r="W39" s="3520"/>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27" t="s">
        <v>798</v>
      </c>
      <c r="D4" s="3428"/>
      <c r="E4" s="3444" t="s">
        <v>799</v>
      </c>
      <c r="F4" s="3445"/>
      <c r="G4" s="3427" t="s">
        <v>800</v>
      </c>
      <c r="H4" s="3428"/>
      <c r="I4" s="3427" t="s">
        <v>801</v>
      </c>
      <c r="J4" s="3428"/>
      <c r="K4" s="514" t="s">
        <v>802</v>
      </c>
      <c r="L4" s="2119"/>
      <c r="M4" s="2120"/>
      <c r="N4" s="2120"/>
      <c r="O4" s="2120"/>
      <c r="P4" s="3429" t="s">
        <v>803</v>
      </c>
      <c r="Q4" s="3430"/>
      <c r="R4" s="3417" t="s">
        <v>799</v>
      </c>
      <c r="S4" s="3418"/>
      <c r="T4" s="3417" t="s">
        <v>800</v>
      </c>
      <c r="U4" s="3418"/>
      <c r="V4" s="3414" t="s">
        <v>801</v>
      </c>
      <c r="W4" s="3414"/>
      <c r="X4" s="1554"/>
      <c r="Y4" s="3417" t="s">
        <v>803</v>
      </c>
      <c r="Z4" s="3418"/>
      <c r="AA4" s="3423" t="s">
        <v>799</v>
      </c>
      <c r="AB4" s="3424" t="s">
        <v>800</v>
      </c>
      <c r="AC4" s="3423" t="s">
        <v>801</v>
      </c>
    </row>
    <row r="5" spans="1:29" ht="15">
      <c r="A5" s="515"/>
      <c r="B5" s="516"/>
      <c r="C5" s="3435" t="s">
        <v>2925</v>
      </c>
      <c r="D5" s="3436"/>
      <c r="E5" s="3446" t="s">
        <v>2926</v>
      </c>
      <c r="F5" s="3447"/>
      <c r="G5" s="3435" t="s">
        <v>2927</v>
      </c>
      <c r="H5" s="3436"/>
      <c r="I5" s="3435" t="s">
        <v>2928</v>
      </c>
      <c r="J5" s="3436"/>
      <c r="K5" s="514"/>
      <c r="L5" s="2119"/>
      <c r="M5" s="2120"/>
      <c r="N5" s="2120"/>
      <c r="O5" s="2120"/>
      <c r="P5" s="3431"/>
      <c r="Q5" s="3432"/>
      <c r="R5" s="3419"/>
      <c r="S5" s="3420"/>
      <c r="T5" s="3419"/>
      <c r="U5" s="3420"/>
      <c r="V5" s="3414"/>
      <c r="W5" s="3414"/>
      <c r="X5" s="1554"/>
      <c r="Y5" s="3419"/>
      <c r="Z5" s="3420"/>
      <c r="AA5" s="3424"/>
      <c r="AB5" s="3424"/>
      <c r="AC5" s="3424"/>
    </row>
    <row r="6" spans="1:29" ht="15.75" thickBot="1">
      <c r="A6" s="517"/>
      <c r="B6" s="518"/>
      <c r="C6" s="3440" t="s">
        <v>2929</v>
      </c>
      <c r="D6" s="3441"/>
      <c r="E6" s="3442" t="s">
        <v>2929</v>
      </c>
      <c r="F6" s="3443"/>
      <c r="G6" s="3440" t="s">
        <v>2929</v>
      </c>
      <c r="H6" s="3441"/>
      <c r="I6" s="3440" t="s">
        <v>2929</v>
      </c>
      <c r="J6" s="3441"/>
      <c r="K6" s="514" t="s">
        <v>528</v>
      </c>
      <c r="L6" s="2119"/>
      <c r="M6" s="2120"/>
      <c r="N6" s="2120"/>
      <c r="O6" s="2120"/>
      <c r="P6" s="3433"/>
      <c r="Q6" s="3434"/>
      <c r="R6" s="3419"/>
      <c r="S6" s="3420"/>
      <c r="T6" s="3421"/>
      <c r="U6" s="3422"/>
      <c r="V6" s="3414"/>
      <c r="W6" s="3414"/>
      <c r="X6" s="1554"/>
      <c r="Y6" s="3421"/>
      <c r="Z6" s="3422"/>
      <c r="AA6" s="3425"/>
      <c r="AB6" s="3425"/>
      <c r="AC6" s="3425"/>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5" t="s">
        <v>530</v>
      </c>
      <c r="Q7" s="3426"/>
      <c r="R7" s="1555" t="s">
        <v>8</v>
      </c>
      <c r="S7" s="1556">
        <f t="shared" ref="S7:S14" si="0">F7</f>
        <v>0</v>
      </c>
      <c r="T7" s="1555" t="s">
        <v>8</v>
      </c>
      <c r="U7" s="1556">
        <f t="shared" ref="U7:U14" si="1">H7</f>
        <v>0</v>
      </c>
      <c r="V7" s="1555" t="s">
        <v>8</v>
      </c>
      <c r="W7" s="1556">
        <f t="shared" ref="W7:W14" si="2">J7</f>
        <v>0</v>
      </c>
      <c r="X7" s="1557"/>
      <c r="Y7" s="3415" t="s">
        <v>530</v>
      </c>
      <c r="Z7" s="3416"/>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5" t="s">
        <v>533</v>
      </c>
      <c r="Q8" s="3416"/>
      <c r="R8" s="1555" t="s">
        <v>8</v>
      </c>
      <c r="S8" s="1556">
        <f t="shared" si="0"/>
        <v>0</v>
      </c>
      <c r="T8" s="1555" t="s">
        <v>8</v>
      </c>
      <c r="U8" s="1556">
        <f t="shared" si="1"/>
        <v>0</v>
      </c>
      <c r="V8" s="1555" t="s">
        <v>8</v>
      </c>
      <c r="W8" s="1556">
        <f t="shared" si="2"/>
        <v>0</v>
      </c>
      <c r="X8" s="1557"/>
      <c r="Y8" s="3415" t="s">
        <v>533</v>
      </c>
      <c r="Z8" s="3416"/>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5"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5"/>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5"/>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5"/>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5"/>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7" t="s">
        <v>540</v>
      </c>
      <c r="Q14" s="1559" t="str">
        <f t="shared" si="6"/>
        <v>交通便捷度</v>
      </c>
      <c r="R14" s="1560" t="s">
        <v>8</v>
      </c>
      <c r="S14" s="1561">
        <f t="shared" si="0"/>
        <v>100</v>
      </c>
      <c r="T14" s="1560" t="s">
        <v>8</v>
      </c>
      <c r="U14" s="1561">
        <f t="shared" si="1"/>
        <v>100</v>
      </c>
      <c r="V14" s="1560" t="s">
        <v>8</v>
      </c>
      <c r="W14" s="1561">
        <f t="shared" si="2"/>
        <v>100</v>
      </c>
      <c r="X14" s="1554"/>
      <c r="Y14" s="3407"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8"/>
      <c r="Q15" s="1559"/>
      <c r="R15" s="1560"/>
      <c r="S15" s="1561"/>
      <c r="T15" s="1560"/>
      <c r="U15" s="1561"/>
      <c r="V15" s="1560"/>
      <c r="W15" s="1561"/>
      <c r="X15" s="1554"/>
      <c r="Y15" s="3408"/>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8"/>
      <c r="Q16" s="1559" t="str">
        <f>B16</f>
        <v>公共配套设施</v>
      </c>
      <c r="R16" s="1560" t="s">
        <v>8</v>
      </c>
      <c r="S16" s="1561">
        <f>F16</f>
        <v>100</v>
      </c>
      <c r="T16" s="1560" t="s">
        <v>8</v>
      </c>
      <c r="U16" s="1561">
        <f>H16</f>
        <v>100</v>
      </c>
      <c r="V16" s="1560" t="s">
        <v>8</v>
      </c>
      <c r="W16" s="1561">
        <f>J16</f>
        <v>100</v>
      </c>
      <c r="X16" s="1554"/>
      <c r="Y16" s="3408"/>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8"/>
      <c r="Q17" s="1559"/>
      <c r="R17" s="1560"/>
      <c r="S17" s="1561"/>
      <c r="T17" s="1560"/>
      <c r="U17" s="1561"/>
      <c r="V17" s="1560"/>
      <c r="W17" s="1561"/>
      <c r="X17" s="1554"/>
      <c r="Y17" s="3408"/>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8"/>
      <c r="Q18" s="2544" t="str">
        <f>B18</f>
        <v>基础设施水平</v>
      </c>
      <c r="R18" s="1560" t="s">
        <v>8</v>
      </c>
      <c r="S18" s="1561">
        <f>F18</f>
        <v>100</v>
      </c>
      <c r="T18" s="1560" t="s">
        <v>8</v>
      </c>
      <c r="U18" s="1561">
        <f>H18</f>
        <v>100</v>
      </c>
      <c r="V18" s="1560" t="s">
        <v>8</v>
      </c>
      <c r="W18" s="1561">
        <f>J18</f>
        <v>100</v>
      </c>
      <c r="X18" s="2546"/>
      <c r="Y18" s="3408"/>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8"/>
      <c r="Q19" s="2544"/>
      <c r="R19" s="1560"/>
      <c r="S19" s="1561"/>
      <c r="T19" s="1560"/>
      <c r="U19" s="1561"/>
      <c r="V19" s="1560"/>
      <c r="W19" s="1561"/>
      <c r="X19" s="2546"/>
      <c r="Y19" s="3408"/>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8"/>
      <c r="Q20" s="1559" t="str">
        <f>B20</f>
        <v>自然及人文环境</v>
      </c>
      <c r="R20" s="1560" t="s">
        <v>8</v>
      </c>
      <c r="S20" s="1561">
        <f>F20</f>
        <v>100</v>
      </c>
      <c r="T20" s="1560" t="s">
        <v>8</v>
      </c>
      <c r="U20" s="1561">
        <f>H20</f>
        <v>100</v>
      </c>
      <c r="V20" s="1560" t="s">
        <v>8</v>
      </c>
      <c r="W20" s="1561">
        <f>J20</f>
        <v>100</v>
      </c>
      <c r="X20" s="1554"/>
      <c r="Y20" s="3408"/>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8"/>
      <c r="Q21" s="1559"/>
      <c r="R21" s="1560"/>
      <c r="S21" s="1561"/>
      <c r="T21" s="1560"/>
      <c r="U21" s="1561"/>
      <c r="V21" s="1560"/>
      <c r="W21" s="1561"/>
      <c r="X21" s="1554"/>
      <c r="Y21" s="3408"/>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8"/>
      <c r="Q22" s="1559" t="str">
        <f>B22</f>
        <v>楼层</v>
      </c>
      <c r="R22" s="1560" t="s">
        <v>8</v>
      </c>
      <c r="S22" s="1561">
        <f>F22</f>
        <v>100</v>
      </c>
      <c r="T22" s="1560" t="s">
        <v>8</v>
      </c>
      <c r="U22" s="1561">
        <f>H22</f>
        <v>100</v>
      </c>
      <c r="V22" s="1560" t="s">
        <v>8</v>
      </c>
      <c r="W22" s="1561">
        <f>J22</f>
        <v>100</v>
      </c>
      <c r="X22" s="1554"/>
      <c r="Y22" s="3408"/>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8"/>
      <c r="Q23" s="1559">
        <f>B23</f>
        <v>111</v>
      </c>
      <c r="R23" s="1560" t="s">
        <v>8</v>
      </c>
      <c r="S23" s="1561">
        <f>F23</f>
        <v>100</v>
      </c>
      <c r="T23" s="1560" t="s">
        <v>8</v>
      </c>
      <c r="U23" s="1561">
        <f>H23</f>
        <v>100</v>
      </c>
      <c r="V23" s="1560" t="s">
        <v>8</v>
      </c>
      <c r="W23" s="1561">
        <f>J23</f>
        <v>100</v>
      </c>
      <c r="X23" s="1554"/>
      <c r="Y23" s="3408"/>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8"/>
      <c r="Q24" s="1559">
        <f t="shared" ref="Q24:Q34" si="11">B24</f>
        <v>111</v>
      </c>
      <c r="R24" s="1560" t="s">
        <v>8</v>
      </c>
      <c r="S24" s="1561">
        <f>F24</f>
        <v>100</v>
      </c>
      <c r="T24" s="1560" t="s">
        <v>8</v>
      </c>
      <c r="U24" s="1561">
        <f>H24</f>
        <v>100</v>
      </c>
      <c r="V24" s="1560" t="s">
        <v>8</v>
      </c>
      <c r="W24" s="1561">
        <f>J24</f>
        <v>100</v>
      </c>
      <c r="X24" s="1554"/>
      <c r="Y24" s="3408"/>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8"/>
      <c r="Q25" s="1147">
        <f t="shared" si="11"/>
        <v>111</v>
      </c>
      <c r="R25" s="1555" t="s">
        <v>8</v>
      </c>
      <c r="S25" s="1556">
        <f>F25</f>
        <v>100</v>
      </c>
      <c r="T25" s="1555" t="s">
        <v>8</v>
      </c>
      <c r="U25" s="1556">
        <f>H25</f>
        <v>100</v>
      </c>
      <c r="V25" s="1555" t="s">
        <v>8</v>
      </c>
      <c r="W25" s="1556">
        <f>J25</f>
        <v>100</v>
      </c>
      <c r="X25" s="1557"/>
      <c r="Y25" s="3408"/>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12"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3"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13"/>
      <c r="Q27" s="1591" t="str">
        <f t="shared" si="11"/>
        <v>成新率</v>
      </c>
      <c r="R27" s="1564" t="s">
        <v>8</v>
      </c>
      <c r="S27" s="1565" t="e">
        <f t="shared" si="12"/>
        <v>#N/A</v>
      </c>
      <c r="T27" s="1564" t="s">
        <v>8</v>
      </c>
      <c r="U27" s="1565" t="e">
        <f t="shared" si="13"/>
        <v>#N/A</v>
      </c>
      <c r="V27" s="1564" t="s">
        <v>8</v>
      </c>
      <c r="W27" s="1565" t="e">
        <f t="shared" si="14"/>
        <v>#N/A</v>
      </c>
      <c r="X27" s="1566"/>
      <c r="Y27" s="3413"/>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13"/>
      <c r="Q28" s="1559" t="str">
        <f t="shared" si="11"/>
        <v>物业等级</v>
      </c>
      <c r="R28" s="1560" t="s">
        <v>8</v>
      </c>
      <c r="S28" s="1561">
        <f t="shared" si="12"/>
        <v>100</v>
      </c>
      <c r="T28" s="1560" t="s">
        <v>8</v>
      </c>
      <c r="U28" s="1561">
        <f t="shared" si="13"/>
        <v>100</v>
      </c>
      <c r="V28" s="1560" t="s">
        <v>8</v>
      </c>
      <c r="W28" s="1561">
        <f t="shared" si="14"/>
        <v>100</v>
      </c>
      <c r="X28" s="1554"/>
      <c r="Y28" s="3413"/>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13"/>
      <c r="Q29" s="1559" t="str">
        <f t="shared" si="11"/>
        <v>有无电梯</v>
      </c>
      <c r="R29" s="1560" t="s">
        <v>8</v>
      </c>
      <c r="S29" s="1561">
        <f t="shared" si="12"/>
        <v>100</v>
      </c>
      <c r="T29" s="1560" t="s">
        <v>8</v>
      </c>
      <c r="U29" s="1561">
        <f t="shared" si="13"/>
        <v>100</v>
      </c>
      <c r="V29" s="1560" t="s">
        <v>8</v>
      </c>
      <c r="W29" s="1561">
        <f t="shared" si="14"/>
        <v>100</v>
      </c>
      <c r="X29" s="1554"/>
      <c r="Y29" s="3413"/>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13"/>
      <c r="Q30" s="1559" t="str">
        <f t="shared" si="11"/>
        <v>建筑面积</v>
      </c>
      <c r="R30" s="1560" t="s">
        <v>8</v>
      </c>
      <c r="S30" s="1561" t="e">
        <f t="shared" si="12"/>
        <v>#N/A</v>
      </c>
      <c r="T30" s="1560" t="s">
        <v>8</v>
      </c>
      <c r="U30" s="1561" t="e">
        <f t="shared" si="13"/>
        <v>#N/A</v>
      </c>
      <c r="V30" s="1560" t="s">
        <v>8</v>
      </c>
      <c r="W30" s="1561" t="e">
        <f t="shared" si="14"/>
        <v>#N/A</v>
      </c>
      <c r="X30" s="1554"/>
      <c r="Y30" s="3413"/>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13"/>
      <c r="Q31" s="1147" t="str">
        <f t="shared" si="11"/>
        <v>是否封闭</v>
      </c>
      <c r="R31" s="1555" t="s">
        <v>8</v>
      </c>
      <c r="S31" s="1556">
        <f t="shared" si="12"/>
        <v>100</v>
      </c>
      <c r="T31" s="1555" t="s">
        <v>8</v>
      </c>
      <c r="U31" s="1556">
        <f t="shared" si="13"/>
        <v>100</v>
      </c>
      <c r="V31" s="1555" t="s">
        <v>8</v>
      </c>
      <c r="W31" s="1556">
        <f t="shared" si="14"/>
        <v>100</v>
      </c>
      <c r="X31" s="1557"/>
      <c r="Y31" s="341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13" t="s">
        <v>550</v>
      </c>
      <c r="Q32" s="1559">
        <f t="shared" si="11"/>
        <v>111</v>
      </c>
      <c r="R32" s="1560" t="s">
        <v>8</v>
      </c>
      <c r="S32" s="1561">
        <f t="shared" si="12"/>
        <v>100</v>
      </c>
      <c r="T32" s="1560" t="s">
        <v>8</v>
      </c>
      <c r="U32" s="1561">
        <f t="shared" si="13"/>
        <v>100</v>
      </c>
      <c r="V32" s="1560" t="s">
        <v>8</v>
      </c>
      <c r="W32" s="1561">
        <f t="shared" si="14"/>
        <v>100</v>
      </c>
      <c r="X32" s="1554"/>
      <c r="Y32" s="3413"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13"/>
      <c r="Q33" s="1559">
        <f t="shared" si="11"/>
        <v>111</v>
      </c>
      <c r="R33" s="1560" t="s">
        <v>8</v>
      </c>
      <c r="S33" s="1561">
        <f t="shared" si="12"/>
        <v>100</v>
      </c>
      <c r="T33" s="1560" t="s">
        <v>8</v>
      </c>
      <c r="U33" s="1561">
        <f t="shared" si="13"/>
        <v>100</v>
      </c>
      <c r="V33" s="1560" t="s">
        <v>8</v>
      </c>
      <c r="W33" s="1561">
        <f t="shared" si="14"/>
        <v>100</v>
      </c>
      <c r="X33" s="1554"/>
      <c r="Y33" s="3413"/>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13"/>
      <c r="Q34" s="1559">
        <f t="shared" si="11"/>
        <v>111</v>
      </c>
      <c r="R34" s="1560" t="s">
        <v>8</v>
      </c>
      <c r="S34" s="1561">
        <f t="shared" si="12"/>
        <v>100</v>
      </c>
      <c r="T34" s="1560" t="s">
        <v>8</v>
      </c>
      <c r="U34" s="1561">
        <f t="shared" si="13"/>
        <v>100</v>
      </c>
      <c r="V34" s="1560" t="s">
        <v>8</v>
      </c>
      <c r="W34" s="1561">
        <f t="shared" si="14"/>
        <v>100</v>
      </c>
      <c r="X34" s="1554"/>
      <c r="Y34" s="3413"/>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5" t="str">
        <f>A35</f>
        <v>成交单价（元/平方米）</v>
      </c>
      <c r="Q35" s="3405"/>
      <c r="R35" s="3521">
        <f>E35</f>
        <v>0</v>
      </c>
      <c r="S35" s="3521"/>
      <c r="T35" s="3521">
        <f>G35</f>
        <v>0</v>
      </c>
      <c r="U35" s="3521"/>
      <c r="V35" s="3521">
        <f>I35</f>
        <v>0</v>
      </c>
      <c r="W35" s="3521"/>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05" t="str">
        <f>A36</f>
        <v>比较价格（元/平方米）</v>
      </c>
      <c r="Q36" s="3405"/>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1546"/>
      <c r="Y36" s="1546"/>
      <c r="Z36" s="1546"/>
      <c r="AA36" s="1546"/>
      <c r="AB36" s="1546"/>
      <c r="AC36" s="1546"/>
    </row>
    <row r="37" spans="1:29" ht="15.75" thickBot="1">
      <c r="A37" s="621" t="s">
        <v>2931</v>
      </c>
      <c r="B37" s="622"/>
      <c r="C37" s="2601" t="e">
        <f>R37</f>
        <v>#DIV/0!</v>
      </c>
      <c r="D37" s="2601"/>
      <c r="E37" s="2601"/>
      <c r="F37" s="2601"/>
      <c r="G37" s="2601"/>
      <c r="H37" s="2601"/>
      <c r="I37" s="2601"/>
      <c r="J37" s="2601"/>
      <c r="K37" s="1599"/>
      <c r="L37" s="2130"/>
      <c r="M37" s="2131"/>
      <c r="N37" s="2131"/>
      <c r="O37" s="2131"/>
      <c r="P37" s="3409" t="str">
        <f>A37</f>
        <v>估价对象XX用房的比较价格（楼面单价，元/平方米）</v>
      </c>
      <c r="Q37" s="3410"/>
      <c r="R37" s="3520" t="e">
        <f>IF(F1="售价",ROUND(AVERAGE(R36:V36),0),ROUND(AVERAGE(R36:V36),1))</f>
        <v>#DIV/0!</v>
      </c>
      <c r="S37" s="3520"/>
      <c r="T37" s="3520"/>
      <c r="U37" s="3520"/>
      <c r="V37" s="3520"/>
      <c r="W37" s="3520"/>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K1" zoomScale="90" zoomScaleNormal="90" workbookViewId="0">
      <pane ySplit="24" topLeftCell="A25" activePane="bottomLeft" state="frozen"/>
      <selection pane="bottomLeft" activeCell="B32" sqref="B32"/>
    </sheetView>
  </sheetViews>
  <sheetFormatPr defaultColWidth="9" defaultRowHeight="12.75"/>
  <cols>
    <col min="1" max="1" width="11.5" style="1246" customWidth="1"/>
    <col min="2" max="2" width="9.25" style="1214" customWidth="1"/>
    <col min="3" max="3" width="5" style="1214" customWidth="1"/>
    <col min="4" max="4" width="9" style="1214"/>
    <col min="5" max="5" width="6.25" style="1214" customWidth="1"/>
    <col min="6" max="6" width="9" style="1214"/>
    <col min="7" max="7" width="7.125" style="1214" customWidth="1"/>
    <col min="8" max="8" width="9" style="1214"/>
    <col min="9" max="9" width="6.5" style="1214" customWidth="1"/>
    <col min="10" max="10" width="9" style="1214"/>
    <col min="11" max="11" width="6.37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33" t="s">
        <v>2302</v>
      </c>
      <c r="D1" s="3534"/>
      <c r="E1" s="3534"/>
      <c r="F1" s="3534"/>
      <c r="G1" s="3534"/>
      <c r="H1" s="3534"/>
      <c r="I1" s="3534"/>
      <c r="J1" s="3534"/>
      <c r="K1" s="3534"/>
      <c r="L1" s="3534"/>
      <c r="M1" s="3534"/>
      <c r="N1" s="3534"/>
      <c r="O1" s="3534"/>
      <c r="P1" s="3534"/>
      <c r="Q1" s="3534"/>
      <c r="R1" s="3534"/>
      <c r="S1" s="3535"/>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2924</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2923</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2922</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2935</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2921</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2920</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81960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4674</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175351</v>
      </c>
      <c r="C22" s="3530" t="s">
        <v>20</v>
      </c>
      <c r="D22" s="3531"/>
      <c r="E22" s="3531"/>
      <c r="F22" s="3531"/>
      <c r="G22" s="3531"/>
      <c r="H22" s="3531"/>
      <c r="I22" s="3531"/>
      <c r="J22" s="3531"/>
      <c r="K22" s="3531"/>
      <c r="L22" s="3531"/>
      <c r="M22" s="3531"/>
      <c r="N22" s="3531"/>
      <c r="O22" s="3531"/>
      <c r="P22" s="3531"/>
      <c r="Q22" s="3532"/>
      <c r="R22" s="490">
        <f ca="1">ROUND(S22*10000/B22,0)</f>
        <v>4674</v>
      </c>
      <c r="S22" s="53">
        <f ca="1">SUM(S24:S10000)</f>
        <v>81960</v>
      </c>
      <c r="T22" s="257">
        <f ca="1">S22*0.6</f>
        <v>49176</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Sheet2!D2</f>
        <v>40652</v>
      </c>
      <c r="C24" s="962">
        <v>1</v>
      </c>
      <c r="D24" s="963"/>
      <c r="E24" s="962">
        <v>1</v>
      </c>
      <c r="F24" s="963"/>
      <c r="G24" s="962">
        <v>1</v>
      </c>
      <c r="H24" s="963"/>
      <c r="I24" s="962">
        <v>1</v>
      </c>
      <c r="J24" s="963"/>
      <c r="K24" s="962">
        <v>1</v>
      </c>
      <c r="L24" s="963"/>
      <c r="M24" s="962">
        <v>1</v>
      </c>
      <c r="N24" s="963"/>
      <c r="O24" s="962">
        <v>1</v>
      </c>
      <c r="P24" s="963"/>
      <c r="Q24" s="962">
        <v>1</v>
      </c>
      <c r="R24" s="964">
        <f ca="1">结果表!G21</f>
        <v>4740</v>
      </c>
      <c r="S24" s="962">
        <f t="shared" ref="S24:S54" ca="1" si="11">ROUND(R24*B24/10000,0)</f>
        <v>19269</v>
      </c>
      <c r="T24" s="1959"/>
      <c r="U24" s="1959"/>
      <c r="V24" s="1959"/>
      <c r="W24" s="1959"/>
      <c r="X24" s="1959"/>
      <c r="Y24" s="1959"/>
      <c r="Z24" s="1959"/>
      <c r="AA24" s="1959"/>
      <c r="AB24" s="1959"/>
      <c r="AC24" s="1959"/>
      <c r="AD24" s="1959"/>
      <c r="AE24" s="1959"/>
      <c r="AF24" s="1959"/>
      <c r="AG24" s="1959"/>
      <c r="AH24" s="1959"/>
      <c r="AI24" s="1959"/>
    </row>
    <row r="25" spans="1:45">
      <c r="A25" s="965">
        <v>3053</v>
      </c>
      <c r="B25" s="961">
        <f>Sheet2!D3</f>
        <v>23778</v>
      </c>
      <c r="C25" s="53">
        <f>IF(B25="",1,(LOOKUP(B25,$3:$3,$4:$4)-LOOKUP($B$24,$3:$3,$4:$4)+100)/100)</f>
        <v>0.98</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4645</v>
      </c>
      <c r="S25" s="799">
        <f t="shared" ca="1" si="11"/>
        <v>11045</v>
      </c>
    </row>
    <row r="26" spans="1:45">
      <c r="A26" s="965">
        <v>3056</v>
      </c>
      <c r="B26" s="961">
        <f>Sheet2!D4</f>
        <v>3856</v>
      </c>
      <c r="C26" s="53">
        <f t="shared" ref="C26:C89" si="12">IF(B26="",1,(LOOKUP(B26,$3:$3,$4:$4)-LOOKUP($B$24,$3:$3,$4:$4)+100)/100)</f>
        <v>0.96</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4550</v>
      </c>
      <c r="S26" s="799">
        <f t="shared" ca="1" si="11"/>
        <v>1754</v>
      </c>
    </row>
    <row r="27" spans="1:45">
      <c r="A27" s="965">
        <v>3059</v>
      </c>
      <c r="B27" s="961">
        <f>Sheet2!D5</f>
        <v>31355</v>
      </c>
      <c r="C27" s="53">
        <f t="shared" si="12"/>
        <v>0.99</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4693</v>
      </c>
      <c r="S27" s="799">
        <f t="shared" ca="1" si="11"/>
        <v>14715</v>
      </c>
    </row>
    <row r="28" spans="1:45">
      <c r="A28" s="965">
        <v>3061</v>
      </c>
      <c r="B28" s="961">
        <f>Sheet2!D6</f>
        <v>31462</v>
      </c>
      <c r="C28" s="53">
        <f t="shared" si="12"/>
        <v>0.99</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4693</v>
      </c>
      <c r="S28" s="799">
        <f t="shared" ca="1" si="11"/>
        <v>14765</v>
      </c>
    </row>
    <row r="29" spans="1:45">
      <c r="A29" s="965">
        <v>3069</v>
      </c>
      <c r="B29" s="961">
        <f>Sheet2!D7</f>
        <v>29452</v>
      </c>
      <c r="C29" s="53">
        <f t="shared" si="12"/>
        <v>0.98</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4645</v>
      </c>
      <c r="S29" s="799">
        <f t="shared" ca="1" si="11"/>
        <v>13680</v>
      </c>
    </row>
    <row r="30" spans="1:45">
      <c r="A30" s="965">
        <v>2087</v>
      </c>
      <c r="B30" s="961">
        <f>Sheet2!D8</f>
        <v>7004</v>
      </c>
      <c r="C30" s="53">
        <f t="shared" si="12"/>
        <v>0.96</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4550</v>
      </c>
      <c r="S30" s="799">
        <f t="shared" ca="1" si="11"/>
        <v>3187</v>
      </c>
    </row>
    <row r="31" spans="1:45">
      <c r="A31" s="965">
        <v>2089</v>
      </c>
      <c r="B31" s="961">
        <f>Sheet2!D9</f>
        <v>7792</v>
      </c>
      <c r="C31" s="53">
        <f t="shared" si="12"/>
        <v>0.96</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4550</v>
      </c>
      <c r="S31" s="799">
        <f t="shared" ca="1" si="11"/>
        <v>3545</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08" workbookViewId="0">
      <selection activeCell="L98" sqref="L98"/>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202" zoomScaleNormal="100" workbookViewId="0">
      <selection activeCell="K215" sqref="K215"/>
    </sheetView>
  </sheetViews>
  <sheetFormatPr defaultRowHeight="13.5"/>
  <cols>
    <col min="1" max="1" width="30.375" customWidth="1"/>
    <col min="6" max="6" width="25.125" customWidth="1"/>
    <col min="13" max="13" width="19.875" customWidth="1"/>
  </cols>
  <sheetData>
    <row r="1" spans="1:15">
      <c r="A1" s="3195" t="s">
        <v>3042</v>
      </c>
      <c r="B1" s="3195" t="s">
        <v>3043</v>
      </c>
      <c r="C1" s="3195" t="s">
        <v>3044</v>
      </c>
      <c r="D1" s="3195" t="s">
        <v>3045</v>
      </c>
      <c r="E1" s="3195" t="s">
        <v>3046</v>
      </c>
      <c r="F1" s="3195" t="s">
        <v>2030</v>
      </c>
      <c r="G1" s="3195" t="s">
        <v>3047</v>
      </c>
      <c r="H1" s="3195" t="s">
        <v>3048</v>
      </c>
      <c r="I1" s="3195" t="s">
        <v>3049</v>
      </c>
      <c r="J1" s="3195" t="s">
        <v>3050</v>
      </c>
      <c r="K1" s="3195" t="s">
        <v>3051</v>
      </c>
      <c r="L1" s="3195" t="s">
        <v>3052</v>
      </c>
      <c r="M1" s="3195" t="s">
        <v>3053</v>
      </c>
      <c r="N1" s="3195" t="s">
        <v>3054</v>
      </c>
    </row>
    <row r="2" spans="1:15">
      <c r="A2" s="3195" t="s">
        <v>3055</v>
      </c>
      <c r="B2" s="3195" t="s">
        <v>3056</v>
      </c>
      <c r="C2" s="3195" t="s">
        <v>3057</v>
      </c>
      <c r="D2" s="3195">
        <v>94</v>
      </c>
      <c r="E2" s="3195">
        <v>470</v>
      </c>
      <c r="F2" s="3195" t="s">
        <v>3058</v>
      </c>
      <c r="G2" s="3195" t="s">
        <v>3059</v>
      </c>
      <c r="H2" s="3195" t="s">
        <v>3060</v>
      </c>
      <c r="I2" s="3195">
        <v>14.09</v>
      </c>
      <c r="J2" s="3195">
        <v>14.09</v>
      </c>
      <c r="K2" s="3195">
        <v>300</v>
      </c>
      <c r="L2" s="3195">
        <v>0</v>
      </c>
      <c r="M2" s="3195" t="s">
        <v>3061</v>
      </c>
      <c r="N2" s="3195" t="s">
        <v>3062</v>
      </c>
      <c r="O2">
        <f>ROUND(J2/D2*10000,0)</f>
        <v>1499</v>
      </c>
    </row>
    <row r="3" spans="1:15">
      <c r="A3" s="3195" t="s">
        <v>3055</v>
      </c>
      <c r="B3" s="3195" t="s">
        <v>3056</v>
      </c>
      <c r="C3" s="3195" t="s">
        <v>3057</v>
      </c>
      <c r="D3" s="3195">
        <v>112</v>
      </c>
      <c r="E3" s="3195">
        <v>560</v>
      </c>
      <c r="F3" s="3195" t="s">
        <v>3058</v>
      </c>
      <c r="G3" s="3195" t="s">
        <v>3059</v>
      </c>
      <c r="H3" s="3195" t="s">
        <v>3060</v>
      </c>
      <c r="I3" s="3195">
        <v>16.8</v>
      </c>
      <c r="J3" s="3195">
        <v>16.8</v>
      </c>
      <c r="K3" s="3195">
        <v>300</v>
      </c>
      <c r="L3" s="3195">
        <v>0</v>
      </c>
      <c r="M3" s="3195" t="s">
        <v>3063</v>
      </c>
      <c r="N3" s="3195" t="s">
        <v>3062</v>
      </c>
      <c r="O3">
        <f t="shared" ref="O3:O66" si="0">ROUND(J3/D3*10000,0)</f>
        <v>1500</v>
      </c>
    </row>
    <row r="4" spans="1:15">
      <c r="A4" s="3195" t="s">
        <v>3055</v>
      </c>
      <c r="B4" s="3195" t="s">
        <v>3056</v>
      </c>
      <c r="C4" s="3195" t="s">
        <v>3057</v>
      </c>
      <c r="D4" s="3195">
        <v>123</v>
      </c>
      <c r="E4" s="3195">
        <v>615</v>
      </c>
      <c r="F4" s="3195" t="s">
        <v>3058</v>
      </c>
      <c r="G4" s="3195" t="s">
        <v>3059</v>
      </c>
      <c r="H4" s="3195" t="s">
        <v>3060</v>
      </c>
      <c r="I4" s="3195">
        <v>18.440000000000001</v>
      </c>
      <c r="J4" s="3195">
        <v>18.440000000000001</v>
      </c>
      <c r="K4" s="3195">
        <v>300</v>
      </c>
      <c r="L4" s="3195">
        <v>0</v>
      </c>
      <c r="M4" s="3195" t="s">
        <v>3064</v>
      </c>
      <c r="N4" s="3195" t="s">
        <v>3062</v>
      </c>
      <c r="O4">
        <f t="shared" si="0"/>
        <v>1499</v>
      </c>
    </row>
    <row r="5" spans="1:15">
      <c r="A5" s="3195" t="s">
        <v>3055</v>
      </c>
      <c r="B5" s="3195" t="s">
        <v>3056</v>
      </c>
      <c r="C5" s="3195" t="s">
        <v>3057</v>
      </c>
      <c r="D5" s="3195">
        <v>122</v>
      </c>
      <c r="E5" s="3195">
        <v>610</v>
      </c>
      <c r="F5" s="3195" t="s">
        <v>3058</v>
      </c>
      <c r="G5" s="3195" t="s">
        <v>3059</v>
      </c>
      <c r="H5" s="3195" t="s">
        <v>3060</v>
      </c>
      <c r="I5" s="3195">
        <v>18.3</v>
      </c>
      <c r="J5" s="3195">
        <v>18.3</v>
      </c>
      <c r="K5" s="3195">
        <v>300</v>
      </c>
      <c r="L5" s="3195">
        <v>0</v>
      </c>
      <c r="M5" s="3195" t="s">
        <v>3065</v>
      </c>
      <c r="N5" s="3195" t="s">
        <v>3062</v>
      </c>
      <c r="O5">
        <f t="shared" si="0"/>
        <v>1500</v>
      </c>
    </row>
    <row r="6" spans="1:15">
      <c r="A6" s="3195" t="s">
        <v>3055</v>
      </c>
      <c r="B6" s="3195" t="s">
        <v>3056</v>
      </c>
      <c r="C6" s="3195" t="s">
        <v>3057</v>
      </c>
      <c r="D6" s="3195">
        <v>120</v>
      </c>
      <c r="E6" s="3195">
        <v>600</v>
      </c>
      <c r="F6" s="3195" t="s">
        <v>3058</v>
      </c>
      <c r="G6" s="3195" t="s">
        <v>3059</v>
      </c>
      <c r="H6" s="3195" t="s">
        <v>3060</v>
      </c>
      <c r="I6" s="3195">
        <v>18</v>
      </c>
      <c r="J6" s="3195">
        <v>18</v>
      </c>
      <c r="K6" s="3195">
        <v>300</v>
      </c>
      <c r="L6" s="3195">
        <v>0</v>
      </c>
      <c r="M6" s="3195" t="s">
        <v>3066</v>
      </c>
      <c r="N6" s="3195" t="s">
        <v>3062</v>
      </c>
      <c r="O6">
        <f t="shared" si="0"/>
        <v>1500</v>
      </c>
    </row>
    <row r="7" spans="1:15">
      <c r="A7" s="3195" t="s">
        <v>3055</v>
      </c>
      <c r="B7" s="3195" t="s">
        <v>3056</v>
      </c>
      <c r="C7" s="3195" t="s">
        <v>3057</v>
      </c>
      <c r="D7" s="3195">
        <v>126</v>
      </c>
      <c r="E7" s="3195">
        <v>630</v>
      </c>
      <c r="F7" s="3195" t="s">
        <v>3058</v>
      </c>
      <c r="G7" s="3195" t="s">
        <v>3059</v>
      </c>
      <c r="H7" s="3195" t="s">
        <v>3060</v>
      </c>
      <c r="I7" s="3195">
        <v>18.89</v>
      </c>
      <c r="J7" s="3195">
        <v>18.89</v>
      </c>
      <c r="K7" s="3195">
        <v>300</v>
      </c>
      <c r="L7" s="3195">
        <v>0</v>
      </c>
      <c r="M7" s="3195" t="s">
        <v>3067</v>
      </c>
      <c r="N7" s="3195" t="s">
        <v>3062</v>
      </c>
      <c r="O7">
        <f t="shared" si="0"/>
        <v>1499</v>
      </c>
    </row>
    <row r="8" spans="1:15">
      <c r="A8" s="3195" t="s">
        <v>3055</v>
      </c>
      <c r="B8" s="3195" t="s">
        <v>3056</v>
      </c>
      <c r="C8" s="3195" t="s">
        <v>3057</v>
      </c>
      <c r="D8" s="3195">
        <v>97</v>
      </c>
      <c r="E8" s="3195">
        <v>485</v>
      </c>
      <c r="F8" s="3195" t="s">
        <v>3058</v>
      </c>
      <c r="G8" s="3195" t="s">
        <v>3059</v>
      </c>
      <c r="H8" s="3195" t="s">
        <v>3060</v>
      </c>
      <c r="I8" s="3195">
        <v>14.55</v>
      </c>
      <c r="J8" s="3195">
        <v>14.55</v>
      </c>
      <c r="K8" s="3195">
        <v>300</v>
      </c>
      <c r="L8" s="3195">
        <v>0</v>
      </c>
      <c r="M8" s="3195" t="s">
        <v>3068</v>
      </c>
      <c r="N8" s="3195" t="s">
        <v>3062</v>
      </c>
      <c r="O8">
        <f t="shared" si="0"/>
        <v>1500</v>
      </c>
    </row>
    <row r="9" spans="1:15">
      <c r="A9" s="3195" t="s">
        <v>3055</v>
      </c>
      <c r="B9" s="3195" t="s">
        <v>3056</v>
      </c>
      <c r="C9" s="3195" t="s">
        <v>3057</v>
      </c>
      <c r="D9" s="3195">
        <v>107</v>
      </c>
      <c r="E9" s="3195">
        <v>535</v>
      </c>
      <c r="F9" s="3195" t="s">
        <v>3058</v>
      </c>
      <c r="G9" s="3195" t="s">
        <v>3059</v>
      </c>
      <c r="H9" s="3195" t="s">
        <v>3060</v>
      </c>
      <c r="I9" s="3195">
        <v>16.05</v>
      </c>
      <c r="J9" s="3195">
        <v>16.05</v>
      </c>
      <c r="K9" s="3195">
        <v>300</v>
      </c>
      <c r="L9" s="3195">
        <v>0</v>
      </c>
      <c r="M9" s="3195" t="s">
        <v>3069</v>
      </c>
      <c r="N9" s="3195" t="s">
        <v>3062</v>
      </c>
      <c r="O9">
        <f t="shared" si="0"/>
        <v>1500</v>
      </c>
    </row>
    <row r="10" spans="1:15">
      <c r="A10" s="3195" t="s">
        <v>3055</v>
      </c>
      <c r="B10" s="3195" t="s">
        <v>3056</v>
      </c>
      <c r="C10" s="3195" t="s">
        <v>3057</v>
      </c>
      <c r="D10" s="3195">
        <v>97</v>
      </c>
      <c r="E10" s="3195">
        <v>485</v>
      </c>
      <c r="F10" s="3195" t="s">
        <v>3058</v>
      </c>
      <c r="G10" s="3195" t="s">
        <v>3059</v>
      </c>
      <c r="H10" s="3195" t="s">
        <v>3060</v>
      </c>
      <c r="I10" s="3195">
        <v>14.55</v>
      </c>
      <c r="J10" s="3195">
        <v>14.55</v>
      </c>
      <c r="K10" s="3195">
        <v>300</v>
      </c>
      <c r="L10" s="3195">
        <v>0</v>
      </c>
      <c r="M10" s="3195" t="s">
        <v>3070</v>
      </c>
      <c r="N10" s="3195" t="s">
        <v>3062</v>
      </c>
      <c r="O10">
        <f t="shared" si="0"/>
        <v>1500</v>
      </c>
    </row>
    <row r="11" spans="1:15">
      <c r="A11" s="3195" t="s">
        <v>3055</v>
      </c>
      <c r="B11" s="3195" t="s">
        <v>3056</v>
      </c>
      <c r="C11" s="3195" t="s">
        <v>3057</v>
      </c>
      <c r="D11" s="3195">
        <v>134</v>
      </c>
      <c r="E11" s="3195">
        <v>670</v>
      </c>
      <c r="F11" s="3195" t="s">
        <v>3058</v>
      </c>
      <c r="G11" s="3195" t="s">
        <v>3059</v>
      </c>
      <c r="H11" s="3195" t="s">
        <v>3060</v>
      </c>
      <c r="I11" s="3195">
        <v>20.100000000000001</v>
      </c>
      <c r="J11" s="3195">
        <v>20.100000000000001</v>
      </c>
      <c r="K11" s="3195">
        <v>300</v>
      </c>
      <c r="L11" s="3195">
        <v>0</v>
      </c>
      <c r="M11" s="3195" t="s">
        <v>3071</v>
      </c>
      <c r="N11" s="3195" t="s">
        <v>3062</v>
      </c>
      <c r="O11">
        <f t="shared" si="0"/>
        <v>1500</v>
      </c>
    </row>
    <row r="12" spans="1:15">
      <c r="A12" s="3195" t="s">
        <v>3055</v>
      </c>
      <c r="B12" s="3195" t="s">
        <v>3056</v>
      </c>
      <c r="C12" s="3195" t="s">
        <v>3057</v>
      </c>
      <c r="D12" s="3195">
        <v>120</v>
      </c>
      <c r="E12" s="3195">
        <v>600</v>
      </c>
      <c r="F12" s="3195" t="s">
        <v>3058</v>
      </c>
      <c r="G12" s="3195" t="s">
        <v>3059</v>
      </c>
      <c r="H12" s="3195" t="s">
        <v>3060</v>
      </c>
      <c r="I12" s="3195">
        <v>18</v>
      </c>
      <c r="J12" s="3195">
        <v>18</v>
      </c>
      <c r="K12" s="3195">
        <v>300</v>
      </c>
      <c r="L12" s="3195">
        <v>0</v>
      </c>
      <c r="M12" s="3195" t="s">
        <v>3072</v>
      </c>
      <c r="N12" s="3195" t="s">
        <v>3062</v>
      </c>
      <c r="O12">
        <f t="shared" si="0"/>
        <v>1500</v>
      </c>
    </row>
    <row r="13" spans="1:15">
      <c r="A13" s="3195" t="s">
        <v>3055</v>
      </c>
      <c r="B13" s="3195" t="s">
        <v>3056</v>
      </c>
      <c r="C13" s="3195" t="s">
        <v>3057</v>
      </c>
      <c r="D13" s="3195">
        <v>96</v>
      </c>
      <c r="E13" s="3195">
        <v>480</v>
      </c>
      <c r="F13" s="3195" t="s">
        <v>3058</v>
      </c>
      <c r="G13" s="3195" t="s">
        <v>3059</v>
      </c>
      <c r="H13" s="3195" t="s">
        <v>3060</v>
      </c>
      <c r="I13" s="3195">
        <v>14.4</v>
      </c>
      <c r="J13" s="3195">
        <v>14.4</v>
      </c>
      <c r="K13" s="3195">
        <v>300</v>
      </c>
      <c r="L13" s="3195">
        <v>0</v>
      </c>
      <c r="M13" s="3195" t="s">
        <v>3073</v>
      </c>
      <c r="N13" s="3195" t="s">
        <v>3062</v>
      </c>
      <c r="O13">
        <f t="shared" si="0"/>
        <v>1500</v>
      </c>
    </row>
    <row r="14" spans="1:15">
      <c r="A14" s="3195" t="s">
        <v>3055</v>
      </c>
      <c r="B14" s="3195" t="s">
        <v>3056</v>
      </c>
      <c r="C14" s="3195" t="s">
        <v>3057</v>
      </c>
      <c r="D14" s="3195">
        <v>108</v>
      </c>
      <c r="E14" s="3195">
        <v>540</v>
      </c>
      <c r="F14" s="3195" t="s">
        <v>3058</v>
      </c>
      <c r="G14" s="3195" t="s">
        <v>3059</v>
      </c>
      <c r="H14" s="3195" t="s">
        <v>3074</v>
      </c>
      <c r="I14" s="3195">
        <v>16.190000000000001</v>
      </c>
      <c r="J14" s="3195">
        <v>16.190000000000001</v>
      </c>
      <c r="K14" s="3195">
        <v>300</v>
      </c>
      <c r="L14" s="3195">
        <v>0</v>
      </c>
      <c r="M14" s="3195" t="s">
        <v>3075</v>
      </c>
      <c r="N14" s="3195" t="s">
        <v>3062</v>
      </c>
      <c r="O14">
        <f t="shared" si="0"/>
        <v>1499</v>
      </c>
    </row>
    <row r="15" spans="1:15">
      <c r="A15" s="3195" t="s">
        <v>3055</v>
      </c>
      <c r="B15" s="3195" t="s">
        <v>3056</v>
      </c>
      <c r="C15" s="3195" t="s">
        <v>3057</v>
      </c>
      <c r="D15" s="3195">
        <v>85</v>
      </c>
      <c r="E15" s="3195">
        <v>425</v>
      </c>
      <c r="F15" s="3195" t="s">
        <v>3058</v>
      </c>
      <c r="G15" s="3195" t="s">
        <v>3059</v>
      </c>
      <c r="H15" s="3195" t="s">
        <v>3074</v>
      </c>
      <c r="I15" s="3195">
        <v>12.75</v>
      </c>
      <c r="J15" s="3195">
        <v>12.75</v>
      </c>
      <c r="K15" s="3195">
        <v>300</v>
      </c>
      <c r="L15" s="3195">
        <v>0</v>
      </c>
      <c r="M15" s="3195" t="s">
        <v>3076</v>
      </c>
      <c r="N15" s="3195" t="s">
        <v>3062</v>
      </c>
      <c r="O15">
        <f t="shared" si="0"/>
        <v>1500</v>
      </c>
    </row>
    <row r="16" spans="1:15">
      <c r="A16" s="3195" t="s">
        <v>3055</v>
      </c>
      <c r="B16" s="3195" t="s">
        <v>3056</v>
      </c>
      <c r="C16" s="3195" t="s">
        <v>3057</v>
      </c>
      <c r="D16" s="3195">
        <v>99</v>
      </c>
      <c r="E16" s="3195">
        <v>495</v>
      </c>
      <c r="F16" s="3195" t="s">
        <v>3058</v>
      </c>
      <c r="G16" s="3195" t="s">
        <v>3059</v>
      </c>
      <c r="H16" s="3195" t="s">
        <v>3074</v>
      </c>
      <c r="I16" s="3195">
        <v>14.84</v>
      </c>
      <c r="J16" s="3195">
        <v>14.84</v>
      </c>
      <c r="K16" s="3195">
        <v>300</v>
      </c>
      <c r="L16" s="3195">
        <v>0</v>
      </c>
      <c r="M16" s="3195" t="s">
        <v>3077</v>
      </c>
      <c r="N16" s="3195" t="s">
        <v>3062</v>
      </c>
      <c r="O16">
        <f t="shared" si="0"/>
        <v>1499</v>
      </c>
    </row>
    <row r="17" spans="1:15">
      <c r="A17" s="3195" t="s">
        <v>3055</v>
      </c>
      <c r="B17" s="3195" t="s">
        <v>3056</v>
      </c>
      <c r="C17" s="3195" t="s">
        <v>3057</v>
      </c>
      <c r="D17" s="3195">
        <v>91</v>
      </c>
      <c r="E17" s="3195">
        <v>455</v>
      </c>
      <c r="F17" s="3195" t="s">
        <v>3058</v>
      </c>
      <c r="G17" s="3195" t="s">
        <v>3059</v>
      </c>
      <c r="H17" s="3195" t="s">
        <v>3074</v>
      </c>
      <c r="I17" s="3195">
        <v>13.65</v>
      </c>
      <c r="J17" s="3195">
        <v>13.65</v>
      </c>
      <c r="K17" s="3195">
        <v>300</v>
      </c>
      <c r="L17" s="3195">
        <v>0</v>
      </c>
      <c r="M17" s="3195" t="s">
        <v>3078</v>
      </c>
      <c r="N17" s="3195" t="s">
        <v>3062</v>
      </c>
      <c r="O17">
        <f t="shared" si="0"/>
        <v>1500</v>
      </c>
    </row>
    <row r="18" spans="1:15">
      <c r="A18" s="3195" t="s">
        <v>3055</v>
      </c>
      <c r="B18" s="3195" t="s">
        <v>3056</v>
      </c>
      <c r="C18" s="3195" t="s">
        <v>3057</v>
      </c>
      <c r="D18" s="3195">
        <v>99</v>
      </c>
      <c r="E18" s="3195">
        <v>495</v>
      </c>
      <c r="F18" s="3195" t="s">
        <v>3058</v>
      </c>
      <c r="G18" s="3195" t="s">
        <v>3059</v>
      </c>
      <c r="H18" s="3195" t="s">
        <v>3074</v>
      </c>
      <c r="I18" s="3195">
        <v>14.84</v>
      </c>
      <c r="J18" s="3195">
        <v>14.84</v>
      </c>
      <c r="K18" s="3195">
        <v>300</v>
      </c>
      <c r="L18" s="3195">
        <v>0</v>
      </c>
      <c r="M18" s="3195" t="s">
        <v>3079</v>
      </c>
      <c r="N18" s="3195" t="s">
        <v>3062</v>
      </c>
      <c r="O18">
        <f t="shared" si="0"/>
        <v>1499</v>
      </c>
    </row>
    <row r="19" spans="1:15">
      <c r="A19" s="3195" t="s">
        <v>3055</v>
      </c>
      <c r="B19" s="3195" t="s">
        <v>3056</v>
      </c>
      <c r="C19" s="3195" t="s">
        <v>3057</v>
      </c>
      <c r="D19" s="3195">
        <v>101</v>
      </c>
      <c r="E19" s="3195">
        <v>505</v>
      </c>
      <c r="F19" s="3195" t="s">
        <v>3058</v>
      </c>
      <c r="G19" s="3195" t="s">
        <v>3059</v>
      </c>
      <c r="H19" s="3195" t="s">
        <v>3074</v>
      </c>
      <c r="I19" s="3195">
        <v>15.15</v>
      </c>
      <c r="J19" s="3195">
        <v>15.15</v>
      </c>
      <c r="K19" s="3195">
        <v>300</v>
      </c>
      <c r="L19" s="3195">
        <v>0</v>
      </c>
      <c r="M19" s="3195" t="s">
        <v>3080</v>
      </c>
      <c r="N19" s="3195" t="s">
        <v>3062</v>
      </c>
      <c r="O19">
        <f t="shared" si="0"/>
        <v>1500</v>
      </c>
    </row>
    <row r="20" spans="1:15">
      <c r="A20" s="3195" t="s">
        <v>3081</v>
      </c>
      <c r="B20" s="3195" t="s">
        <v>3056</v>
      </c>
      <c r="C20" s="3195" t="s">
        <v>3057</v>
      </c>
      <c r="D20" s="3195">
        <v>133</v>
      </c>
      <c r="E20" s="3195">
        <v>665</v>
      </c>
      <c r="F20" s="3195" t="s">
        <v>3058</v>
      </c>
      <c r="G20" s="3195" t="s">
        <v>3059</v>
      </c>
      <c r="H20" s="3195" t="s">
        <v>3074</v>
      </c>
      <c r="I20" s="3195">
        <v>19.940000000000001</v>
      </c>
      <c r="J20" s="3195">
        <v>19.940000000000001</v>
      </c>
      <c r="K20" s="3195">
        <v>300</v>
      </c>
      <c r="L20" s="3195">
        <v>0</v>
      </c>
      <c r="M20" s="3195" t="s">
        <v>3082</v>
      </c>
      <c r="N20" s="3195" t="s">
        <v>3062</v>
      </c>
      <c r="O20">
        <f t="shared" si="0"/>
        <v>1499</v>
      </c>
    </row>
    <row r="21" spans="1:15">
      <c r="A21" s="3195" t="s">
        <v>3055</v>
      </c>
      <c r="B21" s="3195" t="s">
        <v>3056</v>
      </c>
      <c r="C21" s="3195" t="s">
        <v>3057</v>
      </c>
      <c r="D21" s="3195">
        <v>99</v>
      </c>
      <c r="E21" s="3195">
        <v>495</v>
      </c>
      <c r="F21" s="3195" t="s">
        <v>3058</v>
      </c>
      <c r="G21" s="3195" t="s">
        <v>3059</v>
      </c>
      <c r="H21" s="3195" t="s">
        <v>3074</v>
      </c>
      <c r="I21" s="3195">
        <v>14.84</v>
      </c>
      <c r="J21" s="3195">
        <v>14.84</v>
      </c>
      <c r="K21" s="3195">
        <v>300</v>
      </c>
      <c r="L21" s="3195">
        <v>0</v>
      </c>
      <c r="M21" s="3195" t="s">
        <v>3083</v>
      </c>
      <c r="N21" s="3195" t="s">
        <v>3062</v>
      </c>
      <c r="O21">
        <f t="shared" si="0"/>
        <v>1499</v>
      </c>
    </row>
    <row r="22" spans="1:15">
      <c r="A22" s="3195" t="s">
        <v>3055</v>
      </c>
      <c r="B22" s="3195" t="s">
        <v>3056</v>
      </c>
      <c r="C22" s="3195" t="s">
        <v>3057</v>
      </c>
      <c r="D22" s="3195">
        <v>91</v>
      </c>
      <c r="E22" s="3195">
        <v>455</v>
      </c>
      <c r="F22" s="3195" t="s">
        <v>3058</v>
      </c>
      <c r="G22" s="3195" t="s">
        <v>3059</v>
      </c>
      <c r="H22" s="3195" t="s">
        <v>3074</v>
      </c>
      <c r="I22" s="3195">
        <v>13.65</v>
      </c>
      <c r="J22" s="3195">
        <v>13.65</v>
      </c>
      <c r="K22" s="3195">
        <v>300</v>
      </c>
      <c r="L22" s="3195">
        <v>0</v>
      </c>
      <c r="M22" s="3195" t="s">
        <v>3078</v>
      </c>
      <c r="N22" s="3195" t="s">
        <v>3062</v>
      </c>
      <c r="O22">
        <f t="shared" si="0"/>
        <v>1500</v>
      </c>
    </row>
    <row r="23" spans="1:15">
      <c r="A23" s="3195" t="s">
        <v>3055</v>
      </c>
      <c r="B23" s="3195" t="s">
        <v>3056</v>
      </c>
      <c r="C23" s="3195" t="s">
        <v>3057</v>
      </c>
      <c r="D23" s="3195">
        <v>99</v>
      </c>
      <c r="E23" s="3195">
        <v>495</v>
      </c>
      <c r="F23" s="3195" t="s">
        <v>3058</v>
      </c>
      <c r="G23" s="3195" t="s">
        <v>3059</v>
      </c>
      <c r="H23" s="3195" t="s">
        <v>3074</v>
      </c>
      <c r="I23" s="3195">
        <v>14.84</v>
      </c>
      <c r="J23" s="3195">
        <v>14.84</v>
      </c>
      <c r="K23" s="3195">
        <v>300</v>
      </c>
      <c r="L23" s="3195">
        <v>0</v>
      </c>
      <c r="M23" s="3195" t="s">
        <v>3084</v>
      </c>
      <c r="N23" s="3195" t="s">
        <v>3062</v>
      </c>
      <c r="O23">
        <f t="shared" si="0"/>
        <v>1499</v>
      </c>
    </row>
    <row r="24" spans="1:15">
      <c r="A24" s="3195" t="s">
        <v>3055</v>
      </c>
      <c r="B24" s="3195" t="s">
        <v>3056</v>
      </c>
      <c r="C24" s="3195" t="s">
        <v>3057</v>
      </c>
      <c r="D24" s="3195">
        <v>99</v>
      </c>
      <c r="E24" s="3195">
        <v>495</v>
      </c>
      <c r="F24" s="3195" t="s">
        <v>3058</v>
      </c>
      <c r="G24" s="3195" t="s">
        <v>3059</v>
      </c>
      <c r="H24" s="3195" t="s">
        <v>3074</v>
      </c>
      <c r="I24" s="3195">
        <v>14.84</v>
      </c>
      <c r="J24" s="3195">
        <v>14.84</v>
      </c>
      <c r="K24" s="3195">
        <v>300</v>
      </c>
      <c r="L24" s="3195">
        <v>0</v>
      </c>
      <c r="M24" s="3195" t="s">
        <v>3085</v>
      </c>
      <c r="N24" s="3195" t="s">
        <v>3062</v>
      </c>
      <c r="O24">
        <f t="shared" si="0"/>
        <v>1499</v>
      </c>
    </row>
    <row r="25" spans="1:15">
      <c r="A25" s="3195" t="s">
        <v>3055</v>
      </c>
      <c r="B25" s="3195" t="s">
        <v>3056</v>
      </c>
      <c r="C25" s="3195" t="s">
        <v>3057</v>
      </c>
      <c r="D25" s="3195">
        <v>96</v>
      </c>
      <c r="E25" s="3195">
        <v>480</v>
      </c>
      <c r="F25" s="3195" t="s">
        <v>3058</v>
      </c>
      <c r="G25" s="3195" t="s">
        <v>3059</v>
      </c>
      <c r="H25" s="3195" t="s">
        <v>3074</v>
      </c>
      <c r="I25" s="3195">
        <v>14.4</v>
      </c>
      <c r="J25" s="3195">
        <v>14.4</v>
      </c>
      <c r="K25" s="3195">
        <v>300</v>
      </c>
      <c r="L25" s="3195">
        <v>0</v>
      </c>
      <c r="M25" s="3195" t="s">
        <v>3086</v>
      </c>
      <c r="N25" s="3195" t="s">
        <v>3062</v>
      </c>
      <c r="O25">
        <f t="shared" si="0"/>
        <v>1500</v>
      </c>
    </row>
    <row r="26" spans="1:15">
      <c r="A26" s="3195" t="s">
        <v>3055</v>
      </c>
      <c r="B26" s="3195" t="s">
        <v>3056</v>
      </c>
      <c r="C26" s="3195" t="s">
        <v>3057</v>
      </c>
      <c r="D26" s="3195">
        <v>129</v>
      </c>
      <c r="E26" s="3195">
        <v>645</v>
      </c>
      <c r="F26" s="3195" t="s">
        <v>3058</v>
      </c>
      <c r="G26" s="3195" t="s">
        <v>3059</v>
      </c>
      <c r="H26" s="3195" t="s">
        <v>3087</v>
      </c>
      <c r="I26" s="3195" t="s">
        <v>2814</v>
      </c>
      <c r="J26" s="3195">
        <v>19.350000000000001</v>
      </c>
      <c r="K26" s="3195">
        <v>300</v>
      </c>
      <c r="L26" s="3195" t="s">
        <v>2814</v>
      </c>
      <c r="M26" s="3195" t="s">
        <v>3088</v>
      </c>
      <c r="N26" s="3195" t="s">
        <v>3062</v>
      </c>
      <c r="O26">
        <f t="shared" si="0"/>
        <v>1500</v>
      </c>
    </row>
    <row r="27" spans="1:15">
      <c r="A27" s="3195" t="s">
        <v>3055</v>
      </c>
      <c r="B27" s="3195" t="s">
        <v>3056</v>
      </c>
      <c r="C27" s="3195" t="s">
        <v>3057</v>
      </c>
      <c r="D27" s="3195">
        <v>93</v>
      </c>
      <c r="E27" s="3195">
        <v>465</v>
      </c>
      <c r="F27" s="3195" t="s">
        <v>3058</v>
      </c>
      <c r="G27" s="3195" t="s">
        <v>3059</v>
      </c>
      <c r="H27" s="3195" t="s">
        <v>3087</v>
      </c>
      <c r="I27" s="3195" t="s">
        <v>2814</v>
      </c>
      <c r="J27" s="3195">
        <v>13.94</v>
      </c>
      <c r="K27" s="3195">
        <v>300</v>
      </c>
      <c r="L27" s="3195" t="s">
        <v>2814</v>
      </c>
      <c r="M27" s="3195" t="s">
        <v>3089</v>
      </c>
      <c r="N27" s="3195" t="s">
        <v>3062</v>
      </c>
      <c r="O27">
        <f t="shared" si="0"/>
        <v>1499</v>
      </c>
    </row>
    <row r="28" spans="1:15">
      <c r="A28" s="3195" t="s">
        <v>3055</v>
      </c>
      <c r="B28" s="3195" t="s">
        <v>3056</v>
      </c>
      <c r="C28" s="3195" t="s">
        <v>3057</v>
      </c>
      <c r="D28" s="3195">
        <v>102</v>
      </c>
      <c r="E28" s="3195">
        <v>510</v>
      </c>
      <c r="F28" s="3195" t="s">
        <v>3058</v>
      </c>
      <c r="G28" s="3195" t="s">
        <v>3059</v>
      </c>
      <c r="H28" s="3195" t="s">
        <v>3087</v>
      </c>
      <c r="I28" s="3195" t="s">
        <v>2814</v>
      </c>
      <c r="J28" s="3195">
        <v>15.3</v>
      </c>
      <c r="K28" s="3195">
        <v>300</v>
      </c>
      <c r="L28" s="3195" t="s">
        <v>2814</v>
      </c>
      <c r="M28" s="3195" t="s">
        <v>3090</v>
      </c>
      <c r="N28" s="3195" t="s">
        <v>3062</v>
      </c>
      <c r="O28">
        <f t="shared" si="0"/>
        <v>1500</v>
      </c>
    </row>
    <row r="29" spans="1:15">
      <c r="A29" s="3195" t="s">
        <v>3055</v>
      </c>
      <c r="B29" s="3195" t="s">
        <v>3056</v>
      </c>
      <c r="C29" s="3195" t="s">
        <v>3057</v>
      </c>
      <c r="D29" s="3195">
        <v>102</v>
      </c>
      <c r="E29" s="3195">
        <v>510</v>
      </c>
      <c r="F29" s="3195" t="s">
        <v>3058</v>
      </c>
      <c r="G29" s="3195" t="s">
        <v>3059</v>
      </c>
      <c r="H29" s="3195" t="s">
        <v>3087</v>
      </c>
      <c r="I29" s="3195" t="s">
        <v>2814</v>
      </c>
      <c r="J29" s="3195">
        <v>15.3</v>
      </c>
      <c r="K29" s="3195">
        <v>300</v>
      </c>
      <c r="L29" s="3195" t="s">
        <v>2814</v>
      </c>
      <c r="M29" s="3195" t="s">
        <v>3090</v>
      </c>
      <c r="N29" s="3195" t="s">
        <v>3062</v>
      </c>
      <c r="O29">
        <f t="shared" si="0"/>
        <v>1500</v>
      </c>
    </row>
    <row r="30" spans="1:15">
      <c r="A30" s="3195" t="s">
        <v>3055</v>
      </c>
      <c r="B30" s="3195" t="s">
        <v>3056</v>
      </c>
      <c r="C30" s="3195" t="s">
        <v>3057</v>
      </c>
      <c r="D30" s="3195">
        <v>95</v>
      </c>
      <c r="E30" s="3195">
        <v>475</v>
      </c>
      <c r="F30" s="3195" t="s">
        <v>3058</v>
      </c>
      <c r="G30" s="3195" t="s">
        <v>3059</v>
      </c>
      <c r="H30" s="3195" t="s">
        <v>3087</v>
      </c>
      <c r="I30" s="3195" t="s">
        <v>2814</v>
      </c>
      <c r="J30" s="3195">
        <v>14.25</v>
      </c>
      <c r="K30" s="3195">
        <v>300</v>
      </c>
      <c r="L30" s="3195" t="s">
        <v>2814</v>
      </c>
      <c r="M30" s="3195" t="s">
        <v>3091</v>
      </c>
      <c r="N30" s="3195" t="s">
        <v>3062</v>
      </c>
      <c r="O30">
        <f t="shared" si="0"/>
        <v>1500</v>
      </c>
    </row>
    <row r="31" spans="1:15">
      <c r="A31" s="3195" t="s">
        <v>3055</v>
      </c>
      <c r="B31" s="3195" t="s">
        <v>3056</v>
      </c>
      <c r="C31" s="3195" t="s">
        <v>3057</v>
      </c>
      <c r="D31" s="3195">
        <v>96</v>
      </c>
      <c r="E31" s="3195">
        <v>480</v>
      </c>
      <c r="F31" s="3195" t="s">
        <v>3058</v>
      </c>
      <c r="G31" s="3195" t="s">
        <v>3059</v>
      </c>
      <c r="H31" s="3195" t="s">
        <v>3087</v>
      </c>
      <c r="I31" s="3195" t="s">
        <v>2814</v>
      </c>
      <c r="J31" s="3195">
        <v>14.4</v>
      </c>
      <c r="K31" s="3195">
        <v>300</v>
      </c>
      <c r="L31" s="3195" t="s">
        <v>2814</v>
      </c>
      <c r="M31" s="3195" t="s">
        <v>3092</v>
      </c>
      <c r="N31" s="3195" t="s">
        <v>3062</v>
      </c>
      <c r="O31">
        <f t="shared" si="0"/>
        <v>1500</v>
      </c>
    </row>
    <row r="32" spans="1:15">
      <c r="A32" s="3195" t="s">
        <v>3055</v>
      </c>
      <c r="B32" s="3195" t="s">
        <v>3056</v>
      </c>
      <c r="C32" s="3195" t="s">
        <v>3057</v>
      </c>
      <c r="D32" s="3195">
        <v>99</v>
      </c>
      <c r="E32" s="3195">
        <v>495</v>
      </c>
      <c r="F32" s="3195" t="s">
        <v>3058</v>
      </c>
      <c r="G32" s="3195" t="s">
        <v>3059</v>
      </c>
      <c r="H32" s="3195" t="s">
        <v>3087</v>
      </c>
      <c r="I32" s="3195" t="s">
        <v>2814</v>
      </c>
      <c r="J32" s="3195">
        <v>14.84</v>
      </c>
      <c r="K32" s="3195">
        <v>300</v>
      </c>
      <c r="L32" s="3195" t="s">
        <v>2814</v>
      </c>
      <c r="M32" s="3195" t="s">
        <v>3093</v>
      </c>
      <c r="N32" s="3195" t="s">
        <v>3062</v>
      </c>
      <c r="O32">
        <f t="shared" si="0"/>
        <v>1499</v>
      </c>
    </row>
    <row r="33" spans="1:15">
      <c r="A33" s="3195" t="s">
        <v>3055</v>
      </c>
      <c r="B33" s="3195" t="s">
        <v>3056</v>
      </c>
      <c r="C33" s="3195" t="s">
        <v>3057</v>
      </c>
      <c r="D33" s="3195">
        <v>131</v>
      </c>
      <c r="E33" s="3195">
        <v>655</v>
      </c>
      <c r="F33" s="3195" t="s">
        <v>3058</v>
      </c>
      <c r="G33" s="3195" t="s">
        <v>3059</v>
      </c>
      <c r="H33" s="3195" t="s">
        <v>3087</v>
      </c>
      <c r="I33" s="3195" t="s">
        <v>2814</v>
      </c>
      <c r="J33" s="3195">
        <v>19.64</v>
      </c>
      <c r="K33" s="3195">
        <v>300</v>
      </c>
      <c r="L33" s="3195" t="s">
        <v>2814</v>
      </c>
      <c r="M33" s="3195" t="s">
        <v>3094</v>
      </c>
      <c r="N33" s="3195" t="s">
        <v>3062</v>
      </c>
      <c r="O33">
        <f t="shared" si="0"/>
        <v>1499</v>
      </c>
    </row>
    <row r="34" spans="1:15">
      <c r="A34" s="3195" t="s">
        <v>3055</v>
      </c>
      <c r="B34" s="3195" t="s">
        <v>3056</v>
      </c>
      <c r="C34" s="3195" t="s">
        <v>3057</v>
      </c>
      <c r="D34" s="3195">
        <v>100</v>
      </c>
      <c r="E34" s="3195">
        <v>500</v>
      </c>
      <c r="F34" s="3195" t="s">
        <v>3058</v>
      </c>
      <c r="G34" s="3195" t="s">
        <v>3059</v>
      </c>
      <c r="H34" s="3195" t="s">
        <v>3087</v>
      </c>
      <c r="I34" s="3195" t="s">
        <v>2814</v>
      </c>
      <c r="J34" s="3195">
        <v>15</v>
      </c>
      <c r="K34" s="3195">
        <v>300</v>
      </c>
      <c r="L34" s="3195" t="s">
        <v>2814</v>
      </c>
      <c r="M34" s="3195" t="s">
        <v>3095</v>
      </c>
      <c r="N34" s="3195" t="s">
        <v>3062</v>
      </c>
      <c r="O34">
        <f t="shared" si="0"/>
        <v>1500</v>
      </c>
    </row>
    <row r="35" spans="1:15">
      <c r="A35" s="3195" t="s">
        <v>3055</v>
      </c>
      <c r="B35" s="3195" t="s">
        <v>3056</v>
      </c>
      <c r="C35" s="3195" t="s">
        <v>3057</v>
      </c>
      <c r="D35" s="3195">
        <v>98</v>
      </c>
      <c r="E35" s="3195">
        <v>490</v>
      </c>
      <c r="F35" s="3195" t="s">
        <v>3058</v>
      </c>
      <c r="G35" s="3195" t="s">
        <v>3059</v>
      </c>
      <c r="H35" s="3195" t="s">
        <v>3087</v>
      </c>
      <c r="I35" s="3195" t="s">
        <v>2814</v>
      </c>
      <c r="J35" s="3195">
        <v>14.69</v>
      </c>
      <c r="K35" s="3195">
        <v>300</v>
      </c>
      <c r="L35" s="3195" t="s">
        <v>2814</v>
      </c>
      <c r="M35" s="3195" t="s">
        <v>3096</v>
      </c>
      <c r="N35" s="3195" t="s">
        <v>3062</v>
      </c>
      <c r="O35">
        <f t="shared" si="0"/>
        <v>1499</v>
      </c>
    </row>
    <row r="36" spans="1:15">
      <c r="A36" s="3195" t="s">
        <v>3081</v>
      </c>
      <c r="B36" s="3195" t="s">
        <v>3056</v>
      </c>
      <c r="C36" s="3195" t="s">
        <v>3057</v>
      </c>
      <c r="D36" s="3195">
        <v>133</v>
      </c>
      <c r="E36" s="3195">
        <v>665</v>
      </c>
      <c r="F36" s="3195" t="s">
        <v>3058</v>
      </c>
      <c r="G36" s="3195" t="s">
        <v>3059</v>
      </c>
      <c r="H36" s="3195" t="s">
        <v>3097</v>
      </c>
      <c r="I36" s="3195" t="s">
        <v>2814</v>
      </c>
      <c r="J36" s="3195">
        <v>19.940000000000001</v>
      </c>
      <c r="K36" s="3195">
        <v>300</v>
      </c>
      <c r="L36" s="3195" t="s">
        <v>2814</v>
      </c>
      <c r="M36" s="3195" t="s">
        <v>3098</v>
      </c>
      <c r="N36" s="3195" t="s">
        <v>3062</v>
      </c>
      <c r="O36">
        <f t="shared" si="0"/>
        <v>1499</v>
      </c>
    </row>
    <row r="37" spans="1:15">
      <c r="A37" s="3199" t="s">
        <v>3081</v>
      </c>
      <c r="B37" s="3199" t="s">
        <v>3056</v>
      </c>
      <c r="C37" s="3199" t="s">
        <v>3057</v>
      </c>
      <c r="D37" s="3199">
        <v>133</v>
      </c>
      <c r="E37" s="3199">
        <v>665</v>
      </c>
      <c r="F37" s="3199" t="s">
        <v>3058</v>
      </c>
      <c r="G37" s="3199" t="s">
        <v>3059</v>
      </c>
      <c r="H37" s="3199" t="s">
        <v>3097</v>
      </c>
      <c r="I37" s="3199" t="s">
        <v>2814</v>
      </c>
      <c r="J37" s="3199">
        <v>19.940000000000001</v>
      </c>
      <c r="K37" s="3199">
        <v>300</v>
      </c>
      <c r="L37" s="3199" t="s">
        <v>2814</v>
      </c>
      <c r="M37" s="3199" t="s">
        <v>3099</v>
      </c>
      <c r="N37" s="3199" t="s">
        <v>3062</v>
      </c>
      <c r="O37">
        <f t="shared" si="0"/>
        <v>1499</v>
      </c>
    </row>
    <row r="38" spans="1:15">
      <c r="A38" s="3199" t="s">
        <v>3081</v>
      </c>
      <c r="B38" s="3199" t="s">
        <v>3056</v>
      </c>
      <c r="C38" s="3199" t="s">
        <v>3057</v>
      </c>
      <c r="D38" s="3199">
        <v>133</v>
      </c>
      <c r="E38" s="3199">
        <v>665</v>
      </c>
      <c r="F38" s="3199" t="s">
        <v>3058</v>
      </c>
      <c r="G38" s="3199" t="s">
        <v>3059</v>
      </c>
      <c r="H38" s="3199" t="s">
        <v>3097</v>
      </c>
      <c r="I38" s="3199" t="s">
        <v>2814</v>
      </c>
      <c r="J38" s="3199">
        <v>19.940000000000001</v>
      </c>
      <c r="K38" s="3199">
        <v>300</v>
      </c>
      <c r="L38" s="3199" t="s">
        <v>2814</v>
      </c>
      <c r="M38" s="3199" t="s">
        <v>3100</v>
      </c>
      <c r="N38" s="3199" t="s">
        <v>3062</v>
      </c>
      <c r="O38">
        <f t="shared" si="0"/>
        <v>1499</v>
      </c>
    </row>
    <row r="39" spans="1:15">
      <c r="A39" s="3195" t="s">
        <v>3081</v>
      </c>
      <c r="B39" s="3195" t="s">
        <v>3056</v>
      </c>
      <c r="C39" s="3195" t="s">
        <v>3057</v>
      </c>
      <c r="D39" s="3195">
        <v>138</v>
      </c>
      <c r="E39" s="3195">
        <v>690</v>
      </c>
      <c r="F39" s="3195" t="s">
        <v>3058</v>
      </c>
      <c r="G39" s="3195" t="s">
        <v>3059</v>
      </c>
      <c r="H39" s="3195" t="s">
        <v>3097</v>
      </c>
      <c r="I39" s="3195" t="s">
        <v>2814</v>
      </c>
      <c r="J39" s="3195">
        <v>20.69</v>
      </c>
      <c r="K39" s="3195">
        <v>300</v>
      </c>
      <c r="L39" s="3195" t="s">
        <v>2814</v>
      </c>
      <c r="M39" s="3195" t="s">
        <v>3101</v>
      </c>
      <c r="N39" s="3195" t="s">
        <v>3062</v>
      </c>
      <c r="O39">
        <f t="shared" si="0"/>
        <v>1499</v>
      </c>
    </row>
    <row r="40" spans="1:15">
      <c r="A40" s="3195" t="s">
        <v>3081</v>
      </c>
      <c r="B40" s="3195" t="s">
        <v>3056</v>
      </c>
      <c r="C40" s="3195" t="s">
        <v>3057</v>
      </c>
      <c r="D40" s="3195">
        <v>141</v>
      </c>
      <c r="E40" s="3195">
        <v>705</v>
      </c>
      <c r="F40" s="3195" t="s">
        <v>3058</v>
      </c>
      <c r="G40" s="3195" t="s">
        <v>3059</v>
      </c>
      <c r="H40" s="3195" t="s">
        <v>3097</v>
      </c>
      <c r="I40" s="3195" t="s">
        <v>2814</v>
      </c>
      <c r="J40" s="3195">
        <v>21.14</v>
      </c>
      <c r="K40" s="3195">
        <v>300</v>
      </c>
      <c r="L40" s="3195" t="s">
        <v>2814</v>
      </c>
      <c r="M40" s="3195" t="s">
        <v>3102</v>
      </c>
      <c r="N40" s="3195" t="s">
        <v>3062</v>
      </c>
      <c r="O40">
        <f t="shared" si="0"/>
        <v>1499</v>
      </c>
    </row>
    <row r="41" spans="1:15">
      <c r="A41" s="3195" t="s">
        <v>3081</v>
      </c>
      <c r="B41" s="3195" t="s">
        <v>3056</v>
      </c>
      <c r="C41" s="3195" t="s">
        <v>3057</v>
      </c>
      <c r="D41" s="3195">
        <v>106</v>
      </c>
      <c r="E41" s="3195">
        <v>530</v>
      </c>
      <c r="F41" s="3195" t="s">
        <v>3058</v>
      </c>
      <c r="G41" s="3195" t="s">
        <v>3059</v>
      </c>
      <c r="H41" s="3195" t="s">
        <v>3097</v>
      </c>
      <c r="I41" s="3195" t="s">
        <v>2814</v>
      </c>
      <c r="J41" s="3195">
        <v>15.9</v>
      </c>
      <c r="K41" s="3195">
        <v>300</v>
      </c>
      <c r="L41" s="3195" t="s">
        <v>2814</v>
      </c>
      <c r="M41" s="3195" t="s">
        <v>3103</v>
      </c>
      <c r="N41" s="3195" t="s">
        <v>3062</v>
      </c>
      <c r="O41">
        <f t="shared" si="0"/>
        <v>1500</v>
      </c>
    </row>
    <row r="42" spans="1:15">
      <c r="A42" s="3199" t="s">
        <v>3081</v>
      </c>
      <c r="B42" s="3199" t="s">
        <v>3056</v>
      </c>
      <c r="C42" s="3199" t="s">
        <v>3057</v>
      </c>
      <c r="D42" s="3199">
        <v>132</v>
      </c>
      <c r="E42" s="3199">
        <v>660</v>
      </c>
      <c r="F42" s="3199" t="s">
        <v>3058</v>
      </c>
      <c r="G42" s="3199" t="s">
        <v>3059</v>
      </c>
      <c r="H42" s="3199" t="s">
        <v>3097</v>
      </c>
      <c r="I42" s="3199" t="s">
        <v>2814</v>
      </c>
      <c r="J42" s="3199">
        <v>19.8</v>
      </c>
      <c r="K42" s="3199">
        <v>300</v>
      </c>
      <c r="L42" s="3199" t="s">
        <v>2814</v>
      </c>
      <c r="M42" s="3199" t="s">
        <v>3104</v>
      </c>
      <c r="N42" s="3199" t="s">
        <v>3062</v>
      </c>
      <c r="O42">
        <f t="shared" si="0"/>
        <v>1500</v>
      </c>
    </row>
    <row r="43" spans="1:15">
      <c r="A43" s="3195" t="s">
        <v>3081</v>
      </c>
      <c r="B43" s="3195" t="s">
        <v>3056</v>
      </c>
      <c r="C43" s="3195" t="s">
        <v>3057</v>
      </c>
      <c r="D43" s="3195">
        <v>237</v>
      </c>
      <c r="E43" s="3195">
        <v>1185</v>
      </c>
      <c r="F43" s="3195" t="s">
        <v>3058</v>
      </c>
      <c r="G43" s="3195" t="s">
        <v>3059</v>
      </c>
      <c r="H43" s="3195" t="s">
        <v>3097</v>
      </c>
      <c r="I43" s="3195" t="s">
        <v>2814</v>
      </c>
      <c r="J43" s="3195">
        <v>35.54</v>
      </c>
      <c r="K43" s="3195">
        <v>300</v>
      </c>
      <c r="L43" s="3195" t="s">
        <v>2814</v>
      </c>
      <c r="M43" s="3195" t="s">
        <v>3105</v>
      </c>
      <c r="N43" s="3195" t="s">
        <v>3062</v>
      </c>
      <c r="O43">
        <f t="shared" si="0"/>
        <v>1500</v>
      </c>
    </row>
    <row r="44" spans="1:15">
      <c r="A44" s="3195" t="s">
        <v>3081</v>
      </c>
      <c r="B44" s="3195" t="s">
        <v>3056</v>
      </c>
      <c r="C44" s="3195" t="s">
        <v>3057</v>
      </c>
      <c r="D44" s="3195">
        <v>135</v>
      </c>
      <c r="E44" s="3195">
        <v>675</v>
      </c>
      <c r="F44" s="3195" t="s">
        <v>3058</v>
      </c>
      <c r="G44" s="3195" t="s">
        <v>3059</v>
      </c>
      <c r="H44" s="3195" t="s">
        <v>3097</v>
      </c>
      <c r="I44" s="3195" t="s">
        <v>2814</v>
      </c>
      <c r="J44" s="3195">
        <v>20.25</v>
      </c>
      <c r="K44" s="3195">
        <v>300</v>
      </c>
      <c r="L44" s="3195" t="s">
        <v>2814</v>
      </c>
      <c r="M44" s="3195" t="s">
        <v>3106</v>
      </c>
      <c r="N44" s="3195" t="s">
        <v>3062</v>
      </c>
      <c r="O44">
        <f t="shared" si="0"/>
        <v>1500</v>
      </c>
    </row>
    <row r="45" spans="1:15">
      <c r="A45" s="3195" t="s">
        <v>3081</v>
      </c>
      <c r="B45" s="3195" t="s">
        <v>3056</v>
      </c>
      <c r="C45" s="3195" t="s">
        <v>3057</v>
      </c>
      <c r="D45" s="3195">
        <v>134</v>
      </c>
      <c r="E45" s="3195">
        <v>670</v>
      </c>
      <c r="F45" s="3195" t="s">
        <v>3058</v>
      </c>
      <c r="G45" s="3195" t="s">
        <v>3059</v>
      </c>
      <c r="H45" s="3195" t="s">
        <v>3097</v>
      </c>
      <c r="I45" s="3195" t="s">
        <v>2814</v>
      </c>
      <c r="J45" s="3195">
        <v>20.100000000000001</v>
      </c>
      <c r="K45" s="3195">
        <v>300</v>
      </c>
      <c r="L45" s="3195" t="s">
        <v>2814</v>
      </c>
      <c r="M45" s="3195" t="s">
        <v>3107</v>
      </c>
      <c r="N45" s="3195" t="s">
        <v>3062</v>
      </c>
      <c r="O45">
        <f t="shared" si="0"/>
        <v>1500</v>
      </c>
    </row>
    <row r="46" spans="1:15">
      <c r="A46" s="3195" t="s">
        <v>3081</v>
      </c>
      <c r="B46" s="3195" t="s">
        <v>3056</v>
      </c>
      <c r="C46" s="3195" t="s">
        <v>3057</v>
      </c>
      <c r="D46" s="3195">
        <v>129</v>
      </c>
      <c r="E46" s="3195">
        <v>645</v>
      </c>
      <c r="F46" s="3195" t="s">
        <v>3058</v>
      </c>
      <c r="G46" s="3195" t="s">
        <v>3059</v>
      </c>
      <c r="H46" s="3195" t="s">
        <v>3097</v>
      </c>
      <c r="I46" s="3195" t="s">
        <v>2814</v>
      </c>
      <c r="J46" s="3195">
        <v>19.350000000000001</v>
      </c>
      <c r="K46" s="3195">
        <v>300</v>
      </c>
      <c r="L46" s="3195" t="s">
        <v>2814</v>
      </c>
      <c r="M46" s="3195" t="s">
        <v>3108</v>
      </c>
      <c r="N46" s="3195" t="s">
        <v>3062</v>
      </c>
      <c r="O46">
        <f t="shared" si="0"/>
        <v>1500</v>
      </c>
    </row>
    <row r="47" spans="1:15">
      <c r="A47" s="3195" t="s">
        <v>3081</v>
      </c>
      <c r="B47" s="3195" t="s">
        <v>3056</v>
      </c>
      <c r="C47" s="3195" t="s">
        <v>3057</v>
      </c>
      <c r="D47" s="3195">
        <v>113</v>
      </c>
      <c r="E47" s="3195">
        <v>565</v>
      </c>
      <c r="F47" s="3195" t="s">
        <v>3058</v>
      </c>
      <c r="G47" s="3195" t="s">
        <v>3059</v>
      </c>
      <c r="H47" s="3195" t="s">
        <v>3109</v>
      </c>
      <c r="I47" s="3195" t="s">
        <v>2814</v>
      </c>
      <c r="J47" s="3195">
        <v>16.940000000000001</v>
      </c>
      <c r="K47" s="3195">
        <v>300</v>
      </c>
      <c r="L47" s="3195" t="s">
        <v>2814</v>
      </c>
      <c r="M47" s="3195" t="s">
        <v>3110</v>
      </c>
      <c r="N47" s="3195" t="s">
        <v>3062</v>
      </c>
      <c r="O47">
        <f t="shared" si="0"/>
        <v>1499</v>
      </c>
    </row>
    <row r="48" spans="1:15">
      <c r="A48" s="3195" t="s">
        <v>3081</v>
      </c>
      <c r="B48" s="3195" t="s">
        <v>3056</v>
      </c>
      <c r="C48" s="3195" t="s">
        <v>3057</v>
      </c>
      <c r="D48" s="3195">
        <v>115</v>
      </c>
      <c r="E48" s="3195">
        <v>575</v>
      </c>
      <c r="F48" s="3195" t="s">
        <v>3058</v>
      </c>
      <c r="G48" s="3195" t="s">
        <v>3059</v>
      </c>
      <c r="H48" s="3195" t="s">
        <v>3109</v>
      </c>
      <c r="I48" s="3195" t="s">
        <v>2814</v>
      </c>
      <c r="J48" s="3195">
        <v>17.25</v>
      </c>
      <c r="K48" s="3195">
        <v>300</v>
      </c>
      <c r="L48" s="3195" t="s">
        <v>2814</v>
      </c>
      <c r="M48" s="3195" t="s">
        <v>3111</v>
      </c>
      <c r="N48" s="3195" t="s">
        <v>3062</v>
      </c>
      <c r="O48">
        <f t="shared" si="0"/>
        <v>1500</v>
      </c>
    </row>
    <row r="49" spans="1:15">
      <c r="A49" s="3195" t="s">
        <v>3081</v>
      </c>
      <c r="B49" s="3195" t="s">
        <v>3056</v>
      </c>
      <c r="C49" s="3195" t="s">
        <v>3057</v>
      </c>
      <c r="D49" s="3195">
        <v>127</v>
      </c>
      <c r="E49" s="3195">
        <v>635</v>
      </c>
      <c r="F49" s="3195" t="s">
        <v>3058</v>
      </c>
      <c r="G49" s="3195" t="s">
        <v>3059</v>
      </c>
      <c r="H49" s="3195" t="s">
        <v>3109</v>
      </c>
      <c r="I49" s="3195" t="s">
        <v>2814</v>
      </c>
      <c r="J49" s="3195">
        <v>19.05</v>
      </c>
      <c r="K49" s="3195">
        <v>300</v>
      </c>
      <c r="L49" s="3195" t="s">
        <v>2814</v>
      </c>
      <c r="M49" s="3195" t="s">
        <v>3112</v>
      </c>
      <c r="N49" s="3195" t="s">
        <v>3062</v>
      </c>
      <c r="O49">
        <f t="shared" si="0"/>
        <v>1500</v>
      </c>
    </row>
    <row r="50" spans="1:15">
      <c r="A50" s="3195" t="s">
        <v>3081</v>
      </c>
      <c r="B50" s="3195" t="s">
        <v>3056</v>
      </c>
      <c r="C50" s="3195" t="s">
        <v>3057</v>
      </c>
      <c r="D50" s="3195">
        <v>114</v>
      </c>
      <c r="E50" s="3195">
        <v>570</v>
      </c>
      <c r="F50" s="3195" t="s">
        <v>3058</v>
      </c>
      <c r="G50" s="3195" t="s">
        <v>3059</v>
      </c>
      <c r="H50" s="3195" t="s">
        <v>3109</v>
      </c>
      <c r="I50" s="3195" t="s">
        <v>2814</v>
      </c>
      <c r="J50" s="3195">
        <v>17.100000000000001</v>
      </c>
      <c r="K50" s="3195">
        <v>300</v>
      </c>
      <c r="L50" s="3195" t="s">
        <v>2814</v>
      </c>
      <c r="M50" s="3195" t="s">
        <v>3113</v>
      </c>
      <c r="N50" s="3195" t="s">
        <v>3062</v>
      </c>
      <c r="O50">
        <f t="shared" si="0"/>
        <v>1500</v>
      </c>
    </row>
    <row r="51" spans="1:15">
      <c r="A51" s="3195" t="s">
        <v>3081</v>
      </c>
      <c r="B51" s="3195" t="s">
        <v>3056</v>
      </c>
      <c r="C51" s="3195" t="s">
        <v>3057</v>
      </c>
      <c r="D51" s="3195">
        <v>131</v>
      </c>
      <c r="E51" s="3195">
        <v>655</v>
      </c>
      <c r="F51" s="3195" t="s">
        <v>3058</v>
      </c>
      <c r="G51" s="3195" t="s">
        <v>3059</v>
      </c>
      <c r="H51" s="3195" t="s">
        <v>3109</v>
      </c>
      <c r="I51" s="3195" t="s">
        <v>2814</v>
      </c>
      <c r="J51" s="3195">
        <v>19.64</v>
      </c>
      <c r="K51" s="3195">
        <v>300</v>
      </c>
      <c r="L51" s="3195" t="s">
        <v>2814</v>
      </c>
      <c r="M51" s="3195" t="s">
        <v>3114</v>
      </c>
      <c r="N51" s="3195" t="s">
        <v>3062</v>
      </c>
      <c r="O51">
        <f t="shared" si="0"/>
        <v>1499</v>
      </c>
    </row>
    <row r="52" spans="1:15">
      <c r="A52" s="3197" t="s">
        <v>3081</v>
      </c>
      <c r="B52" s="3197" t="s">
        <v>3056</v>
      </c>
      <c r="C52" s="3197" t="s">
        <v>3057</v>
      </c>
      <c r="D52" s="3197">
        <v>133</v>
      </c>
      <c r="E52" s="3197">
        <v>665</v>
      </c>
      <c r="F52" s="3197" t="s">
        <v>3058</v>
      </c>
      <c r="G52" s="3197" t="s">
        <v>3059</v>
      </c>
      <c r="H52" s="3197" t="s">
        <v>3109</v>
      </c>
      <c r="I52" s="3197" t="s">
        <v>2814</v>
      </c>
      <c r="J52" s="3197">
        <v>19.940000000000001</v>
      </c>
      <c r="K52" s="3197">
        <v>300</v>
      </c>
      <c r="L52" s="3197" t="s">
        <v>2814</v>
      </c>
      <c r="M52" s="3197" t="s">
        <v>3115</v>
      </c>
      <c r="N52" s="3197" t="s">
        <v>3062</v>
      </c>
      <c r="O52">
        <f t="shared" si="0"/>
        <v>1499</v>
      </c>
    </row>
    <row r="53" spans="1:15">
      <c r="A53" s="3197" t="s">
        <v>3081</v>
      </c>
      <c r="B53" s="3197" t="s">
        <v>3056</v>
      </c>
      <c r="C53" s="3197" t="s">
        <v>3057</v>
      </c>
      <c r="D53" s="3197">
        <v>127</v>
      </c>
      <c r="E53" s="3197">
        <v>635</v>
      </c>
      <c r="F53" s="3197" t="s">
        <v>3058</v>
      </c>
      <c r="G53" s="3197" t="s">
        <v>3059</v>
      </c>
      <c r="H53" s="3197" t="s">
        <v>3109</v>
      </c>
      <c r="I53" s="3197" t="s">
        <v>2814</v>
      </c>
      <c r="J53" s="3197">
        <v>19.05</v>
      </c>
      <c r="K53" s="3197">
        <v>300</v>
      </c>
      <c r="L53" s="3197" t="s">
        <v>2814</v>
      </c>
      <c r="M53" s="3197" t="s">
        <v>3116</v>
      </c>
      <c r="N53" s="3197" t="s">
        <v>3062</v>
      </c>
      <c r="O53">
        <f t="shared" si="0"/>
        <v>1500</v>
      </c>
    </row>
    <row r="54" spans="1:15">
      <c r="A54" s="3197" t="s">
        <v>3081</v>
      </c>
      <c r="B54" s="3197" t="s">
        <v>3056</v>
      </c>
      <c r="C54" s="3197" t="s">
        <v>3057</v>
      </c>
      <c r="D54" s="3197">
        <v>257</v>
      </c>
      <c r="E54" s="3197">
        <v>1285</v>
      </c>
      <c r="F54" s="3197" t="s">
        <v>3058</v>
      </c>
      <c r="G54" s="3197" t="s">
        <v>3059</v>
      </c>
      <c r="H54" s="3197" t="s">
        <v>3109</v>
      </c>
      <c r="I54" s="3197" t="s">
        <v>2814</v>
      </c>
      <c r="J54" s="3197">
        <v>38.54</v>
      </c>
      <c r="K54" s="3197">
        <v>300</v>
      </c>
      <c r="L54" s="3197" t="s">
        <v>2814</v>
      </c>
      <c r="M54" s="3197" t="s">
        <v>3117</v>
      </c>
      <c r="N54" s="3197" t="s">
        <v>3062</v>
      </c>
      <c r="O54">
        <f t="shared" si="0"/>
        <v>1500</v>
      </c>
    </row>
    <row r="55" spans="1:15">
      <c r="A55" s="3197" t="s">
        <v>3081</v>
      </c>
      <c r="B55" s="3197" t="s">
        <v>3056</v>
      </c>
      <c r="C55" s="3197" t="s">
        <v>3057</v>
      </c>
      <c r="D55" s="3197">
        <v>116</v>
      </c>
      <c r="E55" s="3197">
        <v>580</v>
      </c>
      <c r="F55" s="3197" t="s">
        <v>3058</v>
      </c>
      <c r="G55" s="3197" t="s">
        <v>3059</v>
      </c>
      <c r="H55" s="3197" t="s">
        <v>3109</v>
      </c>
      <c r="I55" s="3197" t="s">
        <v>2814</v>
      </c>
      <c r="J55" s="3197">
        <v>17.39</v>
      </c>
      <c r="K55" s="3197">
        <v>300</v>
      </c>
      <c r="L55" s="3197" t="s">
        <v>2814</v>
      </c>
      <c r="M55" s="3197" t="s">
        <v>3118</v>
      </c>
      <c r="N55" s="3197" t="s">
        <v>3062</v>
      </c>
      <c r="O55">
        <f t="shared" si="0"/>
        <v>1499</v>
      </c>
    </row>
    <row r="56" spans="1:15">
      <c r="A56" s="3197" t="s">
        <v>3081</v>
      </c>
      <c r="B56" s="3197" t="s">
        <v>3056</v>
      </c>
      <c r="C56" s="3197" t="s">
        <v>3057</v>
      </c>
      <c r="D56" s="3197">
        <v>113</v>
      </c>
      <c r="E56" s="3197">
        <v>565</v>
      </c>
      <c r="F56" s="3197" t="s">
        <v>3058</v>
      </c>
      <c r="G56" s="3197" t="s">
        <v>3059</v>
      </c>
      <c r="H56" s="3197" t="s">
        <v>3109</v>
      </c>
      <c r="I56" s="3197" t="s">
        <v>2814</v>
      </c>
      <c r="J56" s="3197">
        <v>16.940000000000001</v>
      </c>
      <c r="K56" s="3197">
        <v>300</v>
      </c>
      <c r="L56" s="3197" t="s">
        <v>2814</v>
      </c>
      <c r="M56" s="3197" t="s">
        <v>3119</v>
      </c>
      <c r="N56" s="3197" t="s">
        <v>3062</v>
      </c>
      <c r="O56">
        <f t="shared" si="0"/>
        <v>1499</v>
      </c>
    </row>
    <row r="57" spans="1:15">
      <c r="A57" s="3197" t="s">
        <v>3081</v>
      </c>
      <c r="B57" s="3197" t="s">
        <v>3056</v>
      </c>
      <c r="C57" s="3197" t="s">
        <v>3057</v>
      </c>
      <c r="D57" s="3197">
        <v>113</v>
      </c>
      <c r="E57" s="3197">
        <v>565</v>
      </c>
      <c r="F57" s="3197" t="s">
        <v>3058</v>
      </c>
      <c r="G57" s="3197" t="s">
        <v>3059</v>
      </c>
      <c r="H57" s="3197" t="s">
        <v>3109</v>
      </c>
      <c r="I57" s="3197" t="s">
        <v>2814</v>
      </c>
      <c r="J57" s="3197">
        <v>16.940000000000001</v>
      </c>
      <c r="K57" s="3197">
        <v>300</v>
      </c>
      <c r="L57" s="3197" t="s">
        <v>2814</v>
      </c>
      <c r="M57" s="3197" t="s">
        <v>3120</v>
      </c>
      <c r="N57" s="3197" t="s">
        <v>3062</v>
      </c>
      <c r="O57">
        <f t="shared" si="0"/>
        <v>1499</v>
      </c>
    </row>
    <row r="58" spans="1:15">
      <c r="A58" s="3197" t="s">
        <v>3081</v>
      </c>
      <c r="B58" s="3197" t="s">
        <v>3056</v>
      </c>
      <c r="C58" s="3197" t="s">
        <v>3057</v>
      </c>
      <c r="D58" s="3197">
        <v>146</v>
      </c>
      <c r="E58" s="3197">
        <v>730</v>
      </c>
      <c r="F58" s="3197" t="s">
        <v>3058</v>
      </c>
      <c r="G58" s="3197" t="s">
        <v>3059</v>
      </c>
      <c r="H58" s="3197" t="s">
        <v>3121</v>
      </c>
      <c r="I58" s="3197" t="s">
        <v>2814</v>
      </c>
      <c r="J58" s="3197">
        <v>21.89</v>
      </c>
      <c r="K58" s="3197">
        <v>300</v>
      </c>
      <c r="L58" s="3197" t="s">
        <v>2814</v>
      </c>
      <c r="M58" s="3197" t="s">
        <v>3122</v>
      </c>
      <c r="N58" s="3197" t="s">
        <v>3062</v>
      </c>
      <c r="O58">
        <f t="shared" si="0"/>
        <v>1499</v>
      </c>
    </row>
    <row r="59" spans="1:15">
      <c r="A59" s="3197" t="s">
        <v>3081</v>
      </c>
      <c r="B59" s="3197" t="s">
        <v>3056</v>
      </c>
      <c r="C59" s="3197" t="s">
        <v>3057</v>
      </c>
      <c r="D59" s="3197">
        <v>132</v>
      </c>
      <c r="E59" s="3197">
        <v>660</v>
      </c>
      <c r="F59" s="3197" t="s">
        <v>3058</v>
      </c>
      <c r="G59" s="3197" t="s">
        <v>3059</v>
      </c>
      <c r="H59" s="3197" t="s">
        <v>3121</v>
      </c>
      <c r="I59" s="3197" t="s">
        <v>2814</v>
      </c>
      <c r="J59" s="3197">
        <v>19.8</v>
      </c>
      <c r="K59" s="3197">
        <v>300</v>
      </c>
      <c r="L59" s="3197" t="s">
        <v>2814</v>
      </c>
      <c r="M59" s="3197" t="s">
        <v>3123</v>
      </c>
      <c r="N59" s="3197" t="s">
        <v>3062</v>
      </c>
      <c r="O59">
        <f t="shared" si="0"/>
        <v>1500</v>
      </c>
    </row>
    <row r="60" spans="1:15">
      <c r="A60" s="3197" t="s">
        <v>3081</v>
      </c>
      <c r="B60" s="3197" t="s">
        <v>3056</v>
      </c>
      <c r="C60" s="3197" t="s">
        <v>3057</v>
      </c>
      <c r="D60" s="3197">
        <v>131</v>
      </c>
      <c r="E60" s="3197">
        <v>655</v>
      </c>
      <c r="F60" s="3197" t="s">
        <v>3058</v>
      </c>
      <c r="G60" s="3197" t="s">
        <v>3059</v>
      </c>
      <c r="H60" s="3197" t="s">
        <v>3121</v>
      </c>
      <c r="I60" s="3197" t="s">
        <v>2814</v>
      </c>
      <c r="J60" s="3197">
        <v>19.64</v>
      </c>
      <c r="K60" s="3197">
        <v>300</v>
      </c>
      <c r="L60" s="3197" t="s">
        <v>2814</v>
      </c>
      <c r="M60" s="3197" t="s">
        <v>3124</v>
      </c>
      <c r="N60" s="3197" t="s">
        <v>3062</v>
      </c>
      <c r="O60">
        <f t="shared" si="0"/>
        <v>1499</v>
      </c>
    </row>
    <row r="61" spans="1:15">
      <c r="A61" s="3197" t="s">
        <v>3081</v>
      </c>
      <c r="B61" s="3197" t="s">
        <v>3056</v>
      </c>
      <c r="C61" s="3197" t="s">
        <v>3057</v>
      </c>
      <c r="D61" s="3197">
        <v>131</v>
      </c>
      <c r="E61" s="3197">
        <v>655</v>
      </c>
      <c r="F61" s="3197" t="s">
        <v>3058</v>
      </c>
      <c r="G61" s="3197" t="s">
        <v>3059</v>
      </c>
      <c r="H61" s="3197" t="s">
        <v>3121</v>
      </c>
      <c r="I61" s="3197" t="s">
        <v>2814</v>
      </c>
      <c r="J61" s="3197">
        <v>19.64</v>
      </c>
      <c r="K61" s="3197">
        <v>300</v>
      </c>
      <c r="L61" s="3197" t="s">
        <v>2814</v>
      </c>
      <c r="M61" s="3197" t="s">
        <v>3125</v>
      </c>
      <c r="N61" s="3197" t="s">
        <v>3062</v>
      </c>
      <c r="O61">
        <f t="shared" si="0"/>
        <v>1499</v>
      </c>
    </row>
    <row r="62" spans="1:15">
      <c r="A62" s="3197" t="s">
        <v>3081</v>
      </c>
      <c r="B62" s="3197" t="s">
        <v>3056</v>
      </c>
      <c r="C62" s="3197" t="s">
        <v>3057</v>
      </c>
      <c r="D62" s="3197">
        <v>134</v>
      </c>
      <c r="E62" s="3197">
        <v>670</v>
      </c>
      <c r="F62" s="3197" t="s">
        <v>3058</v>
      </c>
      <c r="G62" s="3197" t="s">
        <v>3059</v>
      </c>
      <c r="H62" s="3197" t="s">
        <v>3121</v>
      </c>
      <c r="I62" s="3197" t="s">
        <v>2814</v>
      </c>
      <c r="J62" s="3197">
        <v>20.100000000000001</v>
      </c>
      <c r="K62" s="3197">
        <v>300</v>
      </c>
      <c r="L62" s="3197" t="s">
        <v>2814</v>
      </c>
      <c r="M62" s="3197" t="s">
        <v>3126</v>
      </c>
      <c r="N62" s="3197" t="s">
        <v>3062</v>
      </c>
      <c r="O62">
        <f t="shared" si="0"/>
        <v>1500</v>
      </c>
    </row>
    <row r="63" spans="1:15">
      <c r="A63" s="3197" t="s">
        <v>3127</v>
      </c>
      <c r="B63" s="3197" t="s">
        <v>3056</v>
      </c>
      <c r="C63" s="3197" t="s">
        <v>3057</v>
      </c>
      <c r="D63" s="3197">
        <v>2909</v>
      </c>
      <c r="E63" s="3197">
        <v>145.44999999999999</v>
      </c>
      <c r="F63" s="3197" t="s">
        <v>3128</v>
      </c>
      <c r="G63" s="3197" t="s">
        <v>3059</v>
      </c>
      <c r="H63" s="3197" t="s">
        <v>3121</v>
      </c>
      <c r="I63" s="3197">
        <v>75</v>
      </c>
      <c r="J63" s="3197">
        <v>327.25</v>
      </c>
      <c r="K63" s="3197">
        <v>22499.83</v>
      </c>
      <c r="L63" s="3197">
        <v>336.35</v>
      </c>
      <c r="M63" s="3197" t="s">
        <v>3129</v>
      </c>
      <c r="N63" s="3197" t="s">
        <v>3062</v>
      </c>
      <c r="O63">
        <f t="shared" si="0"/>
        <v>1125</v>
      </c>
    </row>
    <row r="64" spans="1:15">
      <c r="A64" s="3197" t="s">
        <v>3081</v>
      </c>
      <c r="B64" s="3197" t="s">
        <v>3056</v>
      </c>
      <c r="C64" s="3197" t="s">
        <v>3057</v>
      </c>
      <c r="D64" s="3197">
        <v>132</v>
      </c>
      <c r="E64" s="3197">
        <v>660</v>
      </c>
      <c r="F64" s="3197" t="s">
        <v>3058</v>
      </c>
      <c r="G64" s="3197" t="s">
        <v>3059</v>
      </c>
      <c r="H64" s="3197" t="s">
        <v>3121</v>
      </c>
      <c r="I64" s="3197" t="s">
        <v>2814</v>
      </c>
      <c r="J64" s="3197">
        <v>19.8</v>
      </c>
      <c r="K64" s="3197">
        <v>300</v>
      </c>
      <c r="L64" s="3197" t="s">
        <v>2814</v>
      </c>
      <c r="M64" s="3197" t="s">
        <v>3130</v>
      </c>
      <c r="N64" s="3197" t="s">
        <v>3062</v>
      </c>
      <c r="O64">
        <f t="shared" si="0"/>
        <v>1500</v>
      </c>
    </row>
    <row r="65" spans="1:15">
      <c r="A65" s="3197" t="s">
        <v>3131</v>
      </c>
      <c r="B65" s="3197" t="s">
        <v>3056</v>
      </c>
      <c r="C65" s="3197" t="s">
        <v>3057</v>
      </c>
      <c r="D65" s="3197">
        <v>11780</v>
      </c>
      <c r="E65" s="3197">
        <v>40052</v>
      </c>
      <c r="F65" s="3197" t="s">
        <v>3132</v>
      </c>
      <c r="G65" s="3197" t="s">
        <v>3059</v>
      </c>
      <c r="H65" s="3197" t="s">
        <v>3133</v>
      </c>
      <c r="I65" s="3197" t="s">
        <v>2814</v>
      </c>
      <c r="J65" s="3197">
        <v>3719.53</v>
      </c>
      <c r="K65" s="3197">
        <v>928.67</v>
      </c>
      <c r="L65" s="3197" t="s">
        <v>2814</v>
      </c>
      <c r="M65" s="3197" t="s">
        <v>3134</v>
      </c>
      <c r="N65" s="3197" t="s">
        <v>3062</v>
      </c>
      <c r="O65">
        <f t="shared" si="0"/>
        <v>3157</v>
      </c>
    </row>
    <row r="66" spans="1:15">
      <c r="A66" s="3197" t="s">
        <v>3135</v>
      </c>
      <c r="B66" s="3197" t="s">
        <v>3056</v>
      </c>
      <c r="C66" s="3197" t="s">
        <v>3057</v>
      </c>
      <c r="D66" s="3197">
        <v>3335</v>
      </c>
      <c r="E66" s="3197">
        <v>2001</v>
      </c>
      <c r="F66" s="3197" t="s">
        <v>3136</v>
      </c>
      <c r="G66" s="3197" t="s">
        <v>3059</v>
      </c>
      <c r="H66" s="3197" t="s">
        <v>3137</v>
      </c>
      <c r="I66" s="3197">
        <v>50</v>
      </c>
      <c r="J66" s="3197">
        <v>250.12</v>
      </c>
      <c r="K66" s="3197">
        <v>1250.01</v>
      </c>
      <c r="L66" s="3197">
        <v>400.26</v>
      </c>
      <c r="M66" s="3197" t="s">
        <v>3138</v>
      </c>
      <c r="N66" s="3197" t="s">
        <v>3062</v>
      </c>
      <c r="O66">
        <f t="shared" si="0"/>
        <v>750</v>
      </c>
    </row>
    <row r="67" spans="1:15">
      <c r="A67" s="3197" t="s">
        <v>3139</v>
      </c>
      <c r="B67" s="3197" t="s">
        <v>3056</v>
      </c>
      <c r="C67" s="3197" t="s">
        <v>3057</v>
      </c>
      <c r="D67" s="3197">
        <v>2076</v>
      </c>
      <c r="E67" s="3197">
        <v>622.79999999999995</v>
      </c>
      <c r="F67" s="3197" t="s">
        <v>3140</v>
      </c>
      <c r="G67" s="3197" t="s">
        <v>3059</v>
      </c>
      <c r="H67" s="3197" t="s">
        <v>3137</v>
      </c>
      <c r="I67" s="3197">
        <v>50</v>
      </c>
      <c r="J67" s="3197">
        <v>155.69</v>
      </c>
      <c r="K67" s="3197">
        <v>2500</v>
      </c>
      <c r="L67" s="3197">
        <v>211.4</v>
      </c>
      <c r="M67" s="3197" t="s">
        <v>3141</v>
      </c>
      <c r="N67" s="3197" t="s">
        <v>3062</v>
      </c>
      <c r="O67">
        <f t="shared" ref="O67:O130" si="1">ROUND(J67/D67*10000,0)</f>
        <v>750</v>
      </c>
    </row>
    <row r="68" spans="1:15">
      <c r="A68" s="3197" t="s">
        <v>3081</v>
      </c>
      <c r="B68" s="3197" t="s">
        <v>3056</v>
      </c>
      <c r="C68" s="3197" t="s">
        <v>3057</v>
      </c>
      <c r="D68" s="3197">
        <v>104</v>
      </c>
      <c r="E68" s="3197">
        <v>520</v>
      </c>
      <c r="F68" s="3197" t="s">
        <v>3058</v>
      </c>
      <c r="G68" s="3197" t="s">
        <v>3059</v>
      </c>
      <c r="H68" s="3197" t="s">
        <v>3142</v>
      </c>
      <c r="I68" s="3197" t="s">
        <v>2814</v>
      </c>
      <c r="J68" s="3197">
        <v>15.59</v>
      </c>
      <c r="K68" s="3197">
        <v>300</v>
      </c>
      <c r="L68" s="3197" t="s">
        <v>2814</v>
      </c>
      <c r="M68" s="3197" t="s">
        <v>3143</v>
      </c>
      <c r="N68" s="3197" t="s">
        <v>3062</v>
      </c>
      <c r="O68">
        <f t="shared" si="1"/>
        <v>1499</v>
      </c>
    </row>
    <row r="69" spans="1:15">
      <c r="A69" s="3197" t="s">
        <v>3081</v>
      </c>
      <c r="B69" s="3197" t="s">
        <v>3056</v>
      </c>
      <c r="C69" s="3197" t="s">
        <v>3057</v>
      </c>
      <c r="D69" s="3197">
        <v>103</v>
      </c>
      <c r="E69" s="3197">
        <v>515</v>
      </c>
      <c r="F69" s="3197" t="s">
        <v>3058</v>
      </c>
      <c r="G69" s="3197" t="s">
        <v>3059</v>
      </c>
      <c r="H69" s="3197" t="s">
        <v>3142</v>
      </c>
      <c r="I69" s="3197" t="s">
        <v>2814</v>
      </c>
      <c r="J69" s="3197">
        <v>15.44</v>
      </c>
      <c r="K69" s="3197">
        <v>300</v>
      </c>
      <c r="L69" s="3197" t="s">
        <v>2814</v>
      </c>
      <c r="M69" s="3197" t="s">
        <v>3144</v>
      </c>
      <c r="N69" s="3197" t="s">
        <v>3062</v>
      </c>
      <c r="O69">
        <f t="shared" si="1"/>
        <v>1499</v>
      </c>
    </row>
    <row r="70" spans="1:15">
      <c r="A70" s="3197" t="s">
        <v>3081</v>
      </c>
      <c r="B70" s="3197" t="s">
        <v>3056</v>
      </c>
      <c r="C70" s="3197" t="s">
        <v>3057</v>
      </c>
      <c r="D70" s="3197">
        <v>99</v>
      </c>
      <c r="E70" s="3197">
        <v>495</v>
      </c>
      <c r="F70" s="3197" t="s">
        <v>3058</v>
      </c>
      <c r="G70" s="3197" t="s">
        <v>3059</v>
      </c>
      <c r="H70" s="3197" t="s">
        <v>3142</v>
      </c>
      <c r="I70" s="3197" t="s">
        <v>2814</v>
      </c>
      <c r="J70" s="3197">
        <v>14.84</v>
      </c>
      <c r="K70" s="3197">
        <v>300</v>
      </c>
      <c r="L70" s="3197" t="s">
        <v>2814</v>
      </c>
      <c r="M70" s="3197" t="s">
        <v>3145</v>
      </c>
      <c r="N70" s="3197" t="s">
        <v>3062</v>
      </c>
      <c r="O70">
        <f t="shared" si="1"/>
        <v>1499</v>
      </c>
    </row>
    <row r="71" spans="1:15">
      <c r="A71" s="3197" t="s">
        <v>3081</v>
      </c>
      <c r="B71" s="3197" t="s">
        <v>3056</v>
      </c>
      <c r="C71" s="3197" t="s">
        <v>3057</v>
      </c>
      <c r="D71" s="3197">
        <v>104</v>
      </c>
      <c r="E71" s="3197">
        <v>520</v>
      </c>
      <c r="F71" s="3197" t="s">
        <v>3058</v>
      </c>
      <c r="G71" s="3197" t="s">
        <v>3059</v>
      </c>
      <c r="H71" s="3197" t="s">
        <v>3142</v>
      </c>
      <c r="I71" s="3197" t="s">
        <v>2814</v>
      </c>
      <c r="J71" s="3197">
        <v>15.59</v>
      </c>
      <c r="K71" s="3197">
        <v>300</v>
      </c>
      <c r="L71" s="3197" t="s">
        <v>2814</v>
      </c>
      <c r="M71" s="3197" t="s">
        <v>3146</v>
      </c>
      <c r="N71" s="3197" t="s">
        <v>3062</v>
      </c>
      <c r="O71">
        <f t="shared" si="1"/>
        <v>1499</v>
      </c>
    </row>
    <row r="72" spans="1:15">
      <c r="A72" s="3197" t="s">
        <v>3081</v>
      </c>
      <c r="B72" s="3197" t="s">
        <v>3056</v>
      </c>
      <c r="C72" s="3197" t="s">
        <v>3057</v>
      </c>
      <c r="D72" s="3197">
        <v>101</v>
      </c>
      <c r="E72" s="3197">
        <v>505</v>
      </c>
      <c r="F72" s="3197" t="s">
        <v>3058</v>
      </c>
      <c r="G72" s="3197" t="s">
        <v>3059</v>
      </c>
      <c r="H72" s="3197" t="s">
        <v>3142</v>
      </c>
      <c r="I72" s="3197" t="s">
        <v>2814</v>
      </c>
      <c r="J72" s="3197">
        <v>15.15</v>
      </c>
      <c r="K72" s="3197">
        <v>300</v>
      </c>
      <c r="L72" s="3197" t="s">
        <v>2814</v>
      </c>
      <c r="M72" s="3197" t="s">
        <v>3147</v>
      </c>
      <c r="N72" s="3197" t="s">
        <v>3062</v>
      </c>
      <c r="O72">
        <f t="shared" si="1"/>
        <v>1500</v>
      </c>
    </row>
    <row r="73" spans="1:15">
      <c r="A73" s="3197" t="s">
        <v>3081</v>
      </c>
      <c r="B73" s="3197" t="s">
        <v>3056</v>
      </c>
      <c r="C73" s="3197" t="s">
        <v>3057</v>
      </c>
      <c r="D73" s="3197">
        <v>98</v>
      </c>
      <c r="E73" s="3197">
        <v>490</v>
      </c>
      <c r="F73" s="3197" t="s">
        <v>3058</v>
      </c>
      <c r="G73" s="3197" t="s">
        <v>3059</v>
      </c>
      <c r="H73" s="3197" t="s">
        <v>3142</v>
      </c>
      <c r="I73" s="3197" t="s">
        <v>2814</v>
      </c>
      <c r="J73" s="3197">
        <v>14.69</v>
      </c>
      <c r="K73" s="3197">
        <v>300</v>
      </c>
      <c r="L73" s="3197" t="s">
        <v>2814</v>
      </c>
      <c r="M73" s="3197" t="s">
        <v>3148</v>
      </c>
      <c r="N73" s="3197" t="s">
        <v>3062</v>
      </c>
      <c r="O73">
        <f t="shared" si="1"/>
        <v>1499</v>
      </c>
    </row>
    <row r="74" spans="1:15">
      <c r="A74" s="3197" t="s">
        <v>3081</v>
      </c>
      <c r="B74" s="3197" t="s">
        <v>3056</v>
      </c>
      <c r="C74" s="3197" t="s">
        <v>3057</v>
      </c>
      <c r="D74" s="3197">
        <v>101</v>
      </c>
      <c r="E74" s="3197">
        <v>505</v>
      </c>
      <c r="F74" s="3197" t="s">
        <v>3058</v>
      </c>
      <c r="G74" s="3197" t="s">
        <v>3059</v>
      </c>
      <c r="H74" s="3197" t="s">
        <v>3142</v>
      </c>
      <c r="I74" s="3197" t="s">
        <v>2814</v>
      </c>
      <c r="J74" s="3197">
        <v>15.15</v>
      </c>
      <c r="K74" s="3197">
        <v>300</v>
      </c>
      <c r="L74" s="3197" t="s">
        <v>2814</v>
      </c>
      <c r="M74" s="3197" t="s">
        <v>3149</v>
      </c>
      <c r="N74" s="3197" t="s">
        <v>3062</v>
      </c>
      <c r="O74">
        <f t="shared" si="1"/>
        <v>1500</v>
      </c>
    </row>
    <row r="75" spans="1:15">
      <c r="A75" s="3197" t="s">
        <v>3081</v>
      </c>
      <c r="B75" s="3197" t="s">
        <v>3056</v>
      </c>
      <c r="C75" s="3197" t="s">
        <v>3057</v>
      </c>
      <c r="D75" s="3197">
        <v>99</v>
      </c>
      <c r="E75" s="3197">
        <v>495</v>
      </c>
      <c r="F75" s="3197" t="s">
        <v>3058</v>
      </c>
      <c r="G75" s="3197" t="s">
        <v>3059</v>
      </c>
      <c r="H75" s="3197" t="s">
        <v>3142</v>
      </c>
      <c r="I75" s="3197" t="s">
        <v>2814</v>
      </c>
      <c r="J75" s="3197">
        <v>14.84</v>
      </c>
      <c r="K75" s="3197">
        <v>300</v>
      </c>
      <c r="L75" s="3197" t="s">
        <v>2814</v>
      </c>
      <c r="M75" s="3197" t="s">
        <v>3150</v>
      </c>
      <c r="N75" s="3197" t="s">
        <v>3062</v>
      </c>
      <c r="O75">
        <f t="shared" si="1"/>
        <v>1499</v>
      </c>
    </row>
    <row r="76" spans="1:15">
      <c r="A76" s="3197" t="s">
        <v>3081</v>
      </c>
      <c r="B76" s="3197" t="s">
        <v>3056</v>
      </c>
      <c r="C76" s="3197" t="s">
        <v>3057</v>
      </c>
      <c r="D76" s="3197">
        <v>101</v>
      </c>
      <c r="E76" s="3197">
        <v>505</v>
      </c>
      <c r="F76" s="3197" t="s">
        <v>3058</v>
      </c>
      <c r="G76" s="3197" t="s">
        <v>3059</v>
      </c>
      <c r="H76" s="3197" t="s">
        <v>3142</v>
      </c>
      <c r="I76" s="3197" t="s">
        <v>2814</v>
      </c>
      <c r="J76" s="3197">
        <v>15.15</v>
      </c>
      <c r="K76" s="3197">
        <v>300</v>
      </c>
      <c r="L76" s="3197" t="s">
        <v>2814</v>
      </c>
      <c r="M76" s="3197" t="s">
        <v>3151</v>
      </c>
      <c r="N76" s="3197" t="s">
        <v>3062</v>
      </c>
      <c r="O76">
        <f t="shared" si="1"/>
        <v>1500</v>
      </c>
    </row>
    <row r="77" spans="1:15">
      <c r="A77" s="3197" t="s">
        <v>3081</v>
      </c>
      <c r="B77" s="3197" t="s">
        <v>3056</v>
      </c>
      <c r="C77" s="3197" t="s">
        <v>3057</v>
      </c>
      <c r="D77" s="3197">
        <v>113</v>
      </c>
      <c r="E77" s="3197">
        <v>565</v>
      </c>
      <c r="F77" s="3197" t="s">
        <v>3058</v>
      </c>
      <c r="G77" s="3197" t="s">
        <v>3059</v>
      </c>
      <c r="H77" s="3197" t="s">
        <v>3152</v>
      </c>
      <c r="I77" s="3197" t="s">
        <v>2814</v>
      </c>
      <c r="J77" s="3197">
        <v>16.940000000000001</v>
      </c>
      <c r="K77" s="3197">
        <v>300</v>
      </c>
      <c r="L77" s="3197" t="s">
        <v>2814</v>
      </c>
      <c r="M77" s="3197" t="s">
        <v>3153</v>
      </c>
      <c r="N77" s="3197" t="s">
        <v>3062</v>
      </c>
      <c r="O77">
        <f t="shared" si="1"/>
        <v>1499</v>
      </c>
    </row>
    <row r="78" spans="1:15">
      <c r="A78" s="3197" t="s">
        <v>3081</v>
      </c>
      <c r="B78" s="3197" t="s">
        <v>3056</v>
      </c>
      <c r="C78" s="3197" t="s">
        <v>3057</v>
      </c>
      <c r="D78" s="3197">
        <v>77</v>
      </c>
      <c r="E78" s="3197">
        <v>385</v>
      </c>
      <c r="F78" s="3197" t="s">
        <v>3058</v>
      </c>
      <c r="G78" s="3197" t="s">
        <v>3059</v>
      </c>
      <c r="H78" s="3197" t="s">
        <v>3152</v>
      </c>
      <c r="I78" s="3197" t="s">
        <v>2814</v>
      </c>
      <c r="J78" s="3197">
        <v>11.55</v>
      </c>
      <c r="K78" s="3197">
        <v>300</v>
      </c>
      <c r="L78" s="3197" t="s">
        <v>2814</v>
      </c>
      <c r="M78" s="3197" t="s">
        <v>3154</v>
      </c>
      <c r="N78" s="3197" t="s">
        <v>3062</v>
      </c>
      <c r="O78">
        <f t="shared" si="1"/>
        <v>1500</v>
      </c>
    </row>
    <row r="79" spans="1:15">
      <c r="A79" s="3197" t="s">
        <v>3081</v>
      </c>
      <c r="B79" s="3197" t="s">
        <v>3056</v>
      </c>
      <c r="C79" s="3197" t="s">
        <v>3057</v>
      </c>
      <c r="D79" s="3197">
        <v>105</v>
      </c>
      <c r="E79" s="3197">
        <v>525</v>
      </c>
      <c r="F79" s="3197" t="s">
        <v>3058</v>
      </c>
      <c r="G79" s="3197" t="s">
        <v>3059</v>
      </c>
      <c r="H79" s="3197" t="s">
        <v>3152</v>
      </c>
      <c r="I79" s="3197" t="s">
        <v>2814</v>
      </c>
      <c r="J79" s="3197">
        <v>15.75</v>
      </c>
      <c r="K79" s="3197">
        <v>300</v>
      </c>
      <c r="L79" s="3197" t="s">
        <v>2814</v>
      </c>
      <c r="M79" s="3197" t="s">
        <v>3155</v>
      </c>
      <c r="N79" s="3197" t="s">
        <v>3062</v>
      </c>
      <c r="O79">
        <f t="shared" si="1"/>
        <v>1500</v>
      </c>
    </row>
    <row r="80" spans="1:15">
      <c r="A80" s="3197" t="s">
        <v>3081</v>
      </c>
      <c r="B80" s="3197" t="s">
        <v>3056</v>
      </c>
      <c r="C80" s="3197" t="s">
        <v>3057</v>
      </c>
      <c r="D80" s="3197">
        <v>156</v>
      </c>
      <c r="E80" s="3197">
        <v>780</v>
      </c>
      <c r="F80" s="3197" t="s">
        <v>3058</v>
      </c>
      <c r="G80" s="3197" t="s">
        <v>3059</v>
      </c>
      <c r="H80" s="3197" t="s">
        <v>3152</v>
      </c>
      <c r="I80" s="3197" t="s">
        <v>2814</v>
      </c>
      <c r="J80" s="3197">
        <v>23.39</v>
      </c>
      <c r="K80" s="3197">
        <v>300</v>
      </c>
      <c r="L80" s="3197" t="s">
        <v>2814</v>
      </c>
      <c r="M80" s="3197" t="s">
        <v>3156</v>
      </c>
      <c r="N80" s="3197" t="s">
        <v>3062</v>
      </c>
      <c r="O80">
        <f t="shared" si="1"/>
        <v>1499</v>
      </c>
    </row>
    <row r="81" spans="1:15">
      <c r="A81" s="3197" t="s">
        <v>3081</v>
      </c>
      <c r="B81" s="3197" t="s">
        <v>3056</v>
      </c>
      <c r="C81" s="3197" t="s">
        <v>3057</v>
      </c>
      <c r="D81" s="3197">
        <v>106</v>
      </c>
      <c r="E81" s="3197">
        <v>530</v>
      </c>
      <c r="F81" s="3197" t="s">
        <v>3058</v>
      </c>
      <c r="G81" s="3197" t="s">
        <v>3059</v>
      </c>
      <c r="H81" s="3197" t="s">
        <v>3152</v>
      </c>
      <c r="I81" s="3197" t="s">
        <v>2814</v>
      </c>
      <c r="J81" s="3197">
        <v>15.9</v>
      </c>
      <c r="K81" s="3197">
        <v>300</v>
      </c>
      <c r="L81" s="3197" t="s">
        <v>2814</v>
      </c>
      <c r="M81" s="3197" t="s">
        <v>3157</v>
      </c>
      <c r="N81" s="3197" t="s">
        <v>3062</v>
      </c>
      <c r="O81">
        <f t="shared" si="1"/>
        <v>1500</v>
      </c>
    </row>
    <row r="82" spans="1:15">
      <c r="A82" s="3197" t="s">
        <v>3081</v>
      </c>
      <c r="B82" s="3197" t="s">
        <v>3056</v>
      </c>
      <c r="C82" s="3197" t="s">
        <v>3057</v>
      </c>
      <c r="D82" s="3197">
        <v>105</v>
      </c>
      <c r="E82" s="3197">
        <v>525</v>
      </c>
      <c r="F82" s="3197" t="s">
        <v>3058</v>
      </c>
      <c r="G82" s="3197" t="s">
        <v>3059</v>
      </c>
      <c r="H82" s="3197" t="s">
        <v>3152</v>
      </c>
      <c r="I82" s="3197" t="s">
        <v>2814</v>
      </c>
      <c r="J82" s="3197">
        <v>15.75</v>
      </c>
      <c r="K82" s="3197">
        <v>300</v>
      </c>
      <c r="L82" s="3197" t="s">
        <v>2814</v>
      </c>
      <c r="M82" s="3197" t="s">
        <v>3158</v>
      </c>
      <c r="N82" s="3197" t="s">
        <v>3062</v>
      </c>
      <c r="O82">
        <f t="shared" si="1"/>
        <v>1500</v>
      </c>
    </row>
    <row r="83" spans="1:15">
      <c r="A83" s="3197" t="s">
        <v>3081</v>
      </c>
      <c r="B83" s="3197" t="s">
        <v>3056</v>
      </c>
      <c r="C83" s="3197" t="s">
        <v>3057</v>
      </c>
      <c r="D83" s="3197">
        <v>104</v>
      </c>
      <c r="E83" s="3197">
        <v>520</v>
      </c>
      <c r="F83" s="3197" t="s">
        <v>3058</v>
      </c>
      <c r="G83" s="3197" t="s">
        <v>3059</v>
      </c>
      <c r="H83" s="3197" t="s">
        <v>3152</v>
      </c>
      <c r="I83" s="3197" t="s">
        <v>2814</v>
      </c>
      <c r="J83" s="3197">
        <v>15.59</v>
      </c>
      <c r="K83" s="3197">
        <v>300</v>
      </c>
      <c r="L83" s="3197" t="s">
        <v>2814</v>
      </c>
      <c r="M83" s="3197" t="s">
        <v>3159</v>
      </c>
      <c r="N83" s="3197" t="s">
        <v>3062</v>
      </c>
      <c r="O83">
        <f t="shared" si="1"/>
        <v>1499</v>
      </c>
    </row>
    <row r="84" spans="1:15">
      <c r="A84" s="3197" t="s">
        <v>3081</v>
      </c>
      <c r="B84" s="3197" t="s">
        <v>3056</v>
      </c>
      <c r="C84" s="3197" t="s">
        <v>3057</v>
      </c>
      <c r="D84" s="3197">
        <v>104</v>
      </c>
      <c r="E84" s="3197">
        <v>520</v>
      </c>
      <c r="F84" s="3197" t="s">
        <v>3058</v>
      </c>
      <c r="G84" s="3197" t="s">
        <v>3059</v>
      </c>
      <c r="H84" s="3197" t="s">
        <v>3152</v>
      </c>
      <c r="I84" s="3197" t="s">
        <v>2814</v>
      </c>
      <c r="J84" s="3197">
        <v>15.59</v>
      </c>
      <c r="K84" s="3197">
        <v>300</v>
      </c>
      <c r="L84" s="3197" t="s">
        <v>2814</v>
      </c>
      <c r="M84" s="3197" t="s">
        <v>3160</v>
      </c>
      <c r="N84" s="3197" t="s">
        <v>3062</v>
      </c>
      <c r="O84">
        <f t="shared" si="1"/>
        <v>1499</v>
      </c>
    </row>
    <row r="85" spans="1:15">
      <c r="A85" s="3197" t="s">
        <v>3081</v>
      </c>
      <c r="B85" s="3197" t="s">
        <v>3056</v>
      </c>
      <c r="C85" s="3197" t="s">
        <v>3057</v>
      </c>
      <c r="D85" s="3197">
        <v>114</v>
      </c>
      <c r="E85" s="3197">
        <v>570</v>
      </c>
      <c r="F85" s="3197" t="s">
        <v>3058</v>
      </c>
      <c r="G85" s="3197" t="s">
        <v>3059</v>
      </c>
      <c r="H85" s="3197" t="s">
        <v>3152</v>
      </c>
      <c r="I85" s="3197" t="s">
        <v>2814</v>
      </c>
      <c r="J85" s="3197">
        <v>17.100000000000001</v>
      </c>
      <c r="K85" s="3197">
        <v>300</v>
      </c>
      <c r="L85" s="3197" t="s">
        <v>2814</v>
      </c>
      <c r="M85" s="3197" t="s">
        <v>3161</v>
      </c>
      <c r="N85" s="3197" t="s">
        <v>3062</v>
      </c>
      <c r="O85">
        <f t="shared" si="1"/>
        <v>1500</v>
      </c>
    </row>
    <row r="86" spans="1:15">
      <c r="A86" s="3197" t="s">
        <v>3162</v>
      </c>
      <c r="B86" s="3197" t="s">
        <v>3056</v>
      </c>
      <c r="C86" s="3197" t="s">
        <v>3057</v>
      </c>
      <c r="D86" s="3197">
        <v>104161</v>
      </c>
      <c r="E86" s="3197">
        <v>104161</v>
      </c>
      <c r="F86" s="3197" t="s">
        <v>3163</v>
      </c>
      <c r="G86" s="3197" t="s">
        <v>3059</v>
      </c>
      <c r="H86" s="3197" t="s">
        <v>3164</v>
      </c>
      <c r="I86" s="3197">
        <v>7812.07</v>
      </c>
      <c r="J86" s="3197">
        <v>7812.07</v>
      </c>
      <c r="K86" s="3197">
        <v>750</v>
      </c>
      <c r="L86" s="3197">
        <v>0</v>
      </c>
      <c r="M86" s="3197" t="s">
        <v>3165</v>
      </c>
      <c r="N86" s="3197" t="s">
        <v>3062</v>
      </c>
      <c r="O86">
        <f t="shared" si="1"/>
        <v>750</v>
      </c>
    </row>
    <row r="87" spans="1:15">
      <c r="A87" s="3197" t="s">
        <v>3166</v>
      </c>
      <c r="B87" s="3197" t="s">
        <v>3056</v>
      </c>
      <c r="C87" s="3197" t="s">
        <v>3057</v>
      </c>
      <c r="D87" s="3197">
        <v>6708</v>
      </c>
      <c r="E87" s="3197">
        <v>16770</v>
      </c>
      <c r="F87" s="3197" t="s">
        <v>3167</v>
      </c>
      <c r="G87" s="3197" t="s">
        <v>3059</v>
      </c>
      <c r="H87" s="3197" t="s">
        <v>3164</v>
      </c>
      <c r="I87" s="3197">
        <v>503.1</v>
      </c>
      <c r="J87" s="3197">
        <v>503.1</v>
      </c>
      <c r="K87" s="3197">
        <v>300</v>
      </c>
      <c r="L87" s="3197">
        <v>0</v>
      </c>
      <c r="M87" s="3197" t="s">
        <v>3165</v>
      </c>
      <c r="N87" s="3197" t="s">
        <v>3062</v>
      </c>
      <c r="O87">
        <f t="shared" si="1"/>
        <v>750</v>
      </c>
    </row>
    <row r="88" spans="1:15">
      <c r="A88" s="3197" t="s">
        <v>3017</v>
      </c>
      <c r="B88" s="3197" t="s">
        <v>3056</v>
      </c>
      <c r="C88" s="3197" t="s">
        <v>3057</v>
      </c>
      <c r="D88" s="3197">
        <v>188</v>
      </c>
      <c r="E88" s="3197">
        <v>977.6</v>
      </c>
      <c r="F88" s="3197" t="s">
        <v>3168</v>
      </c>
      <c r="G88" s="3197" t="s">
        <v>3059</v>
      </c>
      <c r="H88" s="3197" t="s">
        <v>3169</v>
      </c>
      <c r="I88" s="3197" t="s">
        <v>2814</v>
      </c>
      <c r="J88" s="3197">
        <v>42.29</v>
      </c>
      <c r="K88" s="3197">
        <v>432.68</v>
      </c>
      <c r="L88" s="3197" t="s">
        <v>2814</v>
      </c>
      <c r="M88" s="3197" t="s">
        <v>3170</v>
      </c>
      <c r="N88" s="3197" t="s">
        <v>3062</v>
      </c>
      <c r="O88">
        <f t="shared" si="1"/>
        <v>2249</v>
      </c>
    </row>
    <row r="89" spans="1:15">
      <c r="A89" s="3197" t="s">
        <v>3171</v>
      </c>
      <c r="B89" s="3197" t="s">
        <v>3056</v>
      </c>
      <c r="C89" s="3197" t="s">
        <v>3057</v>
      </c>
      <c r="D89" s="3197">
        <v>422</v>
      </c>
      <c r="E89" s="3197">
        <v>633</v>
      </c>
      <c r="F89" s="3197" t="s">
        <v>3172</v>
      </c>
      <c r="G89" s="3197" t="s">
        <v>3059</v>
      </c>
      <c r="H89" s="3197" t="s">
        <v>3169</v>
      </c>
      <c r="I89" s="3197" t="s">
        <v>2814</v>
      </c>
      <c r="J89" s="3197">
        <v>94.95</v>
      </c>
      <c r="K89" s="3197">
        <v>1500</v>
      </c>
      <c r="L89" s="3197" t="s">
        <v>2814</v>
      </c>
      <c r="M89" s="3197" t="s">
        <v>3170</v>
      </c>
      <c r="N89" s="3197" t="s">
        <v>3062</v>
      </c>
      <c r="O89">
        <f t="shared" si="1"/>
        <v>2250</v>
      </c>
    </row>
    <row r="90" spans="1:15">
      <c r="A90" s="3197" t="s">
        <v>3173</v>
      </c>
      <c r="B90" s="3197" t="s">
        <v>3056</v>
      </c>
      <c r="C90" s="3197" t="s">
        <v>3057</v>
      </c>
      <c r="D90" s="3197">
        <v>3943</v>
      </c>
      <c r="E90" s="3197">
        <v>6703.1</v>
      </c>
      <c r="F90" s="3197" t="s">
        <v>3174</v>
      </c>
      <c r="G90" s="3197" t="s">
        <v>3059</v>
      </c>
      <c r="H90" s="3197" t="s">
        <v>3169</v>
      </c>
      <c r="I90" s="3197">
        <v>45</v>
      </c>
      <c r="J90" s="3197">
        <v>266.14</v>
      </c>
      <c r="K90" s="3197">
        <v>397.06</v>
      </c>
      <c r="L90" s="3197">
        <v>491.44</v>
      </c>
      <c r="M90" s="3197" t="s">
        <v>3175</v>
      </c>
      <c r="N90" s="3197" t="s">
        <v>3062</v>
      </c>
      <c r="O90">
        <f t="shared" si="1"/>
        <v>675</v>
      </c>
    </row>
    <row r="91" spans="1:15">
      <c r="A91" s="3197" t="s">
        <v>3017</v>
      </c>
      <c r="B91" s="3197" t="s">
        <v>3056</v>
      </c>
      <c r="C91" s="3197" t="s">
        <v>3057</v>
      </c>
      <c r="D91" s="3197">
        <v>333</v>
      </c>
      <c r="E91" s="3197">
        <v>1065.5999999999999</v>
      </c>
      <c r="F91" s="3197" t="s">
        <v>3176</v>
      </c>
      <c r="G91" s="3197" t="s">
        <v>3059</v>
      </c>
      <c r="H91" s="3197" t="s">
        <v>3169</v>
      </c>
      <c r="I91" s="3197" t="s">
        <v>2814</v>
      </c>
      <c r="J91" s="3197">
        <v>74.930000000000007</v>
      </c>
      <c r="K91" s="3197">
        <v>703.16</v>
      </c>
      <c r="L91" s="3197" t="s">
        <v>2814</v>
      </c>
      <c r="M91" s="3197" t="s">
        <v>3170</v>
      </c>
      <c r="N91" s="3197" t="s">
        <v>3062</v>
      </c>
      <c r="O91">
        <f t="shared" si="1"/>
        <v>2250</v>
      </c>
    </row>
    <row r="92" spans="1:15">
      <c r="A92" s="3197" t="s">
        <v>3177</v>
      </c>
      <c r="B92" s="3197" t="s">
        <v>3056</v>
      </c>
      <c r="C92" s="3197" t="s">
        <v>3057</v>
      </c>
      <c r="D92" s="3197">
        <v>1692</v>
      </c>
      <c r="E92" s="3197">
        <v>2876.4</v>
      </c>
      <c r="F92" s="3197" t="s">
        <v>3174</v>
      </c>
      <c r="G92" s="3197" t="s">
        <v>3059</v>
      </c>
      <c r="H92" s="3197" t="s">
        <v>3178</v>
      </c>
      <c r="I92" s="3197">
        <v>37</v>
      </c>
      <c r="J92" s="3197">
        <v>93.9</v>
      </c>
      <c r="K92" s="3197">
        <v>326.48</v>
      </c>
      <c r="L92" s="3197">
        <v>153.81</v>
      </c>
      <c r="M92" s="3197" t="s">
        <v>3179</v>
      </c>
      <c r="N92" s="3197" t="s">
        <v>3062</v>
      </c>
      <c r="O92">
        <f t="shared" si="1"/>
        <v>555</v>
      </c>
    </row>
    <row r="93" spans="1:15">
      <c r="A93" s="3197" t="s">
        <v>3173</v>
      </c>
      <c r="B93" s="3197" t="s">
        <v>3056</v>
      </c>
      <c r="C93" s="3197" t="s">
        <v>3057</v>
      </c>
      <c r="D93" s="3197">
        <v>11677</v>
      </c>
      <c r="E93" s="3197">
        <v>18683.2</v>
      </c>
      <c r="F93" s="3197" t="s">
        <v>3180</v>
      </c>
      <c r="G93" s="3197" t="s">
        <v>3059</v>
      </c>
      <c r="H93" s="3197" t="s">
        <v>3181</v>
      </c>
      <c r="I93" s="3197">
        <v>788.2</v>
      </c>
      <c r="J93" s="3197">
        <v>788.2</v>
      </c>
      <c r="K93" s="3197">
        <v>421.87</v>
      </c>
      <c r="L93" s="3197">
        <v>0</v>
      </c>
      <c r="M93" s="3197" t="s">
        <v>3182</v>
      </c>
      <c r="N93" s="3197" t="s">
        <v>3062</v>
      </c>
      <c r="O93">
        <f t="shared" si="1"/>
        <v>675</v>
      </c>
    </row>
    <row r="94" spans="1:15">
      <c r="A94" s="3197" t="s">
        <v>3183</v>
      </c>
      <c r="B94" s="3197" t="s">
        <v>3056</v>
      </c>
      <c r="C94" s="3197" t="s">
        <v>3057</v>
      </c>
      <c r="D94" s="3197">
        <v>8000</v>
      </c>
      <c r="E94" s="3197">
        <v>800</v>
      </c>
      <c r="F94" s="3197" t="s">
        <v>3184</v>
      </c>
      <c r="G94" s="3197" t="s">
        <v>3059</v>
      </c>
      <c r="H94" s="3197" t="s">
        <v>3185</v>
      </c>
      <c r="I94" s="3197">
        <v>600</v>
      </c>
      <c r="J94" s="3197">
        <v>600</v>
      </c>
      <c r="K94" s="3197">
        <v>7500</v>
      </c>
      <c r="L94" s="3197">
        <v>0</v>
      </c>
      <c r="M94" s="3197" t="s">
        <v>3186</v>
      </c>
      <c r="N94" s="3197" t="s">
        <v>3062</v>
      </c>
      <c r="O94">
        <f t="shared" si="1"/>
        <v>750</v>
      </c>
    </row>
    <row r="95" spans="1:15">
      <c r="A95" s="3197" t="s">
        <v>3081</v>
      </c>
      <c r="B95" s="3197" t="s">
        <v>3056</v>
      </c>
      <c r="C95" s="3197" t="s">
        <v>3057</v>
      </c>
      <c r="D95" s="3197">
        <v>112</v>
      </c>
      <c r="E95" s="3197">
        <v>560</v>
      </c>
      <c r="F95" s="3197" t="s">
        <v>3058</v>
      </c>
      <c r="G95" s="3197" t="s">
        <v>3059</v>
      </c>
      <c r="H95" s="3197" t="s">
        <v>3187</v>
      </c>
      <c r="I95" s="3197" t="s">
        <v>2814</v>
      </c>
      <c r="J95" s="3197">
        <v>16.8</v>
      </c>
      <c r="K95" s="3197">
        <v>300</v>
      </c>
      <c r="L95" s="3197" t="s">
        <v>2814</v>
      </c>
      <c r="M95" s="3197" t="s">
        <v>3188</v>
      </c>
      <c r="N95" s="3197" t="s">
        <v>3062</v>
      </c>
      <c r="O95">
        <f t="shared" si="1"/>
        <v>1500</v>
      </c>
    </row>
    <row r="96" spans="1:15">
      <c r="A96" s="3197" t="s">
        <v>3081</v>
      </c>
      <c r="B96" s="3197" t="s">
        <v>3056</v>
      </c>
      <c r="C96" s="3197" t="s">
        <v>3057</v>
      </c>
      <c r="D96" s="3197">
        <v>102</v>
      </c>
      <c r="E96" s="3197">
        <v>510</v>
      </c>
      <c r="F96" s="3197" t="s">
        <v>3058</v>
      </c>
      <c r="G96" s="3197" t="s">
        <v>3059</v>
      </c>
      <c r="H96" s="3197" t="s">
        <v>3187</v>
      </c>
      <c r="I96" s="3197" t="s">
        <v>2814</v>
      </c>
      <c r="J96" s="3197">
        <v>15.3</v>
      </c>
      <c r="K96" s="3197">
        <v>300</v>
      </c>
      <c r="L96" s="3197" t="s">
        <v>2814</v>
      </c>
      <c r="M96" s="3197" t="s">
        <v>3189</v>
      </c>
      <c r="N96" s="3197" t="s">
        <v>3062</v>
      </c>
      <c r="O96">
        <f t="shared" si="1"/>
        <v>1500</v>
      </c>
    </row>
    <row r="97" spans="1:15">
      <c r="A97" s="3197" t="s">
        <v>3081</v>
      </c>
      <c r="B97" s="3197" t="s">
        <v>3056</v>
      </c>
      <c r="C97" s="3197" t="s">
        <v>3057</v>
      </c>
      <c r="D97" s="3197">
        <v>115</v>
      </c>
      <c r="E97" s="3197">
        <v>575</v>
      </c>
      <c r="F97" s="3197" t="s">
        <v>3058</v>
      </c>
      <c r="G97" s="3197" t="s">
        <v>3059</v>
      </c>
      <c r="H97" s="3197" t="s">
        <v>3187</v>
      </c>
      <c r="I97" s="3197" t="s">
        <v>2814</v>
      </c>
      <c r="J97" s="3197">
        <v>17.25</v>
      </c>
      <c r="K97" s="3197">
        <v>300</v>
      </c>
      <c r="L97" s="3197" t="s">
        <v>2814</v>
      </c>
      <c r="M97" s="3197" t="s">
        <v>3190</v>
      </c>
      <c r="N97" s="3197" t="s">
        <v>3062</v>
      </c>
      <c r="O97">
        <f t="shared" si="1"/>
        <v>1500</v>
      </c>
    </row>
    <row r="98" spans="1:15">
      <c r="A98" s="3197" t="s">
        <v>3081</v>
      </c>
      <c r="B98" s="3197" t="s">
        <v>3056</v>
      </c>
      <c r="C98" s="3197" t="s">
        <v>3057</v>
      </c>
      <c r="D98" s="3197">
        <v>113</v>
      </c>
      <c r="E98" s="3197">
        <v>565</v>
      </c>
      <c r="F98" s="3197" t="s">
        <v>3058</v>
      </c>
      <c r="G98" s="3197" t="s">
        <v>3059</v>
      </c>
      <c r="H98" s="3197" t="s">
        <v>3187</v>
      </c>
      <c r="I98" s="3197" t="s">
        <v>2814</v>
      </c>
      <c r="J98" s="3197">
        <v>16.940000000000001</v>
      </c>
      <c r="K98" s="3197">
        <v>300</v>
      </c>
      <c r="L98" s="3197" t="s">
        <v>2814</v>
      </c>
      <c r="M98" s="3197" t="s">
        <v>3191</v>
      </c>
      <c r="N98" s="3197" t="s">
        <v>3062</v>
      </c>
      <c r="O98">
        <f t="shared" si="1"/>
        <v>1499</v>
      </c>
    </row>
    <row r="99" spans="1:15">
      <c r="A99" s="3197" t="s">
        <v>3081</v>
      </c>
      <c r="B99" s="3197" t="s">
        <v>3056</v>
      </c>
      <c r="C99" s="3197" t="s">
        <v>3057</v>
      </c>
      <c r="D99" s="3197">
        <v>112</v>
      </c>
      <c r="E99" s="3197">
        <v>560</v>
      </c>
      <c r="F99" s="3197" t="s">
        <v>3058</v>
      </c>
      <c r="G99" s="3197" t="s">
        <v>3059</v>
      </c>
      <c r="H99" s="3197" t="s">
        <v>3187</v>
      </c>
      <c r="I99" s="3197" t="s">
        <v>2814</v>
      </c>
      <c r="J99" s="3197">
        <v>16.8</v>
      </c>
      <c r="K99" s="3197">
        <v>300</v>
      </c>
      <c r="L99" s="3197" t="s">
        <v>2814</v>
      </c>
      <c r="M99" s="3197" t="s">
        <v>3192</v>
      </c>
      <c r="N99" s="3197" t="s">
        <v>3062</v>
      </c>
      <c r="O99">
        <f t="shared" si="1"/>
        <v>1500</v>
      </c>
    </row>
    <row r="100" spans="1:15">
      <c r="A100" s="3197" t="s">
        <v>3081</v>
      </c>
      <c r="B100" s="3197" t="s">
        <v>3056</v>
      </c>
      <c r="C100" s="3197" t="s">
        <v>3057</v>
      </c>
      <c r="D100" s="3197">
        <v>115</v>
      </c>
      <c r="E100" s="3197">
        <v>575</v>
      </c>
      <c r="F100" s="3197" t="s">
        <v>3058</v>
      </c>
      <c r="G100" s="3197" t="s">
        <v>3059</v>
      </c>
      <c r="H100" s="3197" t="s">
        <v>3187</v>
      </c>
      <c r="I100" s="3197" t="s">
        <v>2814</v>
      </c>
      <c r="J100" s="3197">
        <v>18.100000000000001</v>
      </c>
      <c r="K100" s="3197">
        <v>314.95</v>
      </c>
      <c r="L100" s="3197" t="s">
        <v>2814</v>
      </c>
      <c r="M100" s="3197" t="s">
        <v>3193</v>
      </c>
      <c r="N100" s="3197" t="s">
        <v>3062</v>
      </c>
      <c r="O100">
        <f t="shared" si="1"/>
        <v>1574</v>
      </c>
    </row>
    <row r="101" spans="1:15">
      <c r="A101" s="3197" t="s">
        <v>3081</v>
      </c>
      <c r="B101" s="3197" t="s">
        <v>3056</v>
      </c>
      <c r="C101" s="3197" t="s">
        <v>3057</v>
      </c>
      <c r="D101" s="3197">
        <v>101</v>
      </c>
      <c r="E101" s="3197">
        <v>505</v>
      </c>
      <c r="F101" s="3197" t="s">
        <v>3058</v>
      </c>
      <c r="G101" s="3197" t="s">
        <v>3059</v>
      </c>
      <c r="H101" s="3197" t="s">
        <v>3187</v>
      </c>
      <c r="I101" s="3197" t="s">
        <v>2814</v>
      </c>
      <c r="J101" s="3197">
        <v>15.15</v>
      </c>
      <c r="K101" s="3197">
        <v>300</v>
      </c>
      <c r="L101" s="3197" t="s">
        <v>2814</v>
      </c>
      <c r="M101" s="3197" t="s">
        <v>3194</v>
      </c>
      <c r="N101" s="3197" t="s">
        <v>3062</v>
      </c>
      <c r="O101">
        <f t="shared" si="1"/>
        <v>1500</v>
      </c>
    </row>
    <row r="102" spans="1:15">
      <c r="A102" s="3198" t="s">
        <v>3081</v>
      </c>
      <c r="B102" s="3198" t="s">
        <v>3056</v>
      </c>
      <c r="C102" s="3198" t="s">
        <v>3057</v>
      </c>
      <c r="D102" s="3198">
        <v>102</v>
      </c>
      <c r="E102" s="3198">
        <v>510</v>
      </c>
      <c r="F102" s="3198" t="s">
        <v>3058</v>
      </c>
      <c r="G102" s="3198" t="s">
        <v>3059</v>
      </c>
      <c r="H102" s="3198" t="s">
        <v>3187</v>
      </c>
      <c r="I102" s="3198" t="s">
        <v>2814</v>
      </c>
      <c r="J102" s="3198">
        <v>15.3</v>
      </c>
      <c r="K102" s="3198">
        <v>300</v>
      </c>
      <c r="L102" s="3198" t="s">
        <v>2814</v>
      </c>
      <c r="M102" s="3198" t="s">
        <v>3195</v>
      </c>
      <c r="N102" s="3198" t="s">
        <v>3062</v>
      </c>
      <c r="O102">
        <f t="shared" si="1"/>
        <v>1500</v>
      </c>
    </row>
    <row r="103" spans="1:15">
      <c r="A103" s="3198" t="s">
        <v>3081</v>
      </c>
      <c r="B103" s="3198" t="s">
        <v>3056</v>
      </c>
      <c r="C103" s="3198" t="s">
        <v>3057</v>
      </c>
      <c r="D103" s="3198">
        <v>109</v>
      </c>
      <c r="E103" s="3198">
        <v>545</v>
      </c>
      <c r="F103" s="3198" t="s">
        <v>3058</v>
      </c>
      <c r="G103" s="3198" t="s">
        <v>3059</v>
      </c>
      <c r="H103" s="3198" t="s">
        <v>3187</v>
      </c>
      <c r="I103" s="3198" t="s">
        <v>2814</v>
      </c>
      <c r="J103" s="3198">
        <v>16.350000000000001</v>
      </c>
      <c r="K103" s="3198">
        <v>300</v>
      </c>
      <c r="L103" s="3198" t="s">
        <v>2814</v>
      </c>
      <c r="M103" s="3198" t="s">
        <v>3196</v>
      </c>
      <c r="N103" s="3198" t="s">
        <v>3062</v>
      </c>
      <c r="O103">
        <f t="shared" si="1"/>
        <v>1500</v>
      </c>
    </row>
    <row r="104" spans="1:15">
      <c r="A104" s="3198" t="s">
        <v>3081</v>
      </c>
      <c r="B104" s="3198" t="s">
        <v>3056</v>
      </c>
      <c r="C104" s="3198" t="s">
        <v>3057</v>
      </c>
      <c r="D104" s="3198">
        <v>102</v>
      </c>
      <c r="E104" s="3198">
        <v>510</v>
      </c>
      <c r="F104" s="3198" t="s">
        <v>3058</v>
      </c>
      <c r="G104" s="3198" t="s">
        <v>3059</v>
      </c>
      <c r="H104" s="3198" t="s">
        <v>3187</v>
      </c>
      <c r="I104" s="3198" t="s">
        <v>2814</v>
      </c>
      <c r="J104" s="3198">
        <v>15.3</v>
      </c>
      <c r="K104" s="3198">
        <v>300</v>
      </c>
      <c r="L104" s="3198" t="s">
        <v>2814</v>
      </c>
      <c r="M104" s="3198" t="s">
        <v>3197</v>
      </c>
      <c r="N104" s="3198" t="s">
        <v>3062</v>
      </c>
      <c r="O104">
        <f t="shared" si="1"/>
        <v>1500</v>
      </c>
    </row>
    <row r="105" spans="1:15">
      <c r="A105" s="3198" t="s">
        <v>3081</v>
      </c>
      <c r="B105" s="3198" t="s">
        <v>3056</v>
      </c>
      <c r="C105" s="3198" t="s">
        <v>3057</v>
      </c>
      <c r="D105" s="3198">
        <v>100</v>
      </c>
      <c r="E105" s="3198">
        <v>500</v>
      </c>
      <c r="F105" s="3198" t="s">
        <v>3058</v>
      </c>
      <c r="G105" s="3198" t="s">
        <v>3059</v>
      </c>
      <c r="H105" s="3198" t="s">
        <v>3198</v>
      </c>
      <c r="I105" s="3198" t="s">
        <v>2814</v>
      </c>
      <c r="J105" s="3198">
        <v>15</v>
      </c>
      <c r="K105" s="3198">
        <v>300</v>
      </c>
      <c r="L105" s="3198" t="s">
        <v>2814</v>
      </c>
      <c r="M105" s="3198" t="s">
        <v>3199</v>
      </c>
      <c r="N105" s="3198" t="s">
        <v>3062</v>
      </c>
      <c r="O105">
        <f t="shared" si="1"/>
        <v>1500</v>
      </c>
    </row>
    <row r="106" spans="1:15">
      <c r="A106" s="3198" t="s">
        <v>3081</v>
      </c>
      <c r="B106" s="3198" t="s">
        <v>3056</v>
      </c>
      <c r="C106" s="3198" t="s">
        <v>3057</v>
      </c>
      <c r="D106" s="3198">
        <v>100</v>
      </c>
      <c r="E106" s="3198">
        <v>500</v>
      </c>
      <c r="F106" s="3198" t="s">
        <v>3058</v>
      </c>
      <c r="G106" s="3198" t="s">
        <v>3059</v>
      </c>
      <c r="H106" s="3198" t="s">
        <v>3198</v>
      </c>
      <c r="I106" s="3198" t="s">
        <v>2814</v>
      </c>
      <c r="J106" s="3198">
        <v>15</v>
      </c>
      <c r="K106" s="3198">
        <v>300</v>
      </c>
      <c r="L106" s="3198" t="s">
        <v>2814</v>
      </c>
      <c r="M106" s="3198" t="s">
        <v>3200</v>
      </c>
      <c r="N106" s="3198" t="s">
        <v>3062</v>
      </c>
      <c r="O106">
        <f t="shared" si="1"/>
        <v>1500</v>
      </c>
    </row>
    <row r="107" spans="1:15">
      <c r="A107" s="3198" t="s">
        <v>3081</v>
      </c>
      <c r="B107" s="3198" t="s">
        <v>3056</v>
      </c>
      <c r="C107" s="3198" t="s">
        <v>3057</v>
      </c>
      <c r="D107" s="3198">
        <v>99</v>
      </c>
      <c r="E107" s="3198">
        <v>495</v>
      </c>
      <c r="F107" s="3198" t="s">
        <v>3058</v>
      </c>
      <c r="G107" s="3198" t="s">
        <v>3059</v>
      </c>
      <c r="H107" s="3198" t="s">
        <v>3198</v>
      </c>
      <c r="I107" s="3198" t="s">
        <v>2814</v>
      </c>
      <c r="J107" s="3198">
        <v>14.84</v>
      </c>
      <c r="K107" s="3198">
        <v>300</v>
      </c>
      <c r="L107" s="3198" t="s">
        <v>2814</v>
      </c>
      <c r="M107" s="3198" t="s">
        <v>3201</v>
      </c>
      <c r="N107" s="3198" t="s">
        <v>3062</v>
      </c>
      <c r="O107">
        <f t="shared" si="1"/>
        <v>1499</v>
      </c>
    </row>
    <row r="108" spans="1:15">
      <c r="A108" s="3198" t="s">
        <v>3081</v>
      </c>
      <c r="B108" s="3198" t="s">
        <v>3056</v>
      </c>
      <c r="C108" s="3198" t="s">
        <v>3057</v>
      </c>
      <c r="D108" s="3198">
        <v>101</v>
      </c>
      <c r="E108" s="3198">
        <v>505</v>
      </c>
      <c r="F108" s="3198" t="s">
        <v>3058</v>
      </c>
      <c r="G108" s="3198" t="s">
        <v>3059</v>
      </c>
      <c r="H108" s="3198" t="s">
        <v>3198</v>
      </c>
      <c r="I108" s="3198" t="s">
        <v>2814</v>
      </c>
      <c r="J108" s="3198">
        <v>15.15</v>
      </c>
      <c r="K108" s="3198">
        <v>300</v>
      </c>
      <c r="L108" s="3198" t="s">
        <v>2814</v>
      </c>
      <c r="M108" s="3198" t="s">
        <v>3202</v>
      </c>
      <c r="N108" s="3198" t="s">
        <v>3062</v>
      </c>
      <c r="O108">
        <f t="shared" si="1"/>
        <v>1500</v>
      </c>
    </row>
    <row r="109" spans="1:15">
      <c r="A109" s="3198" t="s">
        <v>3081</v>
      </c>
      <c r="B109" s="3198" t="s">
        <v>3056</v>
      </c>
      <c r="C109" s="3198" t="s">
        <v>3057</v>
      </c>
      <c r="D109" s="3198">
        <v>100</v>
      </c>
      <c r="E109" s="3198">
        <v>500</v>
      </c>
      <c r="F109" s="3198" t="s">
        <v>3058</v>
      </c>
      <c r="G109" s="3198" t="s">
        <v>3059</v>
      </c>
      <c r="H109" s="3198" t="s">
        <v>3198</v>
      </c>
      <c r="I109" s="3198" t="s">
        <v>2814</v>
      </c>
      <c r="J109" s="3198">
        <v>15</v>
      </c>
      <c r="K109" s="3198">
        <v>300</v>
      </c>
      <c r="L109" s="3198" t="s">
        <v>2814</v>
      </c>
      <c r="M109" s="3198" t="s">
        <v>3203</v>
      </c>
      <c r="N109" s="3198" t="s">
        <v>3062</v>
      </c>
      <c r="O109">
        <f t="shared" si="1"/>
        <v>1500</v>
      </c>
    </row>
    <row r="110" spans="1:15">
      <c r="A110" s="3198" t="s">
        <v>3081</v>
      </c>
      <c r="B110" s="3198" t="s">
        <v>3056</v>
      </c>
      <c r="C110" s="3198" t="s">
        <v>3057</v>
      </c>
      <c r="D110" s="3198">
        <v>104</v>
      </c>
      <c r="E110" s="3198">
        <v>520</v>
      </c>
      <c r="F110" s="3198" t="s">
        <v>3058</v>
      </c>
      <c r="G110" s="3198" t="s">
        <v>3059</v>
      </c>
      <c r="H110" s="3198" t="s">
        <v>3198</v>
      </c>
      <c r="I110" s="3198" t="s">
        <v>2814</v>
      </c>
      <c r="J110" s="3198">
        <v>15.59</v>
      </c>
      <c r="K110" s="3198">
        <v>300</v>
      </c>
      <c r="L110" s="3198" t="s">
        <v>2814</v>
      </c>
      <c r="M110" s="3198" t="s">
        <v>3204</v>
      </c>
      <c r="N110" s="3198" t="s">
        <v>3062</v>
      </c>
      <c r="O110">
        <f t="shared" si="1"/>
        <v>1499</v>
      </c>
    </row>
    <row r="111" spans="1:15">
      <c r="A111" s="3198" t="s">
        <v>3081</v>
      </c>
      <c r="B111" s="3198" t="s">
        <v>3056</v>
      </c>
      <c r="C111" s="3198" t="s">
        <v>3057</v>
      </c>
      <c r="D111" s="3198">
        <v>99</v>
      </c>
      <c r="E111" s="3198">
        <v>495</v>
      </c>
      <c r="F111" s="3198" t="s">
        <v>3058</v>
      </c>
      <c r="G111" s="3198" t="s">
        <v>3059</v>
      </c>
      <c r="H111" s="3198" t="s">
        <v>3198</v>
      </c>
      <c r="I111" s="3198" t="s">
        <v>2814</v>
      </c>
      <c r="J111" s="3198">
        <v>14.84</v>
      </c>
      <c r="K111" s="3198">
        <v>300</v>
      </c>
      <c r="L111" s="3198" t="s">
        <v>2814</v>
      </c>
      <c r="M111" s="3198" t="s">
        <v>3205</v>
      </c>
      <c r="N111" s="3198" t="s">
        <v>3062</v>
      </c>
      <c r="O111">
        <f t="shared" si="1"/>
        <v>1499</v>
      </c>
    </row>
    <row r="112" spans="1:15">
      <c r="A112" s="3198" t="s">
        <v>3081</v>
      </c>
      <c r="B112" s="3198" t="s">
        <v>3056</v>
      </c>
      <c r="C112" s="3198" t="s">
        <v>3057</v>
      </c>
      <c r="D112" s="3198">
        <v>99</v>
      </c>
      <c r="E112" s="3198">
        <v>495</v>
      </c>
      <c r="F112" s="3198" t="s">
        <v>3058</v>
      </c>
      <c r="G112" s="3198" t="s">
        <v>3059</v>
      </c>
      <c r="H112" s="3198" t="s">
        <v>3198</v>
      </c>
      <c r="I112" s="3198" t="s">
        <v>2814</v>
      </c>
      <c r="J112" s="3198">
        <v>14.84</v>
      </c>
      <c r="K112" s="3198">
        <v>300</v>
      </c>
      <c r="L112" s="3198" t="s">
        <v>2814</v>
      </c>
      <c r="M112" s="3198" t="s">
        <v>3206</v>
      </c>
      <c r="N112" s="3198" t="s">
        <v>3062</v>
      </c>
      <c r="O112">
        <f t="shared" si="1"/>
        <v>1499</v>
      </c>
    </row>
    <row r="113" spans="1:15" s="3200" customFormat="1">
      <c r="A113" s="3196" t="s">
        <v>3035</v>
      </c>
      <c r="B113" s="3196" t="s">
        <v>3056</v>
      </c>
      <c r="C113" s="3196" t="s">
        <v>3057</v>
      </c>
      <c r="D113" s="3196">
        <v>3049</v>
      </c>
      <c r="E113" s="3196">
        <v>5183.3</v>
      </c>
      <c r="F113" s="3196" t="s">
        <v>3174</v>
      </c>
      <c r="G113" s="3196" t="s">
        <v>3059</v>
      </c>
      <c r="H113" s="3196" t="s">
        <v>3207</v>
      </c>
      <c r="I113" s="3196">
        <v>125</v>
      </c>
      <c r="J113" s="3196">
        <v>736.33</v>
      </c>
      <c r="K113" s="3196">
        <v>1420.57</v>
      </c>
      <c r="L113" s="3196">
        <v>489.06</v>
      </c>
      <c r="M113" s="3196" t="s">
        <v>3208</v>
      </c>
      <c r="N113" s="3196" t="s">
        <v>3062</v>
      </c>
      <c r="O113">
        <f t="shared" si="1"/>
        <v>2415</v>
      </c>
    </row>
    <row r="114" spans="1:15">
      <c r="A114" s="3198" t="s">
        <v>3015</v>
      </c>
      <c r="B114" s="3198" t="s">
        <v>3056</v>
      </c>
      <c r="C114" s="3198" t="s">
        <v>3057</v>
      </c>
      <c r="D114" s="3198">
        <v>22010</v>
      </c>
      <c r="E114" s="3198">
        <v>44020</v>
      </c>
      <c r="F114" s="3198" t="s">
        <v>3209</v>
      </c>
      <c r="G114" s="3198" t="s">
        <v>3059</v>
      </c>
      <c r="H114" s="3198" t="s">
        <v>3207</v>
      </c>
      <c r="I114" s="3198" t="s">
        <v>2814</v>
      </c>
      <c r="J114" s="3198">
        <v>3631.65</v>
      </c>
      <c r="K114" s="3198">
        <v>825</v>
      </c>
      <c r="L114" s="3198" t="s">
        <v>2814</v>
      </c>
      <c r="M114" s="3198" t="s">
        <v>3210</v>
      </c>
      <c r="N114" s="3198" t="s">
        <v>3062</v>
      </c>
      <c r="O114">
        <f t="shared" si="1"/>
        <v>1650</v>
      </c>
    </row>
    <row r="115" spans="1:15">
      <c r="A115" s="3207" t="s">
        <v>3329</v>
      </c>
      <c r="B115" s="3198" t="s">
        <v>3056</v>
      </c>
      <c r="C115" s="3198" t="s">
        <v>3057</v>
      </c>
      <c r="D115" s="3198">
        <v>69351</v>
      </c>
      <c r="E115" s="3198">
        <v>83221.2</v>
      </c>
      <c r="F115" s="3198" t="s">
        <v>3212</v>
      </c>
      <c r="G115" s="3198" t="s">
        <v>3059</v>
      </c>
      <c r="H115" s="3198" t="s">
        <v>3213</v>
      </c>
      <c r="I115" s="3198" t="s">
        <v>2814</v>
      </c>
      <c r="J115" s="3198">
        <v>2392.61</v>
      </c>
      <c r="K115" s="3198">
        <v>287.5</v>
      </c>
      <c r="L115" s="3198" t="s">
        <v>2814</v>
      </c>
      <c r="M115" s="3198" t="s">
        <v>3214</v>
      </c>
      <c r="N115" s="3198" t="s">
        <v>3062</v>
      </c>
      <c r="O115">
        <f t="shared" si="1"/>
        <v>345</v>
      </c>
    </row>
    <row r="116" spans="1:15">
      <c r="A116" s="3198" t="s">
        <v>3211</v>
      </c>
      <c r="B116" s="3198" t="s">
        <v>3056</v>
      </c>
      <c r="C116" s="3198" t="s">
        <v>3057</v>
      </c>
      <c r="D116" s="3198">
        <v>68628</v>
      </c>
      <c r="E116" s="3198">
        <v>82353.600000000006</v>
      </c>
      <c r="F116" s="3198" t="s">
        <v>3212</v>
      </c>
      <c r="G116" s="3198" t="s">
        <v>3059</v>
      </c>
      <c r="H116" s="3198" t="s">
        <v>3213</v>
      </c>
      <c r="I116" s="3198" t="s">
        <v>2814</v>
      </c>
      <c r="J116" s="3198">
        <v>2367.67</v>
      </c>
      <c r="K116" s="3198">
        <v>287.5</v>
      </c>
      <c r="L116" s="3198" t="s">
        <v>2814</v>
      </c>
      <c r="M116" s="3198" t="s">
        <v>3214</v>
      </c>
      <c r="N116" s="3198" t="s">
        <v>3062</v>
      </c>
      <c r="O116">
        <f t="shared" si="1"/>
        <v>345</v>
      </c>
    </row>
    <row r="117" spans="1:15">
      <c r="A117" s="3198" t="s">
        <v>3211</v>
      </c>
      <c r="B117" s="3198" t="s">
        <v>3056</v>
      </c>
      <c r="C117" s="3198" t="s">
        <v>3057</v>
      </c>
      <c r="D117" s="3198">
        <v>67660</v>
      </c>
      <c r="E117" s="3198">
        <v>81192</v>
      </c>
      <c r="F117" s="3198" t="s">
        <v>3212</v>
      </c>
      <c r="G117" s="3198" t="s">
        <v>3059</v>
      </c>
      <c r="H117" s="3198" t="s">
        <v>3213</v>
      </c>
      <c r="I117" s="3198" t="s">
        <v>2814</v>
      </c>
      <c r="J117" s="3198">
        <v>2334.2600000000002</v>
      </c>
      <c r="K117" s="3198">
        <v>287.5</v>
      </c>
      <c r="L117" s="3198" t="s">
        <v>2814</v>
      </c>
      <c r="M117" s="3198" t="s">
        <v>3214</v>
      </c>
      <c r="N117" s="3198" t="s">
        <v>3062</v>
      </c>
      <c r="O117">
        <f t="shared" si="1"/>
        <v>345</v>
      </c>
    </row>
    <row r="118" spans="1:15">
      <c r="A118" s="3198" t="s">
        <v>3211</v>
      </c>
      <c r="B118" s="3198" t="s">
        <v>3056</v>
      </c>
      <c r="C118" s="3198" t="s">
        <v>3057</v>
      </c>
      <c r="D118" s="3198">
        <v>50249</v>
      </c>
      <c r="E118" s="3198">
        <v>60298.8</v>
      </c>
      <c r="F118" s="3198" t="s">
        <v>3212</v>
      </c>
      <c r="G118" s="3198" t="s">
        <v>3059</v>
      </c>
      <c r="H118" s="3198" t="s">
        <v>3213</v>
      </c>
      <c r="I118" s="3198" t="s">
        <v>2814</v>
      </c>
      <c r="J118" s="3198">
        <v>1733.58</v>
      </c>
      <c r="K118" s="3198">
        <v>287.5</v>
      </c>
      <c r="L118" s="3198" t="s">
        <v>2814</v>
      </c>
      <c r="M118" s="3198" t="s">
        <v>3214</v>
      </c>
      <c r="N118" s="3198" t="s">
        <v>3062</v>
      </c>
      <c r="O118">
        <f t="shared" si="1"/>
        <v>345</v>
      </c>
    </row>
    <row r="119" spans="1:15">
      <c r="A119" s="3198" t="s">
        <v>3211</v>
      </c>
      <c r="B119" s="3198" t="s">
        <v>3056</v>
      </c>
      <c r="C119" s="3198" t="s">
        <v>3057</v>
      </c>
      <c r="D119" s="3198">
        <v>56488</v>
      </c>
      <c r="E119" s="3198">
        <v>67785.600000000006</v>
      </c>
      <c r="F119" s="3198" t="s">
        <v>3212</v>
      </c>
      <c r="G119" s="3198" t="s">
        <v>3059</v>
      </c>
      <c r="H119" s="3198" t="s">
        <v>3213</v>
      </c>
      <c r="I119" s="3198" t="s">
        <v>2814</v>
      </c>
      <c r="J119" s="3198">
        <v>1948.83</v>
      </c>
      <c r="K119" s="3198">
        <v>287.5</v>
      </c>
      <c r="L119" s="3198" t="s">
        <v>2814</v>
      </c>
      <c r="M119" s="3198" t="s">
        <v>3214</v>
      </c>
      <c r="N119" s="3198" t="s">
        <v>3062</v>
      </c>
      <c r="O119">
        <f t="shared" si="1"/>
        <v>345</v>
      </c>
    </row>
    <row r="120" spans="1:15">
      <c r="A120" s="3198" t="s">
        <v>3013</v>
      </c>
      <c r="B120" s="3198" t="s">
        <v>3056</v>
      </c>
      <c r="C120" s="3198" t="s">
        <v>3057</v>
      </c>
      <c r="D120" s="3198">
        <v>15529</v>
      </c>
      <c r="E120" s="3198">
        <v>37269.599999999999</v>
      </c>
      <c r="F120" s="3198" t="s">
        <v>3215</v>
      </c>
      <c r="G120" s="3198" t="s">
        <v>3059</v>
      </c>
      <c r="H120" s="3198" t="s">
        <v>3216</v>
      </c>
      <c r="I120" s="3198" t="s">
        <v>2814</v>
      </c>
      <c r="J120" s="3198">
        <v>3494.03</v>
      </c>
      <c r="K120" s="3198">
        <v>937.5</v>
      </c>
      <c r="L120" s="3198" t="s">
        <v>2814</v>
      </c>
      <c r="M120" s="3198" t="s">
        <v>3217</v>
      </c>
      <c r="N120" s="3198" t="s">
        <v>3062</v>
      </c>
      <c r="O120">
        <f t="shared" si="1"/>
        <v>2250</v>
      </c>
    </row>
    <row r="121" spans="1:15">
      <c r="A121" s="3198" t="s">
        <v>3055</v>
      </c>
      <c r="B121" s="3198" t="s">
        <v>3056</v>
      </c>
      <c r="C121" s="3198" t="s">
        <v>3057</v>
      </c>
      <c r="D121" s="3198">
        <v>98</v>
      </c>
      <c r="E121" s="3198">
        <v>490</v>
      </c>
      <c r="F121" s="3198" t="s">
        <v>3058</v>
      </c>
      <c r="G121" s="3198" t="s">
        <v>3059</v>
      </c>
      <c r="H121" s="3198" t="s">
        <v>3218</v>
      </c>
      <c r="I121" s="3198" t="s">
        <v>2814</v>
      </c>
      <c r="J121" s="3198">
        <v>14.69</v>
      </c>
      <c r="K121" s="3198">
        <v>300</v>
      </c>
      <c r="L121" s="3198" t="s">
        <v>2814</v>
      </c>
      <c r="M121" s="3198" t="s">
        <v>3219</v>
      </c>
      <c r="N121" s="3198" t="s">
        <v>3062</v>
      </c>
      <c r="O121">
        <f t="shared" si="1"/>
        <v>1499</v>
      </c>
    </row>
    <row r="122" spans="1:15">
      <c r="A122" s="3198" t="s">
        <v>3081</v>
      </c>
      <c r="B122" s="3198" t="s">
        <v>3056</v>
      </c>
      <c r="C122" s="3198" t="s">
        <v>3057</v>
      </c>
      <c r="D122" s="3198">
        <v>101</v>
      </c>
      <c r="E122" s="3198">
        <v>505</v>
      </c>
      <c r="F122" s="3198" t="s">
        <v>3058</v>
      </c>
      <c r="G122" s="3198" t="s">
        <v>3059</v>
      </c>
      <c r="H122" s="3198" t="s">
        <v>3218</v>
      </c>
      <c r="I122" s="3198" t="s">
        <v>2814</v>
      </c>
      <c r="J122" s="3198">
        <v>15.15</v>
      </c>
      <c r="K122" s="3198">
        <v>300</v>
      </c>
      <c r="L122" s="3198" t="s">
        <v>2814</v>
      </c>
      <c r="M122" s="3198" t="s">
        <v>3220</v>
      </c>
      <c r="N122" s="3198" t="s">
        <v>3062</v>
      </c>
      <c r="O122">
        <f t="shared" si="1"/>
        <v>1500</v>
      </c>
    </row>
    <row r="123" spans="1:15">
      <c r="A123" s="3198" t="s">
        <v>3055</v>
      </c>
      <c r="B123" s="3198" t="s">
        <v>3056</v>
      </c>
      <c r="C123" s="3198" t="s">
        <v>3057</v>
      </c>
      <c r="D123" s="3198">
        <v>105</v>
      </c>
      <c r="E123" s="3198">
        <v>525</v>
      </c>
      <c r="F123" s="3198" t="s">
        <v>3058</v>
      </c>
      <c r="G123" s="3198" t="s">
        <v>3059</v>
      </c>
      <c r="H123" s="3198" t="s">
        <v>3218</v>
      </c>
      <c r="I123" s="3198" t="s">
        <v>2814</v>
      </c>
      <c r="J123" s="3198">
        <v>15.75</v>
      </c>
      <c r="K123" s="3198">
        <v>300</v>
      </c>
      <c r="L123" s="3198" t="s">
        <v>2814</v>
      </c>
      <c r="M123" s="3198" t="s">
        <v>3221</v>
      </c>
      <c r="N123" s="3198" t="s">
        <v>3062</v>
      </c>
      <c r="O123">
        <f t="shared" si="1"/>
        <v>1500</v>
      </c>
    </row>
    <row r="124" spans="1:15">
      <c r="A124" s="3198" t="s">
        <v>3055</v>
      </c>
      <c r="B124" s="3198" t="s">
        <v>3056</v>
      </c>
      <c r="C124" s="3198" t="s">
        <v>3057</v>
      </c>
      <c r="D124" s="3198">
        <v>96</v>
      </c>
      <c r="E124" s="3198">
        <v>480</v>
      </c>
      <c r="F124" s="3198" t="s">
        <v>3058</v>
      </c>
      <c r="G124" s="3198" t="s">
        <v>3059</v>
      </c>
      <c r="H124" s="3198" t="s">
        <v>3218</v>
      </c>
      <c r="I124" s="3198" t="s">
        <v>2814</v>
      </c>
      <c r="J124" s="3198">
        <v>14.4</v>
      </c>
      <c r="K124" s="3198">
        <v>300</v>
      </c>
      <c r="L124" s="3198" t="s">
        <v>2814</v>
      </c>
      <c r="M124" s="3198" t="s">
        <v>3222</v>
      </c>
      <c r="N124" s="3198" t="s">
        <v>3062</v>
      </c>
      <c r="O124">
        <f t="shared" si="1"/>
        <v>1500</v>
      </c>
    </row>
    <row r="125" spans="1:15">
      <c r="A125" s="3198" t="s">
        <v>3055</v>
      </c>
      <c r="B125" s="3198" t="s">
        <v>3056</v>
      </c>
      <c r="C125" s="3198" t="s">
        <v>3057</v>
      </c>
      <c r="D125" s="3198">
        <v>98</v>
      </c>
      <c r="E125" s="3198">
        <v>490</v>
      </c>
      <c r="F125" s="3198" t="s">
        <v>3058</v>
      </c>
      <c r="G125" s="3198" t="s">
        <v>3059</v>
      </c>
      <c r="H125" s="3198" t="s">
        <v>3218</v>
      </c>
      <c r="I125" s="3198" t="s">
        <v>2814</v>
      </c>
      <c r="J125" s="3198">
        <v>14.69</v>
      </c>
      <c r="K125" s="3198">
        <v>300</v>
      </c>
      <c r="L125" s="3198" t="s">
        <v>2814</v>
      </c>
      <c r="M125" s="3198" t="s">
        <v>3223</v>
      </c>
      <c r="N125" s="3198" t="s">
        <v>3062</v>
      </c>
      <c r="O125">
        <f t="shared" si="1"/>
        <v>1499</v>
      </c>
    </row>
    <row r="126" spans="1:15">
      <c r="A126" s="3198" t="s">
        <v>3081</v>
      </c>
      <c r="B126" s="3198" t="s">
        <v>3056</v>
      </c>
      <c r="C126" s="3198" t="s">
        <v>3057</v>
      </c>
      <c r="D126" s="3198">
        <v>100</v>
      </c>
      <c r="E126" s="3198">
        <v>500</v>
      </c>
      <c r="F126" s="3198" t="s">
        <v>3058</v>
      </c>
      <c r="G126" s="3198" t="s">
        <v>3059</v>
      </c>
      <c r="H126" s="3198" t="s">
        <v>3218</v>
      </c>
      <c r="I126" s="3198" t="s">
        <v>2814</v>
      </c>
      <c r="J126" s="3198">
        <v>15</v>
      </c>
      <c r="K126" s="3198">
        <v>300</v>
      </c>
      <c r="L126" s="3198" t="s">
        <v>2814</v>
      </c>
      <c r="M126" s="3198" t="s">
        <v>3224</v>
      </c>
      <c r="N126" s="3198" t="s">
        <v>3062</v>
      </c>
      <c r="O126">
        <f t="shared" si="1"/>
        <v>1500</v>
      </c>
    </row>
    <row r="127" spans="1:15">
      <c r="A127" s="3198" t="s">
        <v>3081</v>
      </c>
      <c r="B127" s="3198" t="s">
        <v>3056</v>
      </c>
      <c r="C127" s="3198" t="s">
        <v>3057</v>
      </c>
      <c r="D127" s="3198">
        <v>102</v>
      </c>
      <c r="E127" s="3198">
        <v>510</v>
      </c>
      <c r="F127" s="3198" t="s">
        <v>3058</v>
      </c>
      <c r="G127" s="3198" t="s">
        <v>3059</v>
      </c>
      <c r="H127" s="3198" t="s">
        <v>3218</v>
      </c>
      <c r="I127" s="3198" t="s">
        <v>2814</v>
      </c>
      <c r="J127" s="3198">
        <v>15.3</v>
      </c>
      <c r="K127" s="3198">
        <v>300</v>
      </c>
      <c r="L127" s="3198" t="s">
        <v>2814</v>
      </c>
      <c r="M127" s="3198" t="s">
        <v>3225</v>
      </c>
      <c r="N127" s="3198" t="s">
        <v>3062</v>
      </c>
      <c r="O127">
        <f t="shared" si="1"/>
        <v>1500</v>
      </c>
    </row>
    <row r="128" spans="1:15">
      <c r="A128" s="3198" t="s">
        <v>3055</v>
      </c>
      <c r="B128" s="3198" t="s">
        <v>3056</v>
      </c>
      <c r="C128" s="3198" t="s">
        <v>3057</v>
      </c>
      <c r="D128" s="3198">
        <v>100</v>
      </c>
      <c r="E128" s="3198">
        <v>500</v>
      </c>
      <c r="F128" s="3198" t="s">
        <v>3058</v>
      </c>
      <c r="G128" s="3198" t="s">
        <v>3059</v>
      </c>
      <c r="H128" s="3198" t="s">
        <v>3218</v>
      </c>
      <c r="I128" s="3198" t="s">
        <v>2814</v>
      </c>
      <c r="J128" s="3198">
        <v>15</v>
      </c>
      <c r="K128" s="3198">
        <v>300</v>
      </c>
      <c r="L128" s="3198" t="s">
        <v>2814</v>
      </c>
      <c r="M128" s="3198" t="s">
        <v>3226</v>
      </c>
      <c r="N128" s="3198" t="s">
        <v>3062</v>
      </c>
      <c r="O128">
        <f t="shared" si="1"/>
        <v>1500</v>
      </c>
    </row>
    <row r="129" spans="1:15">
      <c r="A129" s="3198" t="s">
        <v>3055</v>
      </c>
      <c r="B129" s="3198" t="s">
        <v>3056</v>
      </c>
      <c r="C129" s="3198" t="s">
        <v>3057</v>
      </c>
      <c r="D129" s="3198">
        <v>101</v>
      </c>
      <c r="E129" s="3198">
        <v>505</v>
      </c>
      <c r="F129" s="3198" t="s">
        <v>3058</v>
      </c>
      <c r="G129" s="3198" t="s">
        <v>3059</v>
      </c>
      <c r="H129" s="3198" t="s">
        <v>3218</v>
      </c>
      <c r="I129" s="3198" t="s">
        <v>2814</v>
      </c>
      <c r="J129" s="3198">
        <v>15.15</v>
      </c>
      <c r="K129" s="3198">
        <v>300</v>
      </c>
      <c r="L129" s="3198" t="s">
        <v>2814</v>
      </c>
      <c r="M129" s="3198" t="s">
        <v>3227</v>
      </c>
      <c r="N129" s="3198" t="s">
        <v>3062</v>
      </c>
      <c r="O129">
        <f t="shared" si="1"/>
        <v>1500</v>
      </c>
    </row>
    <row r="130" spans="1:15">
      <c r="A130" s="3198" t="s">
        <v>3081</v>
      </c>
      <c r="B130" s="3198" t="s">
        <v>3056</v>
      </c>
      <c r="C130" s="3198" t="s">
        <v>3057</v>
      </c>
      <c r="D130" s="3198">
        <v>102</v>
      </c>
      <c r="E130" s="3198">
        <v>510</v>
      </c>
      <c r="F130" s="3198" t="s">
        <v>3058</v>
      </c>
      <c r="G130" s="3198" t="s">
        <v>3059</v>
      </c>
      <c r="H130" s="3198" t="s">
        <v>3218</v>
      </c>
      <c r="I130" s="3198" t="s">
        <v>2814</v>
      </c>
      <c r="J130" s="3198">
        <v>15.3</v>
      </c>
      <c r="K130" s="3198">
        <v>300</v>
      </c>
      <c r="L130" s="3198" t="s">
        <v>2814</v>
      </c>
      <c r="M130" s="3198" t="s">
        <v>3228</v>
      </c>
      <c r="N130" s="3198" t="s">
        <v>3062</v>
      </c>
      <c r="O130">
        <f t="shared" si="1"/>
        <v>1500</v>
      </c>
    </row>
    <row r="131" spans="1:15">
      <c r="A131" s="3198" t="s">
        <v>3081</v>
      </c>
      <c r="B131" s="3198" t="s">
        <v>3056</v>
      </c>
      <c r="C131" s="3198" t="s">
        <v>3057</v>
      </c>
      <c r="D131" s="3198">
        <v>99</v>
      </c>
      <c r="E131" s="3198">
        <v>495</v>
      </c>
      <c r="F131" s="3198" t="s">
        <v>3058</v>
      </c>
      <c r="G131" s="3198" t="s">
        <v>3059</v>
      </c>
      <c r="H131" s="3198" t="s">
        <v>3218</v>
      </c>
      <c r="I131" s="3198" t="s">
        <v>2814</v>
      </c>
      <c r="J131" s="3198">
        <v>14.84</v>
      </c>
      <c r="K131" s="3198">
        <v>300</v>
      </c>
      <c r="L131" s="3198" t="s">
        <v>2814</v>
      </c>
      <c r="M131" s="3198" t="s">
        <v>3229</v>
      </c>
      <c r="N131" s="3198" t="s">
        <v>3062</v>
      </c>
      <c r="O131">
        <f t="shared" ref="O131:O194" si="2">ROUND(J131/D131*10000,0)</f>
        <v>1499</v>
      </c>
    </row>
    <row r="132" spans="1:15">
      <c r="A132" s="3198" t="s">
        <v>3081</v>
      </c>
      <c r="B132" s="3198" t="s">
        <v>3056</v>
      </c>
      <c r="C132" s="3198" t="s">
        <v>3057</v>
      </c>
      <c r="D132" s="3198">
        <v>102</v>
      </c>
      <c r="E132" s="3198">
        <v>510</v>
      </c>
      <c r="F132" s="3198" t="s">
        <v>3058</v>
      </c>
      <c r="G132" s="3198" t="s">
        <v>3059</v>
      </c>
      <c r="H132" s="3198" t="s">
        <v>3218</v>
      </c>
      <c r="I132" s="3198" t="s">
        <v>2814</v>
      </c>
      <c r="J132" s="3198">
        <v>15.3</v>
      </c>
      <c r="K132" s="3198">
        <v>300</v>
      </c>
      <c r="L132" s="3198" t="s">
        <v>2814</v>
      </c>
      <c r="M132" s="3198" t="s">
        <v>3230</v>
      </c>
      <c r="N132" s="3198" t="s">
        <v>3062</v>
      </c>
      <c r="O132">
        <f t="shared" si="2"/>
        <v>1500</v>
      </c>
    </row>
    <row r="133" spans="1:15">
      <c r="A133" s="3198" t="s">
        <v>3081</v>
      </c>
      <c r="B133" s="3198" t="s">
        <v>3056</v>
      </c>
      <c r="C133" s="3198" t="s">
        <v>3057</v>
      </c>
      <c r="D133" s="3198">
        <v>113</v>
      </c>
      <c r="E133" s="3198">
        <v>565</v>
      </c>
      <c r="F133" s="3198" t="s">
        <v>3058</v>
      </c>
      <c r="G133" s="3198" t="s">
        <v>3059</v>
      </c>
      <c r="H133" s="3198" t="s">
        <v>3218</v>
      </c>
      <c r="I133" s="3198" t="s">
        <v>2814</v>
      </c>
      <c r="J133" s="3198">
        <v>16.940000000000001</v>
      </c>
      <c r="K133" s="3198">
        <v>300</v>
      </c>
      <c r="L133" s="3198" t="s">
        <v>2814</v>
      </c>
      <c r="M133" s="3198" t="s">
        <v>3231</v>
      </c>
      <c r="N133" s="3198" t="s">
        <v>3062</v>
      </c>
      <c r="O133">
        <f t="shared" si="2"/>
        <v>1499</v>
      </c>
    </row>
    <row r="134" spans="1:15">
      <c r="A134" s="3198" t="s">
        <v>3055</v>
      </c>
      <c r="B134" s="3198" t="s">
        <v>3056</v>
      </c>
      <c r="C134" s="3198" t="s">
        <v>3057</v>
      </c>
      <c r="D134" s="3198">
        <v>102</v>
      </c>
      <c r="E134" s="3198">
        <v>510</v>
      </c>
      <c r="F134" s="3198" t="s">
        <v>3058</v>
      </c>
      <c r="G134" s="3198" t="s">
        <v>3059</v>
      </c>
      <c r="H134" s="3198" t="s">
        <v>3218</v>
      </c>
      <c r="I134" s="3198" t="s">
        <v>2814</v>
      </c>
      <c r="J134" s="3198">
        <v>15.3</v>
      </c>
      <c r="K134" s="3198">
        <v>300</v>
      </c>
      <c r="L134" s="3198" t="s">
        <v>2814</v>
      </c>
      <c r="M134" s="3198" t="s">
        <v>3232</v>
      </c>
      <c r="N134" s="3198" t="s">
        <v>3062</v>
      </c>
      <c r="O134">
        <f t="shared" si="2"/>
        <v>1500</v>
      </c>
    </row>
    <row r="135" spans="1:15">
      <c r="A135" s="3198" t="s">
        <v>3081</v>
      </c>
      <c r="B135" s="3198" t="s">
        <v>3056</v>
      </c>
      <c r="C135" s="3198" t="s">
        <v>3057</v>
      </c>
      <c r="D135" s="3198">
        <v>100</v>
      </c>
      <c r="E135" s="3198">
        <v>500</v>
      </c>
      <c r="F135" s="3198" t="s">
        <v>3058</v>
      </c>
      <c r="G135" s="3198" t="s">
        <v>3059</v>
      </c>
      <c r="H135" s="3198" t="s">
        <v>3218</v>
      </c>
      <c r="I135" s="3198" t="s">
        <v>2814</v>
      </c>
      <c r="J135" s="3198">
        <v>15</v>
      </c>
      <c r="K135" s="3198">
        <v>300</v>
      </c>
      <c r="L135" s="3198" t="s">
        <v>2814</v>
      </c>
      <c r="M135" s="3198" t="s">
        <v>3233</v>
      </c>
      <c r="N135" s="3198" t="s">
        <v>3062</v>
      </c>
      <c r="O135">
        <f t="shared" si="2"/>
        <v>1500</v>
      </c>
    </row>
    <row r="136" spans="1:15">
      <c r="A136" s="3198" t="s">
        <v>3055</v>
      </c>
      <c r="B136" s="3198" t="s">
        <v>3056</v>
      </c>
      <c r="C136" s="3198" t="s">
        <v>3057</v>
      </c>
      <c r="D136" s="3198">
        <v>96</v>
      </c>
      <c r="E136" s="3198">
        <v>480</v>
      </c>
      <c r="F136" s="3198" t="s">
        <v>3058</v>
      </c>
      <c r="G136" s="3198" t="s">
        <v>3059</v>
      </c>
      <c r="H136" s="3198" t="s">
        <v>3218</v>
      </c>
      <c r="I136" s="3198" t="s">
        <v>2814</v>
      </c>
      <c r="J136" s="3198">
        <v>14.4</v>
      </c>
      <c r="K136" s="3198">
        <v>300</v>
      </c>
      <c r="L136" s="3198" t="s">
        <v>2814</v>
      </c>
      <c r="M136" s="3198" t="s">
        <v>3234</v>
      </c>
      <c r="N136" s="3198" t="s">
        <v>3062</v>
      </c>
      <c r="O136">
        <f t="shared" si="2"/>
        <v>1500</v>
      </c>
    </row>
    <row r="137" spans="1:15">
      <c r="A137" s="3198" t="s">
        <v>3235</v>
      </c>
      <c r="B137" s="3198" t="s">
        <v>3056</v>
      </c>
      <c r="C137" s="3198" t="s">
        <v>3057</v>
      </c>
      <c r="D137" s="3198">
        <v>16741</v>
      </c>
      <c r="E137" s="3198">
        <v>33482</v>
      </c>
      <c r="F137" s="3198" t="s">
        <v>3236</v>
      </c>
      <c r="G137" s="3198" t="s">
        <v>3059</v>
      </c>
      <c r="H137" s="3198" t="s">
        <v>3237</v>
      </c>
      <c r="I137" s="3198" t="s">
        <v>2814</v>
      </c>
      <c r="J137" s="3198">
        <v>3013.38</v>
      </c>
      <c r="K137" s="3198">
        <v>900</v>
      </c>
      <c r="L137" s="3198" t="s">
        <v>2814</v>
      </c>
      <c r="M137" s="3198" t="s">
        <v>3238</v>
      </c>
      <c r="N137" s="3198" t="s">
        <v>3062</v>
      </c>
      <c r="O137">
        <f t="shared" si="2"/>
        <v>1800</v>
      </c>
    </row>
    <row r="138" spans="1:15">
      <c r="A138" s="3198" t="s">
        <v>3239</v>
      </c>
      <c r="B138" s="3198" t="s">
        <v>3056</v>
      </c>
      <c r="C138" s="3198" t="s">
        <v>3057</v>
      </c>
      <c r="D138" s="3198">
        <v>833</v>
      </c>
      <c r="E138" s="3198">
        <v>1499.4</v>
      </c>
      <c r="F138" s="3198" t="s">
        <v>3240</v>
      </c>
      <c r="G138" s="3198" t="s">
        <v>3059</v>
      </c>
      <c r="H138" s="3198" t="s">
        <v>3241</v>
      </c>
      <c r="I138" s="3198">
        <v>60</v>
      </c>
      <c r="J138" s="3198">
        <v>74.959999999999994</v>
      </c>
      <c r="K138" s="3198">
        <v>500</v>
      </c>
      <c r="L138" s="3198">
        <v>24.95</v>
      </c>
      <c r="M138" s="3198" t="s">
        <v>3242</v>
      </c>
      <c r="N138" s="3198" t="s">
        <v>3062</v>
      </c>
      <c r="O138">
        <f t="shared" si="2"/>
        <v>900</v>
      </c>
    </row>
    <row r="139" spans="1:15">
      <c r="A139" s="3198" t="s">
        <v>3243</v>
      </c>
      <c r="B139" s="3198" t="s">
        <v>3056</v>
      </c>
      <c r="C139" s="3198" t="s">
        <v>3057</v>
      </c>
      <c r="D139" s="3198">
        <v>8130</v>
      </c>
      <c r="E139" s="3198">
        <v>12195</v>
      </c>
      <c r="F139" s="3198" t="s">
        <v>3244</v>
      </c>
      <c r="G139" s="3198" t="s">
        <v>3059</v>
      </c>
      <c r="H139" s="3198" t="s">
        <v>3241</v>
      </c>
      <c r="I139" s="3198" t="s">
        <v>2814</v>
      </c>
      <c r="J139" s="3198">
        <v>256.10000000000002</v>
      </c>
      <c r="K139" s="3198">
        <v>210</v>
      </c>
      <c r="L139" s="3198" t="s">
        <v>2814</v>
      </c>
      <c r="M139" s="3198" t="s">
        <v>3245</v>
      </c>
      <c r="N139" s="3198" t="s">
        <v>3062</v>
      </c>
      <c r="O139">
        <f t="shared" si="2"/>
        <v>315</v>
      </c>
    </row>
    <row r="140" spans="1:15">
      <c r="A140" s="3198" t="s">
        <v>3243</v>
      </c>
      <c r="B140" s="3198" t="s">
        <v>3056</v>
      </c>
      <c r="C140" s="3198" t="s">
        <v>3057</v>
      </c>
      <c r="D140" s="3198">
        <v>2325</v>
      </c>
      <c r="E140" s="3198">
        <v>3487.5</v>
      </c>
      <c r="F140" s="3198" t="s">
        <v>3244</v>
      </c>
      <c r="G140" s="3198" t="s">
        <v>3059</v>
      </c>
      <c r="H140" s="3198" t="s">
        <v>3241</v>
      </c>
      <c r="I140" s="3198" t="s">
        <v>2814</v>
      </c>
      <c r="J140" s="3198">
        <v>73.23</v>
      </c>
      <c r="K140" s="3198">
        <v>210</v>
      </c>
      <c r="L140" s="3198" t="s">
        <v>2814</v>
      </c>
      <c r="M140" s="3198" t="s">
        <v>3245</v>
      </c>
      <c r="N140" s="3198" t="s">
        <v>3062</v>
      </c>
      <c r="O140">
        <f t="shared" si="2"/>
        <v>315</v>
      </c>
    </row>
    <row r="141" spans="1:15" s="3200" customFormat="1">
      <c r="A141" s="3196" t="s">
        <v>3037</v>
      </c>
      <c r="B141" s="3196" t="s">
        <v>3056</v>
      </c>
      <c r="C141" s="3196" t="s">
        <v>3057</v>
      </c>
      <c r="D141" s="3196">
        <v>31220</v>
      </c>
      <c r="E141" s="3196">
        <v>53074</v>
      </c>
      <c r="F141" s="3196" t="s">
        <v>3174</v>
      </c>
      <c r="G141" s="3196" t="s">
        <v>3059</v>
      </c>
      <c r="H141" s="3196" t="s">
        <v>3246</v>
      </c>
      <c r="I141" s="3196" t="s">
        <v>2814</v>
      </c>
      <c r="J141" s="3196">
        <v>8429.39</v>
      </c>
      <c r="K141" s="3196">
        <v>1588.24</v>
      </c>
      <c r="L141" s="3196" t="s">
        <v>2814</v>
      </c>
      <c r="M141" s="3196" t="s">
        <v>3247</v>
      </c>
      <c r="N141" s="3196" t="s">
        <v>3062</v>
      </c>
      <c r="O141">
        <f t="shared" si="2"/>
        <v>2700</v>
      </c>
    </row>
    <row r="142" spans="1:15">
      <c r="A142" s="3198" t="s">
        <v>3248</v>
      </c>
      <c r="B142" s="3198" t="s">
        <v>3056</v>
      </c>
      <c r="C142" s="3198" t="s">
        <v>3057</v>
      </c>
      <c r="D142" s="3198">
        <v>17261</v>
      </c>
      <c r="E142" s="3198">
        <v>25891.5</v>
      </c>
      <c r="F142" s="3198" t="s">
        <v>3244</v>
      </c>
      <c r="G142" s="3198" t="s">
        <v>3059</v>
      </c>
      <c r="H142" s="3198" t="s">
        <v>3246</v>
      </c>
      <c r="I142" s="3198" t="s">
        <v>2814</v>
      </c>
      <c r="J142" s="3198">
        <v>5359.53</v>
      </c>
      <c r="K142" s="3198">
        <v>2070</v>
      </c>
      <c r="L142" s="3198" t="s">
        <v>2814</v>
      </c>
      <c r="M142" s="3198" t="s">
        <v>3247</v>
      </c>
      <c r="N142" s="3198" t="s">
        <v>3062</v>
      </c>
      <c r="O142">
        <f t="shared" si="2"/>
        <v>3105</v>
      </c>
    </row>
    <row r="143" spans="1:15">
      <c r="A143" s="3198" t="s">
        <v>3171</v>
      </c>
      <c r="B143" s="3198" t="s">
        <v>3056</v>
      </c>
      <c r="C143" s="3198" t="s">
        <v>3057</v>
      </c>
      <c r="D143" s="3198">
        <v>4254</v>
      </c>
      <c r="E143" s="3198">
        <v>21695.4</v>
      </c>
      <c r="F143" s="3198" t="s">
        <v>3249</v>
      </c>
      <c r="G143" s="3198" t="s">
        <v>3059</v>
      </c>
      <c r="H143" s="3198" t="s">
        <v>3246</v>
      </c>
      <c r="I143" s="3198" t="s">
        <v>2814</v>
      </c>
      <c r="J143" s="3198">
        <v>893.34</v>
      </c>
      <c r="K143" s="3198">
        <v>411.75</v>
      </c>
      <c r="L143" s="3198" t="s">
        <v>2814</v>
      </c>
      <c r="M143" s="3198" t="s">
        <v>3250</v>
      </c>
      <c r="N143" s="3198" t="s">
        <v>3062</v>
      </c>
      <c r="O143">
        <f t="shared" si="2"/>
        <v>2100</v>
      </c>
    </row>
    <row r="144" spans="1:15" s="3209" customFormat="1">
      <c r="A144" s="3221" t="s">
        <v>3336</v>
      </c>
      <c r="B144" s="3208" t="s">
        <v>3056</v>
      </c>
      <c r="C144" s="3208" t="s">
        <v>3057</v>
      </c>
      <c r="D144" s="3208">
        <v>16584</v>
      </c>
      <c r="E144" s="3208">
        <v>28192.799999999999</v>
      </c>
      <c r="F144" s="3208" t="s">
        <v>3174</v>
      </c>
      <c r="G144" s="3208" t="s">
        <v>3059</v>
      </c>
      <c r="H144" s="3208" t="s">
        <v>3246</v>
      </c>
      <c r="I144" s="3208" t="s">
        <v>2814</v>
      </c>
      <c r="J144" s="3208">
        <v>4975.1899999999996</v>
      </c>
      <c r="K144" s="3208">
        <v>1764.71</v>
      </c>
      <c r="L144" s="3208" t="s">
        <v>2814</v>
      </c>
      <c r="M144" s="3208" t="s">
        <v>3247</v>
      </c>
      <c r="N144" s="3208" t="s">
        <v>3062</v>
      </c>
      <c r="O144" s="3209">
        <f t="shared" si="2"/>
        <v>3000</v>
      </c>
    </row>
    <row r="145" spans="1:15" s="3200" customFormat="1">
      <c r="A145" s="3196" t="s">
        <v>3039</v>
      </c>
      <c r="B145" s="3196" t="s">
        <v>3056</v>
      </c>
      <c r="C145" s="3196" t="s">
        <v>3057</v>
      </c>
      <c r="D145" s="3196">
        <v>54632</v>
      </c>
      <c r="E145" s="3196">
        <v>92874.4</v>
      </c>
      <c r="F145" s="3196" t="s">
        <v>3174</v>
      </c>
      <c r="G145" s="3196" t="s">
        <v>3059</v>
      </c>
      <c r="H145" s="3196" t="s">
        <v>3246</v>
      </c>
      <c r="I145" s="3196" t="s">
        <v>2814</v>
      </c>
      <c r="J145" s="3196">
        <v>14750.63</v>
      </c>
      <c r="K145" s="3196">
        <v>1588.24</v>
      </c>
      <c r="L145" s="3196" t="s">
        <v>2814</v>
      </c>
      <c r="M145" s="3196" t="s">
        <v>3247</v>
      </c>
      <c r="N145" s="3196" t="s">
        <v>3062</v>
      </c>
      <c r="O145">
        <f t="shared" si="2"/>
        <v>2700</v>
      </c>
    </row>
    <row r="146" spans="1:15">
      <c r="A146" s="3198" t="s">
        <v>3252</v>
      </c>
      <c r="B146" s="3198" t="s">
        <v>3056</v>
      </c>
      <c r="C146" s="3198" t="s">
        <v>3057</v>
      </c>
      <c r="D146" s="3198">
        <v>28672</v>
      </c>
      <c r="E146" s="3198">
        <v>17203.2</v>
      </c>
      <c r="F146" s="3198" t="s">
        <v>3253</v>
      </c>
      <c r="G146" s="3198" t="s">
        <v>3059</v>
      </c>
      <c r="H146" s="3198" t="s">
        <v>3254</v>
      </c>
      <c r="I146" s="3198" t="s">
        <v>2814</v>
      </c>
      <c r="J146" s="3198">
        <v>1720.31</v>
      </c>
      <c r="K146" s="3198">
        <v>1000</v>
      </c>
      <c r="L146" s="3198" t="s">
        <v>2814</v>
      </c>
      <c r="M146" s="3198" t="s">
        <v>3255</v>
      </c>
      <c r="N146" s="3198" t="s">
        <v>3062</v>
      </c>
      <c r="O146">
        <f t="shared" si="2"/>
        <v>600</v>
      </c>
    </row>
    <row r="147" spans="1:15">
      <c r="A147" s="3198" t="s">
        <v>3256</v>
      </c>
      <c r="B147" s="3198" t="s">
        <v>3056</v>
      </c>
      <c r="C147" s="3198" t="s">
        <v>3057</v>
      </c>
      <c r="D147" s="3198">
        <v>55506</v>
      </c>
      <c r="E147" s="3198">
        <v>33303.599999999999</v>
      </c>
      <c r="F147" s="3198" t="s">
        <v>3253</v>
      </c>
      <c r="G147" s="3198" t="s">
        <v>3059</v>
      </c>
      <c r="H147" s="3198" t="s">
        <v>3254</v>
      </c>
      <c r="I147" s="3198" t="s">
        <v>2814</v>
      </c>
      <c r="J147" s="3198">
        <v>3330.36</v>
      </c>
      <c r="K147" s="3198">
        <v>1000</v>
      </c>
      <c r="L147" s="3198" t="s">
        <v>2814</v>
      </c>
      <c r="M147" s="3198" t="s">
        <v>3255</v>
      </c>
      <c r="N147" s="3198" t="s">
        <v>3062</v>
      </c>
      <c r="O147">
        <f t="shared" si="2"/>
        <v>600</v>
      </c>
    </row>
    <row r="148" spans="1:15">
      <c r="A148" s="3198" t="s">
        <v>3257</v>
      </c>
      <c r="B148" s="3198" t="s">
        <v>3056</v>
      </c>
      <c r="C148" s="3198" t="s">
        <v>3057</v>
      </c>
      <c r="D148" s="3198">
        <v>66954</v>
      </c>
      <c r="E148" s="3198">
        <v>40172.400000000001</v>
      </c>
      <c r="F148" s="3198" t="s">
        <v>3253</v>
      </c>
      <c r="G148" s="3198" t="s">
        <v>3059</v>
      </c>
      <c r="H148" s="3198" t="s">
        <v>3254</v>
      </c>
      <c r="I148" s="3198" t="s">
        <v>2814</v>
      </c>
      <c r="J148" s="3198">
        <v>4017.23</v>
      </c>
      <c r="K148" s="3198">
        <v>1000</v>
      </c>
      <c r="L148" s="3198" t="s">
        <v>2814</v>
      </c>
      <c r="M148" s="3198" t="s">
        <v>3255</v>
      </c>
      <c r="N148" s="3198" t="s">
        <v>3062</v>
      </c>
      <c r="O148">
        <f t="shared" si="2"/>
        <v>600</v>
      </c>
    </row>
    <row r="149" spans="1:15">
      <c r="A149" s="3198" t="s">
        <v>3258</v>
      </c>
      <c r="B149" s="3198" t="s">
        <v>3056</v>
      </c>
      <c r="C149" s="3198" t="s">
        <v>3057</v>
      </c>
      <c r="D149" s="3198">
        <v>67424</v>
      </c>
      <c r="E149" s="3198">
        <v>40454.400000000001</v>
      </c>
      <c r="F149" s="3198" t="s">
        <v>3253</v>
      </c>
      <c r="G149" s="3198" t="s">
        <v>3059</v>
      </c>
      <c r="H149" s="3198" t="s">
        <v>3254</v>
      </c>
      <c r="I149" s="3198" t="s">
        <v>2814</v>
      </c>
      <c r="J149" s="3198">
        <v>4045.44</v>
      </c>
      <c r="K149" s="3198">
        <v>1000</v>
      </c>
      <c r="L149" s="3198" t="s">
        <v>2814</v>
      </c>
      <c r="M149" s="3198" t="s">
        <v>3255</v>
      </c>
      <c r="N149" s="3198" t="s">
        <v>3062</v>
      </c>
      <c r="O149">
        <f t="shared" si="2"/>
        <v>600</v>
      </c>
    </row>
    <row r="150" spans="1:15">
      <c r="A150" s="3198" t="s">
        <v>3259</v>
      </c>
      <c r="B150" s="3198" t="s">
        <v>3056</v>
      </c>
      <c r="C150" s="3198" t="s">
        <v>3057</v>
      </c>
      <c r="D150" s="3198">
        <v>63963</v>
      </c>
      <c r="E150" s="3198">
        <v>38377.800000000003</v>
      </c>
      <c r="F150" s="3198" t="s">
        <v>3253</v>
      </c>
      <c r="G150" s="3198" t="s">
        <v>3059</v>
      </c>
      <c r="H150" s="3198" t="s">
        <v>3254</v>
      </c>
      <c r="I150" s="3198" t="s">
        <v>2814</v>
      </c>
      <c r="J150" s="3198">
        <v>3837.78</v>
      </c>
      <c r="K150" s="3198">
        <v>1000</v>
      </c>
      <c r="L150" s="3198" t="s">
        <v>2814</v>
      </c>
      <c r="M150" s="3198" t="s">
        <v>3255</v>
      </c>
      <c r="N150" s="3198" t="s">
        <v>3062</v>
      </c>
      <c r="O150">
        <f t="shared" si="2"/>
        <v>600</v>
      </c>
    </row>
    <row r="151" spans="1:15">
      <c r="A151" s="3198" t="s">
        <v>3260</v>
      </c>
      <c r="B151" s="3198" t="s">
        <v>3056</v>
      </c>
      <c r="C151" s="3198" t="s">
        <v>3057</v>
      </c>
      <c r="D151" s="3198">
        <v>69511</v>
      </c>
      <c r="E151" s="3198">
        <v>41706.6</v>
      </c>
      <c r="F151" s="3198" t="s">
        <v>3253</v>
      </c>
      <c r="G151" s="3198" t="s">
        <v>3059</v>
      </c>
      <c r="H151" s="3198" t="s">
        <v>3254</v>
      </c>
      <c r="I151" s="3198" t="s">
        <v>2814</v>
      </c>
      <c r="J151" s="3198">
        <v>4170.6499999999996</v>
      </c>
      <c r="K151" s="3198">
        <v>1000</v>
      </c>
      <c r="L151" s="3198" t="s">
        <v>2814</v>
      </c>
      <c r="M151" s="3198" t="s">
        <v>3255</v>
      </c>
      <c r="N151" s="3198" t="s">
        <v>3062</v>
      </c>
      <c r="O151">
        <f t="shared" si="2"/>
        <v>600</v>
      </c>
    </row>
    <row r="152" spans="1:15">
      <c r="A152" s="3199" t="s">
        <v>3261</v>
      </c>
      <c r="B152" s="3199" t="s">
        <v>3056</v>
      </c>
      <c r="C152" s="3199" t="s">
        <v>3057</v>
      </c>
      <c r="D152" s="3199">
        <v>66835</v>
      </c>
      <c r="E152" s="3199">
        <v>40101</v>
      </c>
      <c r="F152" s="3199" t="s">
        <v>3253</v>
      </c>
      <c r="G152" s="3199" t="s">
        <v>3059</v>
      </c>
      <c r="H152" s="3199" t="s">
        <v>3254</v>
      </c>
      <c r="I152" s="3199" t="s">
        <v>2814</v>
      </c>
      <c r="J152" s="3199">
        <v>4010.09</v>
      </c>
      <c r="K152" s="3199">
        <v>1000</v>
      </c>
      <c r="L152" s="3199" t="s">
        <v>2814</v>
      </c>
      <c r="M152" s="3199" t="s">
        <v>3255</v>
      </c>
      <c r="N152" s="3199" t="s">
        <v>3062</v>
      </c>
      <c r="O152">
        <f t="shared" si="2"/>
        <v>600</v>
      </c>
    </row>
    <row r="153" spans="1:15">
      <c r="A153" s="3199" t="s">
        <v>3262</v>
      </c>
      <c r="B153" s="3199" t="s">
        <v>3056</v>
      </c>
      <c r="C153" s="3199" t="s">
        <v>3057</v>
      </c>
      <c r="D153" s="3199">
        <v>38542</v>
      </c>
      <c r="E153" s="3199">
        <v>23125.200000000001</v>
      </c>
      <c r="F153" s="3199" t="s">
        <v>3253</v>
      </c>
      <c r="G153" s="3199" t="s">
        <v>3059</v>
      </c>
      <c r="H153" s="3199" t="s">
        <v>3254</v>
      </c>
      <c r="I153" s="3199" t="s">
        <v>2814</v>
      </c>
      <c r="J153" s="3199">
        <v>2312.5100000000002</v>
      </c>
      <c r="K153" s="3199">
        <v>1000</v>
      </c>
      <c r="L153" s="3199" t="s">
        <v>2814</v>
      </c>
      <c r="M153" s="3199" t="s">
        <v>3255</v>
      </c>
      <c r="N153" s="3199" t="s">
        <v>3062</v>
      </c>
      <c r="O153">
        <f t="shared" si="2"/>
        <v>600</v>
      </c>
    </row>
    <row r="154" spans="1:15">
      <c r="A154" s="3199" t="s">
        <v>3263</v>
      </c>
      <c r="B154" s="3199" t="s">
        <v>3056</v>
      </c>
      <c r="C154" s="3199" t="s">
        <v>3057</v>
      </c>
      <c r="D154" s="3199">
        <v>58508</v>
      </c>
      <c r="E154" s="3199">
        <v>35104.800000000003</v>
      </c>
      <c r="F154" s="3199" t="s">
        <v>3253</v>
      </c>
      <c r="G154" s="3199" t="s">
        <v>3059</v>
      </c>
      <c r="H154" s="3199" t="s">
        <v>3254</v>
      </c>
      <c r="I154" s="3199" t="s">
        <v>2814</v>
      </c>
      <c r="J154" s="3199">
        <v>3510.48</v>
      </c>
      <c r="K154" s="3199">
        <v>1000</v>
      </c>
      <c r="L154" s="3199" t="s">
        <v>2814</v>
      </c>
      <c r="M154" s="3199" t="s">
        <v>3255</v>
      </c>
      <c r="N154" s="3199" t="s">
        <v>3062</v>
      </c>
      <c r="O154">
        <f t="shared" si="2"/>
        <v>600</v>
      </c>
    </row>
    <row r="155" spans="1:15">
      <c r="A155" s="3199" t="s">
        <v>3264</v>
      </c>
      <c r="B155" s="3199" t="s">
        <v>3056</v>
      </c>
      <c r="C155" s="3199" t="s">
        <v>3057</v>
      </c>
      <c r="D155" s="3199">
        <v>34503</v>
      </c>
      <c r="E155" s="3199">
        <v>20701.8</v>
      </c>
      <c r="F155" s="3199" t="s">
        <v>3253</v>
      </c>
      <c r="G155" s="3199" t="s">
        <v>3059</v>
      </c>
      <c r="H155" s="3199" t="s">
        <v>3254</v>
      </c>
      <c r="I155" s="3199" t="s">
        <v>2814</v>
      </c>
      <c r="J155" s="3199">
        <v>2070.17</v>
      </c>
      <c r="K155" s="3199">
        <v>1000</v>
      </c>
      <c r="L155" s="3199" t="s">
        <v>2814</v>
      </c>
      <c r="M155" s="3199" t="s">
        <v>3255</v>
      </c>
      <c r="N155" s="3199" t="s">
        <v>3062</v>
      </c>
      <c r="O155">
        <f t="shared" si="2"/>
        <v>600</v>
      </c>
    </row>
    <row r="156" spans="1:15">
      <c r="A156" s="3199" t="s">
        <v>3265</v>
      </c>
      <c r="B156" s="3199" t="s">
        <v>3056</v>
      </c>
      <c r="C156" s="3199" t="s">
        <v>3057</v>
      </c>
      <c r="D156" s="3199">
        <v>64978</v>
      </c>
      <c r="E156" s="3199">
        <v>38986.800000000003</v>
      </c>
      <c r="F156" s="3199" t="s">
        <v>3253</v>
      </c>
      <c r="G156" s="3199" t="s">
        <v>3059</v>
      </c>
      <c r="H156" s="3199" t="s">
        <v>3254</v>
      </c>
      <c r="I156" s="3199" t="s">
        <v>2814</v>
      </c>
      <c r="J156" s="3199">
        <v>3898.67</v>
      </c>
      <c r="K156" s="3199">
        <v>1000</v>
      </c>
      <c r="L156" s="3199" t="s">
        <v>2814</v>
      </c>
      <c r="M156" s="3199" t="s">
        <v>3255</v>
      </c>
      <c r="N156" s="3199" t="s">
        <v>3062</v>
      </c>
      <c r="O156">
        <f t="shared" si="2"/>
        <v>600</v>
      </c>
    </row>
    <row r="157" spans="1:15">
      <c r="A157" s="3199" t="s">
        <v>3266</v>
      </c>
      <c r="B157" s="3199" t="s">
        <v>3056</v>
      </c>
      <c r="C157" s="3199" t="s">
        <v>3057</v>
      </c>
      <c r="D157" s="3199">
        <v>3333</v>
      </c>
      <c r="E157" s="3199">
        <v>333.3</v>
      </c>
      <c r="F157" s="3199" t="s">
        <v>3184</v>
      </c>
      <c r="G157" s="3199" t="s">
        <v>3059</v>
      </c>
      <c r="H157" s="3199" t="s">
        <v>3267</v>
      </c>
      <c r="I157" s="3199">
        <v>35</v>
      </c>
      <c r="J157" s="3199">
        <v>174.97</v>
      </c>
      <c r="K157" s="3199">
        <v>5249.92</v>
      </c>
      <c r="L157" s="3199">
        <v>399.94</v>
      </c>
      <c r="M157" s="3199" t="s">
        <v>3268</v>
      </c>
      <c r="N157" s="3199" t="s">
        <v>3062</v>
      </c>
      <c r="O157">
        <f t="shared" si="2"/>
        <v>525</v>
      </c>
    </row>
    <row r="158" spans="1:15">
      <c r="A158" s="3199" t="s">
        <v>3269</v>
      </c>
      <c r="B158" s="3199" t="s">
        <v>3056</v>
      </c>
      <c r="C158" s="3199" t="s">
        <v>3057</v>
      </c>
      <c r="D158" s="3199">
        <v>20018</v>
      </c>
      <c r="E158" s="3199">
        <v>34030.6</v>
      </c>
      <c r="F158" s="3199" t="s">
        <v>3174</v>
      </c>
      <c r="G158" s="3199" t="s">
        <v>3059</v>
      </c>
      <c r="H158" s="3199" t="s">
        <v>3270</v>
      </c>
      <c r="I158" s="3199" t="s">
        <v>2814</v>
      </c>
      <c r="J158" s="3199">
        <v>3753.38</v>
      </c>
      <c r="K158" s="3199">
        <v>1102.94</v>
      </c>
      <c r="L158" s="3199" t="s">
        <v>2814</v>
      </c>
      <c r="M158" s="3199" t="s">
        <v>3255</v>
      </c>
      <c r="N158" s="3199" t="s">
        <v>3062</v>
      </c>
      <c r="O158">
        <f t="shared" si="2"/>
        <v>1875</v>
      </c>
    </row>
    <row r="159" spans="1:15">
      <c r="A159" s="3199" t="s">
        <v>3248</v>
      </c>
      <c r="B159" s="3199" t="s">
        <v>3056</v>
      </c>
      <c r="C159" s="3199" t="s">
        <v>3057</v>
      </c>
      <c r="D159" s="3199">
        <v>2336</v>
      </c>
      <c r="E159" s="3199">
        <v>9811.2000000000007</v>
      </c>
      <c r="F159" s="3199" t="s">
        <v>3271</v>
      </c>
      <c r="G159" s="3199" t="s">
        <v>3059</v>
      </c>
      <c r="H159" s="3199" t="s">
        <v>3272</v>
      </c>
      <c r="I159" s="3199" t="s">
        <v>2814</v>
      </c>
      <c r="J159" s="3199">
        <v>490.56</v>
      </c>
      <c r="K159" s="3199">
        <v>500</v>
      </c>
      <c r="L159" s="3199" t="s">
        <v>2814</v>
      </c>
      <c r="M159" s="3199" t="s">
        <v>3273</v>
      </c>
      <c r="N159" s="3199" t="s">
        <v>3062</v>
      </c>
      <c r="O159">
        <f t="shared" si="2"/>
        <v>2100</v>
      </c>
    </row>
    <row r="160" spans="1:15">
      <c r="A160" s="3199" t="s">
        <v>3274</v>
      </c>
      <c r="B160" s="3199" t="s">
        <v>3056</v>
      </c>
      <c r="C160" s="3199" t="s">
        <v>3057</v>
      </c>
      <c r="D160" s="3199">
        <v>2337</v>
      </c>
      <c r="E160" s="3199">
        <v>1168.5</v>
      </c>
      <c r="F160" s="3199" t="s">
        <v>3275</v>
      </c>
      <c r="G160" s="3199" t="s">
        <v>3059</v>
      </c>
      <c r="H160" s="3199" t="s">
        <v>3276</v>
      </c>
      <c r="I160" s="3199">
        <v>58</v>
      </c>
      <c r="J160" s="3199">
        <v>203.31</v>
      </c>
      <c r="K160" s="3199">
        <v>1740</v>
      </c>
      <c r="L160" s="3199">
        <v>250.55</v>
      </c>
      <c r="M160" s="3199" t="s">
        <v>3277</v>
      </c>
      <c r="N160" s="3199" t="s">
        <v>3062</v>
      </c>
      <c r="O160">
        <f t="shared" si="2"/>
        <v>870</v>
      </c>
    </row>
    <row r="161" spans="1:15">
      <c r="A161" s="3199" t="s">
        <v>3278</v>
      </c>
      <c r="B161" s="3199" t="s">
        <v>3056</v>
      </c>
      <c r="C161" s="3199" t="s">
        <v>3057</v>
      </c>
      <c r="D161" s="3199">
        <v>3281</v>
      </c>
      <c r="E161" s="3199">
        <v>4921.5</v>
      </c>
      <c r="F161" s="3199" t="s">
        <v>3279</v>
      </c>
      <c r="G161" s="3199" t="s">
        <v>3059</v>
      </c>
      <c r="H161" s="3199" t="s">
        <v>3280</v>
      </c>
      <c r="I161" s="3199">
        <v>516.75</v>
      </c>
      <c r="J161" s="3199">
        <v>516.75</v>
      </c>
      <c r="K161" s="3199">
        <v>1050</v>
      </c>
      <c r="L161" s="3199">
        <v>0</v>
      </c>
      <c r="M161" s="3199" t="s">
        <v>3281</v>
      </c>
      <c r="N161" s="3199" t="s">
        <v>3062</v>
      </c>
      <c r="O161">
        <f t="shared" si="2"/>
        <v>1575</v>
      </c>
    </row>
    <row r="162" spans="1:15">
      <c r="A162" s="3199" t="s">
        <v>3282</v>
      </c>
      <c r="B162" s="3199" t="s">
        <v>3056</v>
      </c>
      <c r="C162" s="3199" t="s">
        <v>3057</v>
      </c>
      <c r="D162" s="3199">
        <v>66650</v>
      </c>
      <c r="E162" s="3199">
        <v>99975</v>
      </c>
      <c r="F162" s="3199" t="s">
        <v>3244</v>
      </c>
      <c r="G162" s="3199" t="s">
        <v>3059</v>
      </c>
      <c r="H162" s="3199" t="s">
        <v>3283</v>
      </c>
      <c r="I162" s="3199" t="s">
        <v>2814</v>
      </c>
      <c r="J162" s="3199">
        <v>17995.5</v>
      </c>
      <c r="K162" s="3199">
        <v>1800</v>
      </c>
      <c r="L162" s="3199" t="s">
        <v>2814</v>
      </c>
      <c r="M162" s="3199" t="s">
        <v>3284</v>
      </c>
      <c r="N162" s="3199" t="s">
        <v>3062</v>
      </c>
      <c r="O162">
        <f t="shared" si="2"/>
        <v>2700</v>
      </c>
    </row>
    <row r="163" spans="1:15">
      <c r="A163" s="3199" t="s">
        <v>3282</v>
      </c>
      <c r="B163" s="3199" t="s">
        <v>3056</v>
      </c>
      <c r="C163" s="3199" t="s">
        <v>3057</v>
      </c>
      <c r="D163" s="3199">
        <v>61338</v>
      </c>
      <c r="E163" s="3199">
        <v>92007</v>
      </c>
      <c r="F163" s="3199" t="s">
        <v>3244</v>
      </c>
      <c r="G163" s="3199" t="s">
        <v>3059</v>
      </c>
      <c r="H163" s="3199" t="s">
        <v>3283</v>
      </c>
      <c r="I163" s="3199" t="s">
        <v>2814</v>
      </c>
      <c r="J163" s="3199">
        <v>16561.25</v>
      </c>
      <c r="K163" s="3199">
        <v>1800</v>
      </c>
      <c r="L163" s="3199" t="s">
        <v>2814</v>
      </c>
      <c r="M163" s="3199" t="s">
        <v>3284</v>
      </c>
      <c r="N163" s="3199" t="s">
        <v>3062</v>
      </c>
      <c r="O163">
        <f t="shared" si="2"/>
        <v>2700</v>
      </c>
    </row>
    <row r="164" spans="1:15">
      <c r="A164" s="3199" t="s">
        <v>3282</v>
      </c>
      <c r="B164" s="3199" t="s">
        <v>3056</v>
      </c>
      <c r="C164" s="3199" t="s">
        <v>3057</v>
      </c>
      <c r="D164" s="3199">
        <v>69642</v>
      </c>
      <c r="E164" s="3199">
        <v>104463</v>
      </c>
      <c r="F164" s="3199" t="s">
        <v>3244</v>
      </c>
      <c r="G164" s="3199" t="s">
        <v>3059</v>
      </c>
      <c r="H164" s="3199" t="s">
        <v>3283</v>
      </c>
      <c r="I164" s="3199" t="s">
        <v>2814</v>
      </c>
      <c r="J164" s="3199">
        <v>18803.34</v>
      </c>
      <c r="K164" s="3199">
        <v>1800</v>
      </c>
      <c r="L164" s="3199" t="s">
        <v>2814</v>
      </c>
      <c r="M164" s="3199" t="s">
        <v>3284</v>
      </c>
      <c r="N164" s="3199" t="s">
        <v>3062</v>
      </c>
      <c r="O164">
        <f t="shared" si="2"/>
        <v>2700</v>
      </c>
    </row>
    <row r="165" spans="1:15">
      <c r="A165" s="3199" t="s">
        <v>3282</v>
      </c>
      <c r="B165" s="3199" t="s">
        <v>3056</v>
      </c>
      <c r="C165" s="3199" t="s">
        <v>3057</v>
      </c>
      <c r="D165" s="3199">
        <v>69894</v>
      </c>
      <c r="E165" s="3199">
        <v>104841</v>
      </c>
      <c r="F165" s="3199" t="s">
        <v>3244</v>
      </c>
      <c r="G165" s="3199" t="s">
        <v>3059</v>
      </c>
      <c r="H165" s="3199" t="s">
        <v>3283</v>
      </c>
      <c r="I165" s="3199" t="s">
        <v>2814</v>
      </c>
      <c r="J165" s="3199">
        <v>18871.38</v>
      </c>
      <c r="K165" s="3199">
        <v>1800</v>
      </c>
      <c r="L165" s="3199" t="s">
        <v>2814</v>
      </c>
      <c r="M165" s="3199" t="s">
        <v>3284</v>
      </c>
      <c r="N165" s="3199" t="s">
        <v>3062</v>
      </c>
      <c r="O165">
        <f t="shared" si="2"/>
        <v>2700</v>
      </c>
    </row>
    <row r="166" spans="1:15">
      <c r="A166" s="3199" t="s">
        <v>3282</v>
      </c>
      <c r="B166" s="3199" t="s">
        <v>3056</v>
      </c>
      <c r="C166" s="3199" t="s">
        <v>3057</v>
      </c>
      <c r="D166" s="3199">
        <v>69165</v>
      </c>
      <c r="E166" s="3199">
        <v>103747.5</v>
      </c>
      <c r="F166" s="3199" t="s">
        <v>3244</v>
      </c>
      <c r="G166" s="3199" t="s">
        <v>3059</v>
      </c>
      <c r="H166" s="3199" t="s">
        <v>3283</v>
      </c>
      <c r="I166" s="3199" t="s">
        <v>2814</v>
      </c>
      <c r="J166" s="3199">
        <v>18674.54</v>
      </c>
      <c r="K166" s="3199">
        <v>1800</v>
      </c>
      <c r="L166" s="3199" t="s">
        <v>2814</v>
      </c>
      <c r="M166" s="3199" t="s">
        <v>3284</v>
      </c>
      <c r="N166" s="3199" t="s">
        <v>3062</v>
      </c>
      <c r="O166">
        <f t="shared" si="2"/>
        <v>2700</v>
      </c>
    </row>
    <row r="167" spans="1:15">
      <c r="A167" s="3199" t="s">
        <v>3285</v>
      </c>
      <c r="B167" s="3199" t="s">
        <v>3056</v>
      </c>
      <c r="C167" s="3199" t="s">
        <v>3057</v>
      </c>
      <c r="D167" s="3199">
        <v>53541</v>
      </c>
      <c r="E167" s="3199">
        <v>80311.5</v>
      </c>
      <c r="F167" s="3199" t="s">
        <v>3244</v>
      </c>
      <c r="G167" s="3199" t="s">
        <v>3059</v>
      </c>
      <c r="H167" s="3199" t="s">
        <v>3286</v>
      </c>
      <c r="I167" s="3199" t="s">
        <v>2814</v>
      </c>
      <c r="J167" s="3199">
        <v>14456.06</v>
      </c>
      <c r="K167" s="3199">
        <v>1800</v>
      </c>
      <c r="L167" s="3199" t="s">
        <v>2814</v>
      </c>
      <c r="M167" s="3199" t="s">
        <v>3287</v>
      </c>
      <c r="N167" s="3199" t="s">
        <v>3062</v>
      </c>
      <c r="O167">
        <f t="shared" si="2"/>
        <v>2700</v>
      </c>
    </row>
    <row r="168" spans="1:15">
      <c r="A168" s="3199" t="s">
        <v>3288</v>
      </c>
      <c r="B168" s="3199" t="s">
        <v>3056</v>
      </c>
      <c r="C168" s="3199" t="s">
        <v>3057</v>
      </c>
      <c r="D168" s="3199">
        <v>25040</v>
      </c>
      <c r="E168" s="3199">
        <v>37560</v>
      </c>
      <c r="F168" s="3199" t="s">
        <v>3244</v>
      </c>
      <c r="G168" s="3199" t="s">
        <v>3059</v>
      </c>
      <c r="H168" s="3199" t="s">
        <v>3286</v>
      </c>
      <c r="I168" s="3199" t="s">
        <v>2814</v>
      </c>
      <c r="J168" s="3199">
        <v>6760.8</v>
      </c>
      <c r="K168" s="3199">
        <v>1800</v>
      </c>
      <c r="L168" s="3199" t="s">
        <v>2814</v>
      </c>
      <c r="M168" s="3199" t="s">
        <v>3287</v>
      </c>
      <c r="N168" s="3199" t="s">
        <v>3062</v>
      </c>
      <c r="O168">
        <f t="shared" si="2"/>
        <v>2700</v>
      </c>
    </row>
    <row r="169" spans="1:15">
      <c r="A169" s="3199" t="s">
        <v>3289</v>
      </c>
      <c r="B169" s="3199" t="s">
        <v>3056</v>
      </c>
      <c r="C169" s="3199" t="s">
        <v>3057</v>
      </c>
      <c r="D169" s="3199">
        <v>46935</v>
      </c>
      <c r="E169" s="3199">
        <v>70402.5</v>
      </c>
      <c r="F169" s="3199" t="s">
        <v>3244</v>
      </c>
      <c r="G169" s="3199" t="s">
        <v>3059</v>
      </c>
      <c r="H169" s="3199" t="s">
        <v>3286</v>
      </c>
      <c r="I169" s="3199" t="s">
        <v>2814</v>
      </c>
      <c r="J169" s="3199">
        <v>12672.45</v>
      </c>
      <c r="K169" s="3199">
        <v>1800</v>
      </c>
      <c r="L169" s="3199" t="s">
        <v>2814</v>
      </c>
      <c r="M169" s="3199" t="s">
        <v>3287</v>
      </c>
      <c r="N169" s="3199" t="s">
        <v>3062</v>
      </c>
      <c r="O169">
        <f t="shared" si="2"/>
        <v>2700</v>
      </c>
    </row>
    <row r="170" spans="1:15">
      <c r="A170" s="3199" t="s">
        <v>3289</v>
      </c>
      <c r="B170" s="3199" t="s">
        <v>3056</v>
      </c>
      <c r="C170" s="3199" t="s">
        <v>3057</v>
      </c>
      <c r="D170" s="3199">
        <v>47252</v>
      </c>
      <c r="E170" s="3199">
        <v>70878</v>
      </c>
      <c r="F170" s="3199" t="s">
        <v>3244</v>
      </c>
      <c r="G170" s="3199" t="s">
        <v>3059</v>
      </c>
      <c r="H170" s="3199" t="s">
        <v>3286</v>
      </c>
      <c r="I170" s="3199" t="s">
        <v>2814</v>
      </c>
      <c r="J170" s="3199">
        <v>12758.04</v>
      </c>
      <c r="K170" s="3199">
        <v>1800</v>
      </c>
      <c r="L170" s="3199" t="s">
        <v>2814</v>
      </c>
      <c r="M170" s="3199" t="s">
        <v>3287</v>
      </c>
      <c r="N170" s="3199" t="s">
        <v>3062</v>
      </c>
      <c r="O170">
        <f t="shared" si="2"/>
        <v>2700</v>
      </c>
    </row>
    <row r="171" spans="1:15">
      <c r="A171" s="3199" t="s">
        <v>3166</v>
      </c>
      <c r="B171" s="3199" t="s">
        <v>3056</v>
      </c>
      <c r="C171" s="3199" t="s">
        <v>3057</v>
      </c>
      <c r="D171" s="3199">
        <v>68251</v>
      </c>
      <c r="E171" s="3199">
        <v>102376.5</v>
      </c>
      <c r="F171" s="3199" t="s">
        <v>3244</v>
      </c>
      <c r="G171" s="3199" t="s">
        <v>3059</v>
      </c>
      <c r="H171" s="3199" t="s">
        <v>3286</v>
      </c>
      <c r="I171" s="3199" t="s">
        <v>2814</v>
      </c>
      <c r="J171" s="3199">
        <v>18427.77</v>
      </c>
      <c r="K171" s="3199">
        <v>1800</v>
      </c>
      <c r="L171" s="3199" t="s">
        <v>2814</v>
      </c>
      <c r="M171" s="3199" t="s">
        <v>3287</v>
      </c>
      <c r="N171" s="3199" t="s">
        <v>3062</v>
      </c>
      <c r="O171">
        <f t="shared" si="2"/>
        <v>2700</v>
      </c>
    </row>
    <row r="172" spans="1:15">
      <c r="A172" s="3199" t="s">
        <v>3166</v>
      </c>
      <c r="B172" s="3199" t="s">
        <v>3056</v>
      </c>
      <c r="C172" s="3199" t="s">
        <v>3057</v>
      </c>
      <c r="D172" s="3199">
        <v>66666</v>
      </c>
      <c r="E172" s="3199">
        <v>99999</v>
      </c>
      <c r="F172" s="3199" t="s">
        <v>3244</v>
      </c>
      <c r="G172" s="3199" t="s">
        <v>3059</v>
      </c>
      <c r="H172" s="3199" t="s">
        <v>3286</v>
      </c>
      <c r="I172" s="3199" t="s">
        <v>2814</v>
      </c>
      <c r="J172" s="3199">
        <v>17999.810000000001</v>
      </c>
      <c r="K172" s="3199">
        <v>1800</v>
      </c>
      <c r="L172" s="3199" t="s">
        <v>2814</v>
      </c>
      <c r="M172" s="3199" t="s">
        <v>3287</v>
      </c>
      <c r="N172" s="3199" t="s">
        <v>3062</v>
      </c>
      <c r="O172">
        <f t="shared" si="2"/>
        <v>2700</v>
      </c>
    </row>
    <row r="173" spans="1:15">
      <c r="A173" s="3199" t="s">
        <v>3166</v>
      </c>
      <c r="B173" s="3199" t="s">
        <v>3056</v>
      </c>
      <c r="C173" s="3199" t="s">
        <v>3057</v>
      </c>
      <c r="D173" s="3199">
        <v>68606</v>
      </c>
      <c r="E173" s="3199">
        <v>102909</v>
      </c>
      <c r="F173" s="3199" t="s">
        <v>3244</v>
      </c>
      <c r="G173" s="3199" t="s">
        <v>3059</v>
      </c>
      <c r="H173" s="3199" t="s">
        <v>3286</v>
      </c>
      <c r="I173" s="3199" t="s">
        <v>2814</v>
      </c>
      <c r="J173" s="3199">
        <v>18523.61</v>
      </c>
      <c r="K173" s="3199">
        <v>1800</v>
      </c>
      <c r="L173" s="3199" t="s">
        <v>2814</v>
      </c>
      <c r="M173" s="3199" t="s">
        <v>3287</v>
      </c>
      <c r="N173" s="3199" t="s">
        <v>3062</v>
      </c>
      <c r="O173">
        <f t="shared" si="2"/>
        <v>2700</v>
      </c>
    </row>
    <row r="174" spans="1:15">
      <c r="A174" s="3199" t="s">
        <v>3290</v>
      </c>
      <c r="B174" s="3199" t="s">
        <v>3056</v>
      </c>
      <c r="C174" s="3199" t="s">
        <v>3057</v>
      </c>
      <c r="D174" s="3199">
        <v>25446.2</v>
      </c>
      <c r="E174" s="3199">
        <v>38169.300000000003</v>
      </c>
      <c r="F174" s="3199" t="s">
        <v>3244</v>
      </c>
      <c r="G174" s="3199" t="s">
        <v>3059</v>
      </c>
      <c r="H174" s="3199" t="s">
        <v>3286</v>
      </c>
      <c r="I174" s="3199" t="s">
        <v>2814</v>
      </c>
      <c r="J174" s="3199">
        <v>6107.09</v>
      </c>
      <c r="K174" s="3199">
        <v>1600</v>
      </c>
      <c r="L174" s="3199" t="s">
        <v>2814</v>
      </c>
      <c r="M174" s="3199" t="s">
        <v>3291</v>
      </c>
      <c r="N174" s="3199" t="s">
        <v>3062</v>
      </c>
      <c r="O174">
        <f t="shared" si="2"/>
        <v>2400</v>
      </c>
    </row>
    <row r="175" spans="1:15">
      <c r="A175" s="3199" t="s">
        <v>3290</v>
      </c>
      <c r="B175" s="3199" t="s">
        <v>3056</v>
      </c>
      <c r="C175" s="3199" t="s">
        <v>3057</v>
      </c>
      <c r="D175" s="3199">
        <v>49237.8</v>
      </c>
      <c r="E175" s="3199">
        <v>73856.7</v>
      </c>
      <c r="F175" s="3199" t="s">
        <v>3244</v>
      </c>
      <c r="G175" s="3199" t="s">
        <v>3059</v>
      </c>
      <c r="H175" s="3199" t="s">
        <v>3286</v>
      </c>
      <c r="I175" s="3199" t="s">
        <v>2814</v>
      </c>
      <c r="J175" s="3199">
        <v>11817.06</v>
      </c>
      <c r="K175" s="3199">
        <v>1600</v>
      </c>
      <c r="L175" s="3199" t="s">
        <v>2814</v>
      </c>
      <c r="M175" s="3199" t="s">
        <v>3291</v>
      </c>
      <c r="N175" s="3199" t="s">
        <v>3062</v>
      </c>
      <c r="O175">
        <f t="shared" si="2"/>
        <v>2400</v>
      </c>
    </row>
    <row r="176" spans="1:15">
      <c r="A176" s="3199" t="s">
        <v>3282</v>
      </c>
      <c r="B176" s="3199" t="s">
        <v>3056</v>
      </c>
      <c r="C176" s="3199" t="s">
        <v>3057</v>
      </c>
      <c r="D176" s="3199">
        <v>62846</v>
      </c>
      <c r="E176" s="3199">
        <v>94269</v>
      </c>
      <c r="F176" s="3199" t="s">
        <v>3244</v>
      </c>
      <c r="G176" s="3199" t="s">
        <v>3059</v>
      </c>
      <c r="H176" s="3199" t="s">
        <v>3286</v>
      </c>
      <c r="I176" s="3199" t="s">
        <v>2814</v>
      </c>
      <c r="J176" s="3199">
        <v>16968.41</v>
      </c>
      <c r="K176" s="3199">
        <v>1800</v>
      </c>
      <c r="L176" s="3199" t="s">
        <v>2814</v>
      </c>
      <c r="M176" s="3199" t="s">
        <v>3287</v>
      </c>
      <c r="N176" s="3199" t="s">
        <v>3062</v>
      </c>
      <c r="O176">
        <f t="shared" si="2"/>
        <v>2700</v>
      </c>
    </row>
    <row r="177" spans="1:15">
      <c r="A177" s="3199" t="s">
        <v>3292</v>
      </c>
      <c r="B177" s="3199" t="s">
        <v>3056</v>
      </c>
      <c r="C177" s="3199" t="s">
        <v>3057</v>
      </c>
      <c r="D177" s="3199">
        <v>16562</v>
      </c>
      <c r="E177" s="3199">
        <v>28155.4</v>
      </c>
      <c r="F177" s="3199" t="s">
        <v>3174</v>
      </c>
      <c r="G177" s="3199" t="s">
        <v>3059</v>
      </c>
      <c r="H177" s="3199" t="s">
        <v>3293</v>
      </c>
      <c r="I177" s="3199" t="s">
        <v>2814</v>
      </c>
      <c r="J177" s="3199">
        <v>4471.7299999999996</v>
      </c>
      <c r="K177" s="3199">
        <v>1588.24</v>
      </c>
      <c r="L177" s="3199" t="s">
        <v>2814</v>
      </c>
      <c r="M177" s="3199" t="s">
        <v>3284</v>
      </c>
      <c r="N177" s="3199" t="s">
        <v>3062</v>
      </c>
      <c r="O177">
        <f t="shared" si="2"/>
        <v>2700</v>
      </c>
    </row>
    <row r="178" spans="1:15">
      <c r="A178" s="3199" t="s">
        <v>3294</v>
      </c>
      <c r="B178" s="3199" t="s">
        <v>3056</v>
      </c>
      <c r="C178" s="3199" t="s">
        <v>3057</v>
      </c>
      <c r="D178" s="3199">
        <v>55960</v>
      </c>
      <c r="E178" s="3199">
        <v>83940</v>
      </c>
      <c r="F178" s="3199" t="s">
        <v>3244</v>
      </c>
      <c r="G178" s="3199" t="s">
        <v>3059</v>
      </c>
      <c r="H178" s="3199" t="s">
        <v>3293</v>
      </c>
      <c r="I178" s="3199" t="s">
        <v>2814</v>
      </c>
      <c r="J178" s="3199">
        <v>15109.2</v>
      </c>
      <c r="K178" s="3199">
        <v>1800</v>
      </c>
      <c r="L178" s="3199" t="s">
        <v>2814</v>
      </c>
      <c r="M178" s="3199" t="s">
        <v>3295</v>
      </c>
      <c r="N178" s="3199" t="s">
        <v>3062</v>
      </c>
      <c r="O178">
        <f t="shared" si="2"/>
        <v>2700</v>
      </c>
    </row>
    <row r="179" spans="1:15">
      <c r="A179" s="3199" t="s">
        <v>3296</v>
      </c>
      <c r="B179" s="3199" t="s">
        <v>3056</v>
      </c>
      <c r="C179" s="3199" t="s">
        <v>3057</v>
      </c>
      <c r="D179" s="3199">
        <v>57876</v>
      </c>
      <c r="E179" s="3199">
        <v>86814</v>
      </c>
      <c r="F179" s="3199" t="s">
        <v>3244</v>
      </c>
      <c r="G179" s="3199" t="s">
        <v>3059</v>
      </c>
      <c r="H179" s="3199" t="s">
        <v>3293</v>
      </c>
      <c r="I179" s="3199" t="s">
        <v>2814</v>
      </c>
      <c r="J179" s="3199">
        <v>16060.59</v>
      </c>
      <c r="K179" s="3199">
        <v>1850</v>
      </c>
      <c r="L179" s="3199" t="s">
        <v>2814</v>
      </c>
      <c r="M179" s="3199" t="s">
        <v>3295</v>
      </c>
      <c r="N179" s="3199" t="s">
        <v>3062</v>
      </c>
      <c r="O179">
        <f t="shared" si="2"/>
        <v>2775</v>
      </c>
    </row>
    <row r="180" spans="1:15">
      <c r="A180" s="3199" t="s">
        <v>3251</v>
      </c>
      <c r="B180" s="3199" t="s">
        <v>3056</v>
      </c>
      <c r="C180" s="3199" t="s">
        <v>3057</v>
      </c>
      <c r="D180" s="3199">
        <v>16584</v>
      </c>
      <c r="E180" s="3199">
        <v>28192.799999999999</v>
      </c>
      <c r="F180" s="3199" t="s">
        <v>3174</v>
      </c>
      <c r="G180" s="3199" t="s">
        <v>3059</v>
      </c>
      <c r="H180" s="3199" t="s">
        <v>3293</v>
      </c>
      <c r="I180" s="3199" t="s">
        <v>2814</v>
      </c>
      <c r="J180" s="3199">
        <v>4477.68</v>
      </c>
      <c r="K180" s="3199">
        <v>1588.24</v>
      </c>
      <c r="L180" s="3199" t="s">
        <v>2814</v>
      </c>
      <c r="M180" s="3199" t="s">
        <v>3284</v>
      </c>
      <c r="N180" s="3199" t="s">
        <v>3062</v>
      </c>
      <c r="O180">
        <f t="shared" si="2"/>
        <v>2700</v>
      </c>
    </row>
    <row r="181" spans="1:15">
      <c r="A181" s="3199" t="s">
        <v>3297</v>
      </c>
      <c r="B181" s="3199" t="s">
        <v>3056</v>
      </c>
      <c r="C181" s="3199" t="s">
        <v>3057</v>
      </c>
      <c r="D181" s="3199">
        <v>22896</v>
      </c>
      <c r="E181" s="3199">
        <v>34344</v>
      </c>
      <c r="F181" s="3199" t="s">
        <v>3244</v>
      </c>
      <c r="G181" s="3199" t="s">
        <v>3059</v>
      </c>
      <c r="H181" s="3199" t="s">
        <v>3293</v>
      </c>
      <c r="I181" s="3199" t="s">
        <v>2814</v>
      </c>
      <c r="J181" s="3199">
        <v>6181.92</v>
      </c>
      <c r="K181" s="3199">
        <v>1800</v>
      </c>
      <c r="L181" s="3199" t="s">
        <v>2814</v>
      </c>
      <c r="M181" s="3199" t="s">
        <v>3284</v>
      </c>
      <c r="N181" s="3199" t="s">
        <v>3062</v>
      </c>
      <c r="O181">
        <f t="shared" si="2"/>
        <v>2700</v>
      </c>
    </row>
    <row r="182" spans="1:15">
      <c r="A182" s="3199" t="s">
        <v>3039</v>
      </c>
      <c r="B182" s="3199" t="s">
        <v>3056</v>
      </c>
      <c r="C182" s="3199" t="s">
        <v>3057</v>
      </c>
      <c r="D182" s="3199">
        <v>54632</v>
      </c>
      <c r="E182" s="3199">
        <v>92874.4</v>
      </c>
      <c r="F182" s="3199" t="s">
        <v>3174</v>
      </c>
      <c r="G182" s="3199" t="s">
        <v>3059</v>
      </c>
      <c r="H182" s="3199" t="s">
        <v>3293</v>
      </c>
      <c r="I182" s="3199" t="s">
        <v>2814</v>
      </c>
      <c r="J182" s="3199">
        <v>15160.37</v>
      </c>
      <c r="K182" s="3199">
        <v>1632.34</v>
      </c>
      <c r="L182" s="3199" t="s">
        <v>2814</v>
      </c>
      <c r="M182" s="3199" t="s">
        <v>3295</v>
      </c>
      <c r="N182" s="3199" t="s">
        <v>3062</v>
      </c>
      <c r="O182">
        <f t="shared" si="2"/>
        <v>2775</v>
      </c>
    </row>
    <row r="183" spans="1:15">
      <c r="A183" s="3199" t="s">
        <v>3248</v>
      </c>
      <c r="B183" s="3199" t="s">
        <v>3056</v>
      </c>
      <c r="C183" s="3199" t="s">
        <v>3057</v>
      </c>
      <c r="D183" s="3199">
        <v>17261</v>
      </c>
      <c r="E183" s="3199">
        <v>25891.5</v>
      </c>
      <c r="F183" s="3199" t="s">
        <v>3244</v>
      </c>
      <c r="G183" s="3199" t="s">
        <v>3059</v>
      </c>
      <c r="H183" s="3199" t="s">
        <v>3293</v>
      </c>
      <c r="I183" s="3199" t="s">
        <v>2814</v>
      </c>
      <c r="J183" s="3199">
        <v>4660.47</v>
      </c>
      <c r="K183" s="3199">
        <v>1800</v>
      </c>
      <c r="L183" s="3199" t="s">
        <v>2814</v>
      </c>
      <c r="M183" s="3199" t="s">
        <v>3284</v>
      </c>
      <c r="N183" s="3199" t="s">
        <v>3062</v>
      </c>
      <c r="O183">
        <f t="shared" si="2"/>
        <v>2700</v>
      </c>
    </row>
    <row r="184" spans="1:15">
      <c r="A184" s="3199" t="s">
        <v>3298</v>
      </c>
      <c r="B184" s="3199" t="s">
        <v>3056</v>
      </c>
      <c r="C184" s="3199" t="s">
        <v>3057</v>
      </c>
      <c r="D184" s="3199">
        <v>19573</v>
      </c>
      <c r="E184" s="3199">
        <v>29359.5</v>
      </c>
      <c r="F184" s="3199" t="s">
        <v>3244</v>
      </c>
      <c r="G184" s="3199" t="s">
        <v>3059</v>
      </c>
      <c r="H184" s="3199" t="s">
        <v>3293</v>
      </c>
      <c r="I184" s="3199" t="s">
        <v>2814</v>
      </c>
      <c r="J184" s="3199">
        <v>5284.71</v>
      </c>
      <c r="K184" s="3199">
        <v>1800</v>
      </c>
      <c r="L184" s="3199" t="s">
        <v>2814</v>
      </c>
      <c r="M184" s="3199" t="s">
        <v>3291</v>
      </c>
      <c r="N184" s="3199" t="s">
        <v>3062</v>
      </c>
      <c r="O184">
        <f t="shared" si="2"/>
        <v>2700</v>
      </c>
    </row>
    <row r="185" spans="1:15">
      <c r="A185" s="3199" t="s">
        <v>3299</v>
      </c>
      <c r="B185" s="3199" t="s">
        <v>3056</v>
      </c>
      <c r="C185" s="3199" t="s">
        <v>3057</v>
      </c>
      <c r="D185" s="3199">
        <v>40134</v>
      </c>
      <c r="E185" s="3199">
        <v>60201</v>
      </c>
      <c r="F185" s="3199" t="s">
        <v>3244</v>
      </c>
      <c r="G185" s="3199" t="s">
        <v>3059</v>
      </c>
      <c r="H185" s="3199" t="s">
        <v>3293</v>
      </c>
      <c r="I185" s="3199" t="s">
        <v>2814</v>
      </c>
      <c r="J185" s="3199">
        <v>10836.18</v>
      </c>
      <c r="K185" s="3199">
        <v>1800</v>
      </c>
      <c r="L185" s="3199" t="s">
        <v>2814</v>
      </c>
      <c r="M185" s="3199" t="s">
        <v>3291</v>
      </c>
      <c r="N185" s="3199" t="s">
        <v>3062</v>
      </c>
      <c r="O185">
        <f t="shared" si="2"/>
        <v>2700</v>
      </c>
    </row>
    <row r="186" spans="1:15">
      <c r="A186" s="3199" t="s">
        <v>3294</v>
      </c>
      <c r="B186" s="3199" t="s">
        <v>3056</v>
      </c>
      <c r="C186" s="3199" t="s">
        <v>3057</v>
      </c>
      <c r="D186" s="3199">
        <v>26058</v>
      </c>
      <c r="E186" s="3199">
        <v>39087</v>
      </c>
      <c r="F186" s="3199" t="s">
        <v>3244</v>
      </c>
      <c r="G186" s="3199" t="s">
        <v>3059</v>
      </c>
      <c r="H186" s="3199" t="s">
        <v>3293</v>
      </c>
      <c r="I186" s="3199" t="s">
        <v>2814</v>
      </c>
      <c r="J186" s="3199">
        <v>7035.65</v>
      </c>
      <c r="K186" s="3199">
        <v>1800</v>
      </c>
      <c r="L186" s="3199" t="s">
        <v>2814</v>
      </c>
      <c r="M186" s="3199" t="s">
        <v>3295</v>
      </c>
      <c r="N186" s="3199" t="s">
        <v>3062</v>
      </c>
      <c r="O186">
        <f t="shared" si="2"/>
        <v>2700</v>
      </c>
    </row>
    <row r="187" spans="1:15">
      <c r="A187" s="3199" t="s">
        <v>3300</v>
      </c>
      <c r="B187" s="3199" t="s">
        <v>3056</v>
      </c>
      <c r="C187" s="3199" t="s">
        <v>3057</v>
      </c>
      <c r="D187" s="3199">
        <v>18047</v>
      </c>
      <c r="E187" s="3199">
        <v>27070.5</v>
      </c>
      <c r="F187" s="3199" t="s">
        <v>3244</v>
      </c>
      <c r="G187" s="3199" t="s">
        <v>3059</v>
      </c>
      <c r="H187" s="3199" t="s">
        <v>3293</v>
      </c>
      <c r="I187" s="3199" t="s">
        <v>2814</v>
      </c>
      <c r="J187" s="3199">
        <v>4872.68</v>
      </c>
      <c r="K187" s="3199">
        <v>1800</v>
      </c>
      <c r="L187" s="3199" t="s">
        <v>2814</v>
      </c>
      <c r="M187" s="3199" t="s">
        <v>3284</v>
      </c>
      <c r="N187" s="3199" t="s">
        <v>3062</v>
      </c>
      <c r="O187">
        <f t="shared" si="2"/>
        <v>2700</v>
      </c>
    </row>
    <row r="188" spans="1:15">
      <c r="A188" s="3199" t="s">
        <v>3037</v>
      </c>
      <c r="B188" s="3199" t="s">
        <v>3056</v>
      </c>
      <c r="C188" s="3199" t="s">
        <v>3057</v>
      </c>
      <c r="D188" s="3199">
        <v>31220</v>
      </c>
      <c r="E188" s="3199">
        <v>53074</v>
      </c>
      <c r="F188" s="3199" t="s">
        <v>3174</v>
      </c>
      <c r="G188" s="3199" t="s">
        <v>3059</v>
      </c>
      <c r="H188" s="3199" t="s">
        <v>3293</v>
      </c>
      <c r="I188" s="3199" t="s">
        <v>2814</v>
      </c>
      <c r="J188" s="3199">
        <v>8663.5400000000009</v>
      </c>
      <c r="K188" s="3199">
        <v>1632.34</v>
      </c>
      <c r="L188" s="3199" t="s">
        <v>2814</v>
      </c>
      <c r="M188" s="3199" t="s">
        <v>3295</v>
      </c>
      <c r="N188" s="3199" t="s">
        <v>3062</v>
      </c>
      <c r="O188">
        <f t="shared" si="2"/>
        <v>2775</v>
      </c>
    </row>
    <row r="189" spans="1:15">
      <c r="A189" s="3199" t="s">
        <v>3296</v>
      </c>
      <c r="B189" s="3199" t="s">
        <v>3056</v>
      </c>
      <c r="C189" s="3199" t="s">
        <v>3057</v>
      </c>
      <c r="D189" s="3199">
        <v>30689</v>
      </c>
      <c r="E189" s="3199">
        <v>46033.5</v>
      </c>
      <c r="F189" s="3199" t="s">
        <v>3244</v>
      </c>
      <c r="G189" s="3199" t="s">
        <v>3059</v>
      </c>
      <c r="H189" s="3199" t="s">
        <v>3293</v>
      </c>
      <c r="I189" s="3199" t="s">
        <v>2814</v>
      </c>
      <c r="J189" s="3199">
        <v>8516.2000000000007</v>
      </c>
      <c r="K189" s="3199">
        <v>1850</v>
      </c>
      <c r="L189" s="3199" t="s">
        <v>2814</v>
      </c>
      <c r="M189" s="3199" t="s">
        <v>3295</v>
      </c>
      <c r="N189" s="3199" t="s">
        <v>3062</v>
      </c>
      <c r="O189">
        <f t="shared" si="2"/>
        <v>2775</v>
      </c>
    </row>
    <row r="190" spans="1:15">
      <c r="A190" s="3199" t="s">
        <v>3301</v>
      </c>
      <c r="B190" s="3199" t="s">
        <v>3056</v>
      </c>
      <c r="C190" s="3199" t="s">
        <v>3057</v>
      </c>
      <c r="D190" s="3199">
        <v>19729</v>
      </c>
      <c r="E190" s="3199">
        <v>29593.5</v>
      </c>
      <c r="F190" s="3199" t="s">
        <v>3244</v>
      </c>
      <c r="G190" s="3199" t="s">
        <v>3059</v>
      </c>
      <c r="H190" s="3199" t="s">
        <v>3293</v>
      </c>
      <c r="I190" s="3199" t="s">
        <v>2814</v>
      </c>
      <c r="J190" s="3199">
        <v>5326.82</v>
      </c>
      <c r="K190" s="3199">
        <v>1800</v>
      </c>
      <c r="L190" s="3199" t="s">
        <v>2814</v>
      </c>
      <c r="M190" s="3199" t="s">
        <v>3284</v>
      </c>
      <c r="N190" s="3199" t="s">
        <v>3062</v>
      </c>
      <c r="O190">
        <f t="shared" si="2"/>
        <v>2700</v>
      </c>
    </row>
    <row r="191" spans="1:15">
      <c r="A191" s="3199" t="s">
        <v>3302</v>
      </c>
      <c r="B191" s="3199" t="s">
        <v>3056</v>
      </c>
      <c r="C191" s="3199" t="s">
        <v>3057</v>
      </c>
      <c r="D191" s="3199">
        <v>20540</v>
      </c>
      <c r="E191" s="3199">
        <v>30810</v>
      </c>
      <c r="F191" s="3199" t="s">
        <v>3244</v>
      </c>
      <c r="G191" s="3199" t="s">
        <v>3059</v>
      </c>
      <c r="H191" s="3199" t="s">
        <v>3303</v>
      </c>
      <c r="I191" s="3199" t="s">
        <v>2814</v>
      </c>
      <c r="J191" s="3199">
        <v>862.67</v>
      </c>
      <c r="K191" s="3199">
        <v>280</v>
      </c>
      <c r="L191" s="3199" t="s">
        <v>2814</v>
      </c>
      <c r="M191" s="3199" t="s">
        <v>3304</v>
      </c>
      <c r="N191" s="3199" t="s">
        <v>3062</v>
      </c>
      <c r="O191">
        <f t="shared" si="2"/>
        <v>420</v>
      </c>
    </row>
    <row r="192" spans="1:15">
      <c r="A192" s="3199" t="s">
        <v>3302</v>
      </c>
      <c r="B192" s="3199" t="s">
        <v>3056</v>
      </c>
      <c r="C192" s="3199" t="s">
        <v>3057</v>
      </c>
      <c r="D192" s="3199">
        <v>4784</v>
      </c>
      <c r="E192" s="3199">
        <v>7176</v>
      </c>
      <c r="F192" s="3199" t="s">
        <v>3244</v>
      </c>
      <c r="G192" s="3199" t="s">
        <v>3059</v>
      </c>
      <c r="H192" s="3199" t="s">
        <v>3303</v>
      </c>
      <c r="I192" s="3199" t="s">
        <v>2814</v>
      </c>
      <c r="J192" s="3199">
        <v>200.93</v>
      </c>
      <c r="K192" s="3199">
        <v>280</v>
      </c>
      <c r="L192" s="3199" t="s">
        <v>2814</v>
      </c>
      <c r="M192" s="3199" t="s">
        <v>3304</v>
      </c>
      <c r="N192" s="3199" t="s">
        <v>3062</v>
      </c>
      <c r="O192">
        <f t="shared" si="2"/>
        <v>420</v>
      </c>
    </row>
    <row r="193" spans="1:15">
      <c r="A193" s="3199" t="s">
        <v>3305</v>
      </c>
      <c r="B193" s="3199" t="s">
        <v>3056</v>
      </c>
      <c r="C193" s="3199" t="s">
        <v>3057</v>
      </c>
      <c r="D193" s="3199">
        <v>2500</v>
      </c>
      <c r="E193" s="3199">
        <v>450</v>
      </c>
      <c r="F193" s="3199" t="s">
        <v>3306</v>
      </c>
      <c r="G193" s="3199" t="s">
        <v>3059</v>
      </c>
      <c r="H193" s="3199" t="s">
        <v>3307</v>
      </c>
      <c r="I193" s="3199">
        <v>50</v>
      </c>
      <c r="J193" s="3199">
        <v>187.5</v>
      </c>
      <c r="K193" s="3199">
        <v>4166.67</v>
      </c>
      <c r="L193" s="3199">
        <v>275</v>
      </c>
      <c r="M193" s="3199" t="s">
        <v>3308</v>
      </c>
      <c r="N193" s="3199" t="s">
        <v>3062</v>
      </c>
      <c r="O193">
        <f t="shared" si="2"/>
        <v>750</v>
      </c>
    </row>
    <row r="194" spans="1:15">
      <c r="A194" s="3199" t="s">
        <v>3309</v>
      </c>
      <c r="B194" s="3199" t="s">
        <v>3056</v>
      </c>
      <c r="C194" s="3199" t="s">
        <v>3057</v>
      </c>
      <c r="D194" s="3199">
        <v>524</v>
      </c>
      <c r="E194" s="3199">
        <v>1048</v>
      </c>
      <c r="F194" s="3199" t="s">
        <v>3310</v>
      </c>
      <c r="G194" s="3199" t="s">
        <v>3059</v>
      </c>
      <c r="H194" s="3199" t="s">
        <v>3311</v>
      </c>
      <c r="I194" s="3199" t="s">
        <v>2814</v>
      </c>
      <c r="J194" s="3199">
        <v>27.51</v>
      </c>
      <c r="K194" s="3199">
        <v>262.5</v>
      </c>
      <c r="L194" s="3199" t="s">
        <v>2814</v>
      </c>
      <c r="M194" s="3199" t="s">
        <v>3312</v>
      </c>
      <c r="N194" s="3199" t="s">
        <v>3062</v>
      </c>
      <c r="O194">
        <f t="shared" si="2"/>
        <v>525</v>
      </c>
    </row>
    <row r="195" spans="1:15">
      <c r="A195" s="3199" t="s">
        <v>3313</v>
      </c>
      <c r="B195" s="3199" t="s">
        <v>3056</v>
      </c>
      <c r="C195" s="3199" t="s">
        <v>3057</v>
      </c>
      <c r="D195" s="3199">
        <v>9203</v>
      </c>
      <c r="E195" s="3199">
        <v>46935.3</v>
      </c>
      <c r="F195" s="3199" t="s">
        <v>3314</v>
      </c>
      <c r="G195" s="3199" t="s">
        <v>3315</v>
      </c>
      <c r="H195" s="3199" t="s">
        <v>3316</v>
      </c>
      <c r="I195" s="3199" t="s">
        <v>2814</v>
      </c>
      <c r="J195" s="3199">
        <v>1656.53</v>
      </c>
      <c r="K195" s="3199">
        <v>352.93</v>
      </c>
      <c r="L195" s="3199" t="s">
        <v>2814</v>
      </c>
      <c r="M195" s="3199" t="s">
        <v>3238</v>
      </c>
      <c r="N195" s="3199" t="s">
        <v>3062</v>
      </c>
      <c r="O195">
        <f t="shared" ref="O195:O200" si="3">ROUND(J195/D195*10000,0)</f>
        <v>1800</v>
      </c>
    </row>
    <row r="196" spans="1:15">
      <c r="A196" s="3199" t="s">
        <v>3317</v>
      </c>
      <c r="B196" s="3199" t="s">
        <v>3056</v>
      </c>
      <c r="C196" s="3199" t="s">
        <v>3057</v>
      </c>
      <c r="D196" s="3199">
        <v>26025</v>
      </c>
      <c r="E196" s="3199">
        <v>39037.5</v>
      </c>
      <c r="F196" s="3199" t="s">
        <v>3244</v>
      </c>
      <c r="G196" s="3199" t="s">
        <v>3315</v>
      </c>
      <c r="H196" s="3199" t="s">
        <v>3316</v>
      </c>
      <c r="I196" s="3199" t="s">
        <v>2814</v>
      </c>
      <c r="J196" s="3199">
        <v>4684.5</v>
      </c>
      <c r="K196" s="3199">
        <v>1200</v>
      </c>
      <c r="L196" s="3199" t="s">
        <v>2814</v>
      </c>
      <c r="M196" s="3199" t="s">
        <v>3291</v>
      </c>
      <c r="N196" s="3199" t="s">
        <v>3062</v>
      </c>
      <c r="O196">
        <f t="shared" si="3"/>
        <v>1800</v>
      </c>
    </row>
    <row r="197" spans="1:15">
      <c r="A197" s="3199" t="s">
        <v>3318</v>
      </c>
      <c r="B197" s="3199" t="s">
        <v>3056</v>
      </c>
      <c r="C197" s="3199" t="s">
        <v>3057</v>
      </c>
      <c r="D197" s="3199">
        <v>35274</v>
      </c>
      <c r="E197" s="3199">
        <v>59965.8</v>
      </c>
      <c r="F197" s="3199" t="s">
        <v>3174</v>
      </c>
      <c r="G197" s="3199" t="s">
        <v>3315</v>
      </c>
      <c r="H197" s="3199" t="s">
        <v>3316</v>
      </c>
      <c r="I197" s="3199" t="s">
        <v>2814</v>
      </c>
      <c r="J197" s="3199">
        <v>2645.55</v>
      </c>
      <c r="K197" s="3199">
        <v>441.18</v>
      </c>
      <c r="L197" s="3199" t="s">
        <v>2814</v>
      </c>
      <c r="M197" s="3199" t="s">
        <v>3291</v>
      </c>
      <c r="N197" s="3199" t="s">
        <v>3062</v>
      </c>
      <c r="O197">
        <f t="shared" si="3"/>
        <v>750</v>
      </c>
    </row>
    <row r="198" spans="1:15">
      <c r="A198" s="3199" t="s">
        <v>3318</v>
      </c>
      <c r="B198" s="3199" t="s">
        <v>3056</v>
      </c>
      <c r="C198" s="3199" t="s">
        <v>3057</v>
      </c>
      <c r="D198" s="3199">
        <v>39216</v>
      </c>
      <c r="E198" s="3199">
        <v>66667.199999999997</v>
      </c>
      <c r="F198" s="3199" t="s">
        <v>3174</v>
      </c>
      <c r="G198" s="3199" t="s">
        <v>3315</v>
      </c>
      <c r="H198" s="3199" t="s">
        <v>3316</v>
      </c>
      <c r="I198" s="3199" t="s">
        <v>2814</v>
      </c>
      <c r="J198" s="3199">
        <v>2941.19</v>
      </c>
      <c r="K198" s="3199">
        <v>441.18</v>
      </c>
      <c r="L198" s="3199" t="s">
        <v>2814</v>
      </c>
      <c r="M198" s="3199" t="s">
        <v>3291</v>
      </c>
      <c r="N198" s="3199" t="s">
        <v>3062</v>
      </c>
      <c r="O198">
        <f t="shared" si="3"/>
        <v>750</v>
      </c>
    </row>
    <row r="199" spans="1:15">
      <c r="A199" s="3199" t="s">
        <v>3319</v>
      </c>
      <c r="B199" s="3199" t="s">
        <v>3056</v>
      </c>
      <c r="C199" s="3199" t="s">
        <v>3057</v>
      </c>
      <c r="D199" s="3199">
        <v>17058</v>
      </c>
      <c r="E199" s="3199">
        <v>25587</v>
      </c>
      <c r="F199" s="3199" t="s">
        <v>3244</v>
      </c>
      <c r="G199" s="3199" t="s">
        <v>3315</v>
      </c>
      <c r="H199" s="3199" t="s">
        <v>3320</v>
      </c>
      <c r="I199" s="3199" t="s">
        <v>2814</v>
      </c>
      <c r="J199" s="3199">
        <v>946.72</v>
      </c>
      <c r="K199" s="3199">
        <v>370</v>
      </c>
      <c r="L199" s="3199" t="s">
        <v>2814</v>
      </c>
      <c r="M199" s="3199" t="s">
        <v>3321</v>
      </c>
      <c r="N199" s="3199" t="s">
        <v>3062</v>
      </c>
      <c r="O199">
        <f t="shared" si="3"/>
        <v>555</v>
      </c>
    </row>
    <row r="200" spans="1:15">
      <c r="A200" s="3199" t="s">
        <v>3322</v>
      </c>
      <c r="B200" s="3199" t="s">
        <v>3056</v>
      </c>
      <c r="C200" s="3199" t="s">
        <v>3057</v>
      </c>
      <c r="D200" s="3199">
        <v>32206</v>
      </c>
      <c r="E200" s="3199">
        <v>128824</v>
      </c>
      <c r="F200" s="3199" t="s">
        <v>3323</v>
      </c>
      <c r="G200" s="3199" t="s">
        <v>3315</v>
      </c>
      <c r="H200" s="3199" t="s">
        <v>3320</v>
      </c>
      <c r="I200" s="3199" t="s">
        <v>2814</v>
      </c>
      <c r="J200" s="3199">
        <v>4830.8900000000003</v>
      </c>
      <c r="K200" s="3199">
        <v>375</v>
      </c>
      <c r="L200" s="3199" t="s">
        <v>2814</v>
      </c>
      <c r="M200" s="3199" t="s">
        <v>3134</v>
      </c>
      <c r="N200" s="3199" t="s">
        <v>3062</v>
      </c>
      <c r="O200">
        <f t="shared" si="3"/>
        <v>1500</v>
      </c>
    </row>
    <row r="201" spans="1:15">
      <c r="A201" s="3199" t="s">
        <v>3324</v>
      </c>
      <c r="B201" s="3199" t="s">
        <v>3056</v>
      </c>
      <c r="C201" s="3199" t="s">
        <v>3057</v>
      </c>
      <c r="D201" s="3199">
        <v>1747</v>
      </c>
      <c r="E201" s="3199">
        <v>2969.9</v>
      </c>
      <c r="F201" s="3199" t="s">
        <v>3174</v>
      </c>
      <c r="G201" s="3199" t="s">
        <v>3315</v>
      </c>
      <c r="H201" s="3199" t="s">
        <v>3325</v>
      </c>
      <c r="I201" s="3199" t="s">
        <v>2814</v>
      </c>
      <c r="J201" s="3199">
        <v>262.05</v>
      </c>
      <c r="K201" s="3199">
        <v>882.35</v>
      </c>
      <c r="L201" s="3199" t="s">
        <v>2814</v>
      </c>
      <c r="M201" s="3199" t="s">
        <v>3326</v>
      </c>
      <c r="N201" s="3199" t="s">
        <v>3062</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B1" workbookViewId="0">
      <selection activeCell="C15" sqref="C15"/>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3373</v>
      </c>
      <c r="B1" s="3222" t="s">
        <v>3374</v>
      </c>
      <c r="C1" s="3222" t="s">
        <v>3375</v>
      </c>
      <c r="D1" s="3222" t="s">
        <v>3371</v>
      </c>
      <c r="E1" s="3222" t="s">
        <v>3372</v>
      </c>
      <c r="F1" s="3222" t="s">
        <v>3378</v>
      </c>
      <c r="G1" s="3222" t="s">
        <v>3377</v>
      </c>
      <c r="H1" s="3222" t="s">
        <v>3376</v>
      </c>
      <c r="I1" s="3223"/>
    </row>
    <row r="2" spans="1:9">
      <c r="A2" s="3224" t="s">
        <v>3347</v>
      </c>
      <c r="B2" s="3224" t="s">
        <v>3356</v>
      </c>
      <c r="C2" s="3224" t="s">
        <v>3348</v>
      </c>
      <c r="D2" s="3223">
        <v>40652</v>
      </c>
      <c r="E2" s="3223">
        <v>60978</v>
      </c>
      <c r="F2" s="3223">
        <f>E2/D2</f>
        <v>1.5</v>
      </c>
      <c r="G2" s="3223">
        <v>1.7</v>
      </c>
      <c r="H2" s="3223">
        <v>10976.04</v>
      </c>
      <c r="I2" s="3223">
        <f>H2/D2</f>
        <v>0.27</v>
      </c>
    </row>
    <row r="3" spans="1:9">
      <c r="A3" s="3224" t="s">
        <v>3364</v>
      </c>
      <c r="B3" s="3224" t="s">
        <v>3357</v>
      </c>
      <c r="C3" s="3224" t="s">
        <v>3349</v>
      </c>
      <c r="D3" s="3223">
        <v>23778</v>
      </c>
      <c r="E3" s="3223">
        <v>35667</v>
      </c>
      <c r="F3" s="3223">
        <f t="shared" ref="F3:F7" si="0">E3/D3</f>
        <v>1.5</v>
      </c>
      <c r="G3" s="3223">
        <v>1.7</v>
      </c>
      <c r="H3" s="3223">
        <v>6420.06</v>
      </c>
      <c r="I3" s="3223">
        <f t="shared" ref="I3:I9" si="1">H3/D3</f>
        <v>0.27</v>
      </c>
    </row>
    <row r="4" spans="1:9">
      <c r="A4" s="3224" t="s">
        <v>3365</v>
      </c>
      <c r="B4" s="3224" t="s">
        <v>3358</v>
      </c>
      <c r="C4" s="3224" t="s">
        <v>3350</v>
      </c>
      <c r="D4" s="3223">
        <v>3856</v>
      </c>
      <c r="E4" s="3223">
        <v>5784</v>
      </c>
      <c r="F4" s="3223">
        <f t="shared" si="0"/>
        <v>1.5</v>
      </c>
      <c r="G4" s="3223">
        <v>1.7</v>
      </c>
      <c r="H4" s="3223">
        <v>1041.1199999999999</v>
      </c>
      <c r="I4" s="3223">
        <f t="shared" si="1"/>
        <v>0.26999999999999996</v>
      </c>
    </row>
    <row r="5" spans="1:9">
      <c r="A5" s="3224" t="s">
        <v>3366</v>
      </c>
      <c r="B5" s="3224" t="s">
        <v>3359</v>
      </c>
      <c r="C5" s="3224" t="s">
        <v>3351</v>
      </c>
      <c r="D5" s="3223">
        <v>31355</v>
      </c>
      <c r="E5" s="3223">
        <v>47032.5</v>
      </c>
      <c r="F5" s="3223">
        <f t="shared" si="0"/>
        <v>1.5</v>
      </c>
      <c r="G5" s="3223">
        <v>1.7</v>
      </c>
      <c r="H5" s="3223">
        <v>8465.85</v>
      </c>
      <c r="I5" s="3223">
        <f t="shared" si="1"/>
        <v>0.27</v>
      </c>
    </row>
    <row r="6" spans="1:9">
      <c r="A6" s="3224" t="s">
        <v>3367</v>
      </c>
      <c r="B6" s="3224" t="s">
        <v>3360</v>
      </c>
      <c r="C6" s="3224" t="s">
        <v>3352</v>
      </c>
      <c r="D6" s="3223">
        <v>31462</v>
      </c>
      <c r="E6" s="3223">
        <v>47193</v>
      </c>
      <c r="F6" s="3223">
        <f t="shared" si="0"/>
        <v>1.5</v>
      </c>
      <c r="G6" s="3223">
        <v>1.7</v>
      </c>
      <c r="H6" s="3223">
        <v>8494.74</v>
      </c>
      <c r="I6" s="3223">
        <f t="shared" si="1"/>
        <v>0.27</v>
      </c>
    </row>
    <row r="7" spans="1:9">
      <c r="A7" s="3224" t="s">
        <v>3368</v>
      </c>
      <c r="B7" s="3224" t="s">
        <v>3361</v>
      </c>
      <c r="C7" s="3224" t="s">
        <v>3353</v>
      </c>
      <c r="D7" s="3223">
        <v>29452</v>
      </c>
      <c r="E7" s="3223">
        <v>44178</v>
      </c>
      <c r="F7" s="3223">
        <f t="shared" si="0"/>
        <v>1.5</v>
      </c>
      <c r="G7" s="3223">
        <v>1.7</v>
      </c>
      <c r="H7" s="3223">
        <v>7952.04</v>
      </c>
      <c r="I7" s="3223">
        <f t="shared" si="1"/>
        <v>0.27</v>
      </c>
    </row>
    <row r="8" spans="1:9">
      <c r="A8" s="3224" t="s">
        <v>3369</v>
      </c>
      <c r="B8" s="3224" t="s">
        <v>3362</v>
      </c>
      <c r="C8" s="3224" t="s">
        <v>3354</v>
      </c>
      <c r="D8" s="3223">
        <v>7004</v>
      </c>
      <c r="E8" s="3223">
        <v>16779</v>
      </c>
      <c r="F8" s="3223">
        <f>ROUND(E8/D8,2)</f>
        <v>2.4</v>
      </c>
      <c r="G8" s="3223">
        <v>1.7</v>
      </c>
      <c r="H8" s="3223">
        <v>1891.08</v>
      </c>
      <c r="I8" s="3223">
        <f t="shared" si="1"/>
        <v>0.26999999999999996</v>
      </c>
    </row>
    <row r="9" spans="1:9">
      <c r="A9" s="3224" t="s">
        <v>3370</v>
      </c>
      <c r="B9" s="3224" t="s">
        <v>3363</v>
      </c>
      <c r="C9" s="3224" t="s">
        <v>3355</v>
      </c>
      <c r="D9" s="3223">
        <v>7792</v>
      </c>
      <c r="E9" s="3223">
        <v>11688</v>
      </c>
      <c r="F9" s="3223">
        <f>E9/D9</f>
        <v>1.5</v>
      </c>
      <c r="G9" s="3223">
        <v>1.7</v>
      </c>
      <c r="H9" s="3223">
        <v>2103.84</v>
      </c>
      <c r="I9" s="3223">
        <f t="shared" si="1"/>
        <v>0.27</v>
      </c>
    </row>
    <row r="10" spans="1:9">
      <c r="A10" s="3223"/>
      <c r="B10" s="3223"/>
      <c r="C10" s="3223"/>
      <c r="D10" s="3223">
        <f>SUM(D2:D9)</f>
        <v>175351</v>
      </c>
      <c r="E10" s="3223">
        <f>SUM(E2:E9)</f>
        <v>269299.5</v>
      </c>
      <c r="F10" s="3224" t="s">
        <v>3379</v>
      </c>
      <c r="G10" s="3224" t="s">
        <v>3380</v>
      </c>
      <c r="H10" s="3223">
        <f>SUM(H2:H9)</f>
        <v>47344.770000000004</v>
      </c>
      <c r="I10" s="3223"/>
    </row>
    <row r="23" spans="2:6" ht="14.25" thickBot="1"/>
    <row r="24" spans="2:6" ht="14.25" thickBot="1">
      <c r="B24" s="3228">
        <v>40652</v>
      </c>
      <c r="C24" s="3229">
        <v>60978</v>
      </c>
      <c r="D24" s="3229">
        <f>ROUND(F24/B24*10000,0)</f>
        <v>4740</v>
      </c>
      <c r="E24" s="3229">
        <v>3160</v>
      </c>
      <c r="F24" s="3230">
        <v>19269</v>
      </c>
    </row>
    <row r="25" spans="2:6" ht="14.25" thickBot="1">
      <c r="B25" s="3231">
        <v>23778</v>
      </c>
      <c r="C25" s="3232">
        <v>35667</v>
      </c>
      <c r="D25" s="3229">
        <f t="shared" ref="D25:D31" si="2">ROUND(F25/B25*10000,0)</f>
        <v>4598</v>
      </c>
      <c r="E25" s="3232">
        <v>3065</v>
      </c>
      <c r="F25" s="3232">
        <v>10932</v>
      </c>
    </row>
    <row r="26" spans="2:6" ht="14.25" thickBot="1">
      <c r="B26" s="3231">
        <v>3856</v>
      </c>
      <c r="C26" s="3232">
        <v>5784</v>
      </c>
      <c r="D26" s="3229">
        <f t="shared" si="2"/>
        <v>4455</v>
      </c>
      <c r="E26" s="3232">
        <v>2970</v>
      </c>
      <c r="F26" s="3232">
        <v>1718</v>
      </c>
    </row>
    <row r="27" spans="2:6" ht="14.25" thickBot="1">
      <c r="B27" s="3231">
        <v>31355</v>
      </c>
      <c r="C27" s="3232">
        <v>47032.5</v>
      </c>
      <c r="D27" s="3229">
        <f t="shared" si="2"/>
        <v>4646</v>
      </c>
      <c r="E27" s="3232">
        <v>3097</v>
      </c>
      <c r="F27" s="3232">
        <v>14566</v>
      </c>
    </row>
    <row r="28" spans="2:6" ht="14.25" thickBot="1">
      <c r="B28" s="3231">
        <v>31462</v>
      </c>
      <c r="C28" s="3232">
        <v>47193</v>
      </c>
      <c r="D28" s="3229">
        <f t="shared" si="2"/>
        <v>4646</v>
      </c>
      <c r="E28" s="3232">
        <v>3097</v>
      </c>
      <c r="F28" s="3232">
        <v>14616</v>
      </c>
    </row>
    <row r="29" spans="2:6" ht="14.25" thickBot="1">
      <c r="B29" s="3231">
        <v>29452</v>
      </c>
      <c r="C29" s="3232">
        <v>44178</v>
      </c>
      <c r="D29" s="3229">
        <f t="shared" si="2"/>
        <v>4646</v>
      </c>
      <c r="E29" s="3232">
        <v>3097</v>
      </c>
      <c r="F29" s="3232">
        <v>13682</v>
      </c>
    </row>
    <row r="30" spans="2:6" ht="14.25" thickBot="1">
      <c r="B30" s="3231">
        <v>7004</v>
      </c>
      <c r="C30" s="3232">
        <v>11906.8</v>
      </c>
      <c r="D30" s="3229">
        <f t="shared" si="2"/>
        <v>5103</v>
      </c>
      <c r="E30" s="3232">
        <v>3002</v>
      </c>
      <c r="F30" s="3232">
        <v>3574</v>
      </c>
    </row>
    <row r="31" spans="2:6" ht="14.25" thickBot="1">
      <c r="B31" s="3231">
        <v>7792</v>
      </c>
      <c r="C31" s="3232">
        <v>11688</v>
      </c>
      <c r="D31" s="3229">
        <f t="shared" si="2"/>
        <v>4503</v>
      </c>
      <c r="E31" s="3232">
        <v>3002</v>
      </c>
      <c r="F31" s="3233">
        <v>3509</v>
      </c>
    </row>
    <row r="32" spans="2:6">
      <c r="D32" s="3234">
        <f>81886/175351*10000</f>
        <v>4669.833647940417</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2036</v>
      </c>
      <c r="B1" s="3240"/>
      <c r="C1" s="3240"/>
      <c r="D1" s="3240"/>
      <c r="E1" s="3240"/>
      <c r="F1" s="3240"/>
      <c r="G1" s="3240"/>
      <c r="H1" s="3240"/>
      <c r="I1" s="3240"/>
      <c r="J1" s="3240"/>
      <c r="K1" s="3240"/>
      <c r="L1" s="3240"/>
      <c r="M1" s="3240"/>
      <c r="N1" s="3240"/>
      <c r="O1" s="3240"/>
      <c r="P1" s="3240"/>
      <c r="Q1" s="3240"/>
      <c r="R1" s="3240"/>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41" t="s">
        <v>2027</v>
      </c>
      <c r="B3" s="3241" t="s">
        <v>2727</v>
      </c>
      <c r="C3" s="3242" t="s">
        <v>2028</v>
      </c>
      <c r="D3" s="3241" t="s">
        <v>2731</v>
      </c>
      <c r="E3" s="3236" t="s">
        <v>2029</v>
      </c>
      <c r="F3" s="3236"/>
      <c r="G3" s="3236"/>
      <c r="H3" s="3236" t="s">
        <v>2030</v>
      </c>
      <c r="I3" s="3236"/>
      <c r="J3" s="3236"/>
      <c r="K3" s="3242" t="s">
        <v>2031</v>
      </c>
      <c r="L3" s="3242" t="s">
        <v>2032</v>
      </c>
      <c r="M3" s="3241" t="s">
        <v>2728</v>
      </c>
      <c r="N3" s="3243" t="str">
        <f>"（分摊）"&amp;项目基本情况!B16&amp;"国有建设用地使用权面积/㎡"</f>
        <v>（分摊）出让国有建设用地使用权面积/㎡</v>
      </c>
      <c r="O3" s="3241" t="s">
        <v>2061</v>
      </c>
      <c r="P3" s="3242" t="s">
        <v>2041</v>
      </c>
      <c r="Q3" s="3242" t="s">
        <v>2062</v>
      </c>
      <c r="R3" s="3242" t="s">
        <v>2033</v>
      </c>
    </row>
    <row r="4" spans="1:18" ht="36.75" customHeight="1">
      <c r="A4" s="3241"/>
      <c r="B4" s="3241"/>
      <c r="C4" s="3242"/>
      <c r="D4" s="3241"/>
      <c r="E4" s="2614" t="s">
        <v>2040</v>
      </c>
      <c r="F4" s="2614" t="s">
        <v>2740</v>
      </c>
      <c r="G4" s="2614" t="s">
        <v>2034</v>
      </c>
      <c r="H4" s="2614" t="s">
        <v>2035</v>
      </c>
      <c r="I4" s="2614" t="s">
        <v>2741</v>
      </c>
      <c r="J4" s="2614" t="s">
        <v>2034</v>
      </c>
      <c r="K4" s="3242"/>
      <c r="L4" s="3242"/>
      <c r="M4" s="3241"/>
      <c r="N4" s="3243"/>
      <c r="O4" s="3241"/>
      <c r="P4" s="3242"/>
      <c r="Q4" s="3242"/>
      <c r="R4" s="3242"/>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798">
        <f ca="1">结果表!O39</f>
        <v>19269</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798" t="str">
        <f>结果表!O40</f>
        <v>——</v>
      </c>
    </row>
    <row r="8" spans="1:18">
      <c r="A8" s="3237" t="str">
        <f>IF(项目基本情况!B9="市场价格","——",项目基本情况!E9)</f>
        <v>抵押净值</v>
      </c>
      <c r="B8" s="3238"/>
      <c r="C8" s="3238"/>
      <c r="D8" s="3238"/>
      <c r="E8" s="3238"/>
      <c r="F8" s="3238"/>
      <c r="G8" s="3238"/>
      <c r="H8" s="3238"/>
      <c r="I8" s="3238"/>
      <c r="J8" s="3238"/>
      <c r="K8" s="3238"/>
      <c r="L8" s="3238"/>
      <c r="M8" s="3238"/>
      <c r="N8" s="3238"/>
      <c r="O8" s="3238"/>
      <c r="P8" s="3238"/>
      <c r="Q8" s="3239"/>
      <c r="R8" s="1798">
        <f ca="1">结果表!O41</f>
        <v>6861</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5" t="s">
        <v>2063</v>
      </c>
      <c r="B1" s="3245"/>
      <c r="C1" s="3245"/>
      <c r="D1" s="3245"/>
    </row>
    <row r="2" spans="1:4" ht="47.25" customHeight="1">
      <c r="A2" s="3246" t="str">
        <f>"1.权利限制："&amp;项目基本情况!L24&amp;"未设定租赁等其他他项权利。"</f>
        <v>1.权利限制：根据估价对象《国有土地使用证》原件，截至估价期日，估价对象已设定抵押。未设定租赁等其他他项权利。</v>
      </c>
      <c r="B2" s="3246"/>
      <c r="C2" s="3246"/>
      <c r="D2" s="3246"/>
    </row>
    <row r="3" spans="1:4" ht="48" customHeight="1">
      <c r="A3" s="32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4" t="s">
        <v>2064</v>
      </c>
      <c r="B5" s="3244"/>
      <c r="C5" s="3244"/>
      <c r="D5" s="3244"/>
    </row>
    <row r="6" spans="1:4">
      <c r="A6" s="3245" t="s">
        <v>2042</v>
      </c>
      <c r="B6" s="3245"/>
      <c r="C6" s="3245"/>
      <c r="D6" s="3245"/>
    </row>
    <row r="7" spans="1:4" ht="33" customHeight="1">
      <c r="A7" s="3245" t="s">
        <v>2571</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7"/>
      <c r="C11" s="3247"/>
      <c r="D11" s="3247"/>
    </row>
    <row r="12" spans="1:4" ht="168" customHeight="1">
      <c r="A12" s="3244" t="s">
        <v>2066</v>
      </c>
      <c r="B12" s="3244"/>
      <c r="C12" s="3244"/>
      <c r="D12" s="3244"/>
    </row>
    <row r="13" spans="1:4">
      <c r="A13" s="3248" t="s">
        <v>2742</v>
      </c>
      <c r="B13" s="3248"/>
      <c r="C13" s="3248"/>
      <c r="D13" s="3248"/>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2698</v>
      </c>
      <c r="B17" s="3245"/>
      <c r="C17" s="3245"/>
      <c r="D17" s="3245"/>
    </row>
    <row r="18" spans="1:4">
      <c r="A18" s="3245" t="s">
        <v>2690</v>
      </c>
      <c r="B18" s="3245"/>
      <c r="C18" s="3245"/>
      <c r="D18" s="3245"/>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45" t="s">
        <v>2695</v>
      </c>
      <c r="B23" s="3245"/>
      <c r="C23" s="3245"/>
      <c r="D23" s="3245"/>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6" t="s">
        <v>53</v>
      </c>
      <c r="B15" s="3257" t="s">
        <v>845</v>
      </c>
      <c r="C15" s="3253"/>
    </row>
    <row r="16" spans="1:7" ht="14.25">
      <c r="A16" s="3256"/>
      <c r="B16" s="3254" t="s">
        <v>54</v>
      </c>
      <c r="C16" s="1168" t="s">
        <v>53</v>
      </c>
    </row>
    <row r="17" spans="1:3" ht="14.25">
      <c r="A17" s="3256"/>
      <c r="B17" s="3254"/>
      <c r="C17" s="1168" t="s">
        <v>55</v>
      </c>
    </row>
    <row r="18" spans="1:3" ht="14.25">
      <c r="A18" s="3256"/>
      <c r="B18" s="3254"/>
      <c r="C18" s="1168" t="s">
        <v>56</v>
      </c>
    </row>
    <row r="19" spans="1:3" ht="14.25">
      <c r="A19" s="3256"/>
      <c r="B19" s="3252" t="s">
        <v>57</v>
      </c>
      <c r="C19" s="3253"/>
    </row>
    <row r="20" spans="1:3" ht="14.25">
      <c r="A20" s="1169" t="s">
        <v>58</v>
      </c>
      <c r="B20" s="1170"/>
      <c r="C20" s="1171"/>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2" t="s">
        <v>836</v>
      </c>
    </row>
    <row r="25" spans="1:3" ht="14.25">
      <c r="A25" s="3255"/>
      <c r="B25" s="3259"/>
      <c r="C25" s="1172" t="s">
        <v>837</v>
      </c>
    </row>
    <row r="26" spans="1:3" ht="14.25">
      <c r="A26" s="3255"/>
      <c r="B26" s="3259"/>
      <c r="C26" s="1172" t="s">
        <v>838</v>
      </c>
    </row>
    <row r="27" spans="1:3" ht="14.25">
      <c r="A27" s="3255"/>
      <c r="B27" s="3259"/>
      <c r="C27" s="1172" t="s">
        <v>839</v>
      </c>
    </row>
    <row r="28" spans="1:3" ht="14.25">
      <c r="A28" s="3255"/>
      <c r="B28" s="3259"/>
      <c r="C28" s="1172" t="s">
        <v>840</v>
      </c>
    </row>
    <row r="29" spans="1:3" ht="14.25">
      <c r="A29" s="3255"/>
      <c r="B29" s="3259"/>
      <c r="C29" s="1172" t="s">
        <v>841</v>
      </c>
    </row>
    <row r="30" spans="1:3" ht="14.25">
      <c r="A30" s="3255"/>
      <c r="B30" s="3259"/>
      <c r="C30" s="1172" t="s">
        <v>842</v>
      </c>
    </row>
    <row r="31" spans="1:3" ht="14.25">
      <c r="A31" s="3255"/>
      <c r="B31" s="3259"/>
      <c r="C31" s="1172" t="s">
        <v>843</v>
      </c>
    </row>
    <row r="32" spans="1:3" ht="14.25">
      <c r="A32" s="3255"/>
      <c r="B32" s="3259"/>
      <c r="C32" s="1172" t="s">
        <v>1645</v>
      </c>
    </row>
    <row r="33" spans="1:3" ht="14.25">
      <c r="A33" s="3255"/>
      <c r="B33" s="3249" t="s">
        <v>1651</v>
      </c>
      <c r="C33" s="1172" t="s">
        <v>1646</v>
      </c>
    </row>
    <row r="34" spans="1:3" ht="14.25">
      <c r="A34" s="3255"/>
      <c r="B34" s="3250"/>
      <c r="C34" s="1177" t="s">
        <v>1647</v>
      </c>
    </row>
    <row r="35" spans="1:3" ht="14.25">
      <c r="A35" s="3255"/>
      <c r="B35" s="3250"/>
      <c r="C35" s="1178" t="s">
        <v>1648</v>
      </c>
    </row>
    <row r="36" spans="1:3" ht="14.25">
      <c r="A36" s="3255"/>
      <c r="B36" s="3250"/>
      <c r="C36" s="1178" t="s">
        <v>1649</v>
      </c>
    </row>
    <row r="37" spans="1:3" ht="14.25">
      <c r="A37" s="3255"/>
      <c r="B37" s="3251"/>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43622</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f ca="1">IF(C11&lt;B2,"已过期",1120100036)</f>
        <v>1120100036</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2977</v>
      </c>
      <c r="B14" s="3133">
        <f ca="1">IF(C14&lt;B2,"已过期",1120040230)</f>
        <v>1120040230</v>
      </c>
      <c r="C14" s="3137">
        <v>43835</v>
      </c>
      <c r="D14" s="3138" t="s">
        <v>2978</v>
      </c>
      <c r="E14" s="3133">
        <f ca="1">IF(F14&lt;B2,"已过期",98030020)</f>
        <v>98030020</v>
      </c>
      <c r="F14" s="3136">
        <v>47118</v>
      </c>
    </row>
    <row r="15" spans="1:6" ht="20.25" customHeight="1">
      <c r="A15" s="3133" t="s">
        <v>2570</v>
      </c>
      <c r="B15" s="3133">
        <f ca="1">IF(C15&lt;B2,"已过期",1120070085)</f>
        <v>1120070085</v>
      </c>
      <c r="C15" s="3137">
        <v>43814</v>
      </c>
      <c r="D15" s="3133" t="s">
        <v>2979</v>
      </c>
      <c r="E15" s="3133">
        <f ca="1">IF(F15&lt;B2,"已过期",2004110128)</f>
        <v>2004110128</v>
      </c>
      <c r="F15" s="3139">
        <v>47118</v>
      </c>
    </row>
    <row r="16" spans="1:6" ht="20.25" customHeight="1">
      <c r="A16" s="3133" t="s">
        <v>1922</v>
      </c>
      <c r="B16" s="3133">
        <f ca="1">IF(C16&lt;B2,"已过期",1120140022)</f>
        <v>1120140022</v>
      </c>
      <c r="C16" s="3135">
        <v>44029</v>
      </c>
      <c r="D16" s="3133" t="s">
        <v>2980</v>
      </c>
      <c r="E16" s="3133">
        <f ca="1">IF(F16&lt;B2,"已过期",2008110059)</f>
        <v>2008110059</v>
      </c>
      <c r="F16" s="3136">
        <v>47177</v>
      </c>
    </row>
    <row r="17" spans="1:7" ht="20.25" customHeight="1">
      <c r="A17" s="3133"/>
      <c r="B17" s="3133"/>
      <c r="C17" s="3135"/>
      <c r="D17" s="3138" t="s">
        <v>2981</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60" t="s">
        <v>1925</v>
      </c>
      <c r="B25" s="3260"/>
      <c r="C25" s="3260"/>
      <c r="D25" s="3260"/>
      <c r="E25" s="3260"/>
      <c r="F25" s="3260"/>
      <c r="G25" s="3260"/>
    </row>
    <row r="26" spans="1:7" ht="20.25" customHeight="1">
      <c r="A26" s="3261" t="s">
        <v>1926</v>
      </c>
      <c r="B26" s="3261"/>
      <c r="C26" s="3261"/>
      <c r="D26" s="3261" t="s">
        <v>1927</v>
      </c>
      <c r="E26" s="3261"/>
      <c r="F26" s="3261"/>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2939</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2951</v>
      </c>
      <c r="C18" s="1541"/>
    </row>
    <row r="19" spans="1:3">
      <c r="A19" s="8" t="s">
        <v>120</v>
      </c>
      <c r="B19" s="3065" t="s">
        <v>2959</v>
      </c>
      <c r="C19" s="1541"/>
    </row>
    <row r="20" spans="1:3">
      <c r="A20" s="8" t="s">
        <v>121</v>
      </c>
      <c r="B20" s="8" t="s">
        <v>3040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62"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62"/>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62"/>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62"/>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62"/>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2019-06-06T05:06:04Z</dcterms:modified>
</cp:coreProperties>
</file>