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C25" i="1" l="1"/>
  <c r="E13" i="1"/>
  <c r="E20" i="1"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E2" i="34"/>
  <c r="E2" i="37"/>
  <c r="E2" i="35"/>
  <c r="C19" i="57"/>
  <c r="F3" i="61"/>
  <c r="E2" i="33"/>
  <c r="F5" i="61"/>
  <c r="D6" i="61"/>
  <c r="H23" i="31"/>
  <c r="F6" i="61"/>
  <c r="E2" i="11"/>
  <c r="D3" i="61"/>
  <c r="F7" i="61"/>
  <c r="F4" i="61"/>
  <c r="D4" i="61"/>
  <c r="D19" i="57"/>
  <c r="E2" i="36"/>
  <c r="D7" i="61"/>
  <c r="E2" i="21"/>
  <c r="D5" i="61"/>
  <c r="D20" i="57"/>
  <c r="C20" i="57"/>
  <c r="U15" i="40" l="1"/>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D19" i="50"/>
  <c r="B32" i="60" s="1"/>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J7" i="21"/>
  <c r="W7" i="21" s="1"/>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J59" i="34"/>
  <c r="M69" i="39"/>
  <c r="N67" i="39"/>
  <c r="S7" i="21"/>
  <c r="AA7" i="21"/>
  <c r="R48" i="21" s="1"/>
  <c r="Q46" i="15"/>
  <c r="C60" i="15"/>
  <c r="C57" i="15"/>
  <c r="C66" i="15" s="1"/>
  <c r="C37" i="15"/>
  <c r="C30" i="15" s="1"/>
  <c r="C39" i="15" s="1"/>
  <c r="Q68" i="15"/>
  <c r="J16" i="15"/>
  <c r="J25" i="15" s="1"/>
  <c r="C56" i="11"/>
  <c r="C57" i="11" s="1"/>
  <c r="B2" i="11"/>
  <c r="B3" i="11"/>
  <c r="C19" i="9"/>
  <c r="C20" i="9"/>
  <c r="C102" i="9" l="1"/>
  <c r="C101" i="9"/>
  <c r="C98" i="57"/>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E49" i="34" l="1"/>
  <c r="I54" i="34" s="1"/>
  <c r="J54" i="34" s="1"/>
  <c r="D101" i="9"/>
  <c r="D22" i="9"/>
  <c r="G19" i="9"/>
  <c r="G22" i="9" s="1"/>
  <c r="D102" i="9"/>
  <c r="G20" i="9"/>
  <c r="C32" i="9" s="1"/>
  <c r="C35" i="9" s="1"/>
  <c r="C34" i="9" s="1"/>
  <c r="I53" i="34"/>
  <c r="J53"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E53" i="34" l="1"/>
  <c r="F53"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D121" i="9" l="1"/>
  <c r="E121" i="9" s="1"/>
  <c r="E4" i="52" s="1"/>
  <c r="B38" i="60" s="1"/>
  <c r="F121" i="9"/>
  <c r="G121" i="9" s="1"/>
  <c r="G4" i="52" s="1"/>
  <c r="B41" i="60" s="1"/>
  <c r="H121" i="9"/>
  <c r="H4" i="52" l="1"/>
  <c r="I121" i="9"/>
  <c r="F122" i="9"/>
  <c r="F5" i="52" s="1"/>
  <c r="B42" i="60" s="1"/>
  <c r="F4" i="52"/>
  <c r="B40" i="60" s="1"/>
  <c r="D122" i="9"/>
  <c r="D5" i="52" s="1"/>
  <c r="B39" i="60" s="1"/>
  <c r="D4" i="52"/>
  <c r="B37" i="60" s="1"/>
  <c r="C103" i="9"/>
  <c r="I102" i="9"/>
  <c r="D106" i="9"/>
  <c r="D112" i="9" s="1"/>
  <c r="H122" i="9"/>
  <c r="H5" i="52" s="1"/>
  <c r="D14" i="62"/>
  <c r="I4" i="52" l="1"/>
  <c r="I103" i="9"/>
  <c r="D107" i="9"/>
  <c r="C104" i="9"/>
  <c r="D28" i="50"/>
  <c r="D29" i="50" s="1"/>
  <c r="D7" i="50"/>
  <c r="D113" i="9"/>
  <c r="D117" i="9"/>
  <c r="N48" i="9"/>
  <c r="I110" i="9"/>
  <c r="D45" i="9"/>
  <c r="E14" i="62"/>
  <c r="B5" i="62"/>
  <c r="F14" i="62"/>
  <c r="D9" i="50" l="1"/>
  <c r="B21" i="60" s="1"/>
  <c r="D30" i="50"/>
  <c r="I111" i="9"/>
  <c r="D38" i="50"/>
  <c r="B62" i="60" s="1"/>
  <c r="D125" i="9"/>
  <c r="D15" i="50"/>
  <c r="D36" i="50"/>
  <c r="D37" i="50" s="1"/>
  <c r="I115" i="9"/>
  <c r="D23" i="50" s="1"/>
  <c r="B34" i="60" s="1"/>
  <c r="D44" i="50"/>
  <c r="B19" i="60"/>
  <c r="D8" i="50"/>
  <c r="B22" i="60" s="1"/>
  <c r="D5" i="62"/>
  <c r="C5" i="62"/>
  <c r="C93" i="9"/>
  <c r="C86" i="9" s="1"/>
  <c r="C72" i="9"/>
  <c r="C78" i="9"/>
  <c r="C73" i="9" s="1"/>
  <c r="C64" i="9"/>
  <c r="C63" i="9" s="1"/>
  <c r="C67" i="9" s="1"/>
  <c r="C68" i="9" s="1"/>
  <c r="D54" i="9" s="1"/>
  <c r="D52" i="9"/>
  <c r="D53" i="9"/>
  <c r="D48" i="9" s="1"/>
  <c r="N52" i="9" s="1"/>
  <c r="O57" i="9" s="1"/>
  <c r="C85" i="9"/>
  <c r="C95" i="9" s="1"/>
  <c r="B29" i="60" l="1"/>
  <c r="D16" i="50"/>
  <c r="B30" i="60" s="1"/>
  <c r="G14" i="62"/>
  <c r="B6" i="62" s="1"/>
  <c r="D8" i="52"/>
  <c r="D126" i="9"/>
  <c r="D9" i="52" s="1"/>
  <c r="D17" i="50"/>
  <c r="Q57" i="9"/>
  <c r="O59" i="9"/>
  <c r="O58" i="9"/>
  <c r="C79" i="9"/>
  <c r="C96" i="9"/>
  <c r="E96" i="9" s="1"/>
  <c r="E97" i="9" s="1"/>
  <c r="C97" i="9" l="1"/>
  <c r="D58" i="9" s="1"/>
  <c r="C6" i="62"/>
  <c r="D6" i="62"/>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<sst xmlns="http://schemas.openxmlformats.org/spreadsheetml/2006/main" count="6905" uniqueCount="3046">
  <si>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</si>
  <si>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</si>
  <si>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</si>
  <si>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</si>
  <si>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</si>
  <si>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</si>
  <si>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</si>
  <si>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</si>
  <si>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</si>
  <si>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</si>
  <si>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</si>
  <si>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</si>
  <si>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</si>
  <si>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</si>
  <si>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</si>
  <si>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</si>
  <si>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</si>
  <si>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</si>
  <si>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</si>
  <si>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</si>
  <si>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</si>
  <si>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</si>
  <si>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</si>
  <si>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</si>
  <si>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</si>
  <si>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</si>
  <si>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</si>
  <si>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</si>
  <si>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</si>
  <si>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</si>
  <si>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</si>
  <si>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</si>
  <si>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</si>
  <si>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</si>
  <si>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</si>
  <si>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</si>
  <si>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</si>
  <si>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</si>
  <si>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</si>
  <si>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</si>
  <si>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</si>
  <si>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</si>
  <si>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</si>
  <si>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</si>
  <si>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</si>
  <si>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</si>
  <si>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</si>
  <si>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</si>
  <si>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</si>
  <si>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</si>
  <si>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</si>
  <si>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</si>
  <si>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</si>
  <si>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</si>
  <si>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</si>
  <si>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</si>
  <si>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</si>
  <si>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</si>
  <si>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</si>
  <si>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</si>
  <si>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</si>
  <si>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</si>
  <si>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</si>
  <si>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</si>
  <si>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</si>
  <si>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</si>
  <si>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</si>
  <si>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</si>
  <si>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</si>
  <si>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</si>
  <si>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</si>
  <si>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</si>
  <si>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</si>
  <si>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</si>
  <si>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</si>
  <si>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</si>
  <si>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</si>
  <si>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</si>
  <si>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</si>
  <si>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</si>
  <si>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</si>
  <si>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</si>
  <si>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</si>
  <si>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</si>
  <si>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</si>
  <si>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</si>
  <si>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</si>
  <si>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</si>
  <si>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</si>
  <si>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</si>
  <si>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</si>
  <si>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</si>
  <si>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</si>
  <si>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</si>
  <si>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</si>
  <si>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</si>
  <si>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</si>
  <si>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</si>
  <si>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</si>
  <si>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</si>
  <si>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</si>
  <si>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</si>
  <si>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</si>
  <si>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</si>
  <si>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</si>
  <si>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</si>
  <si>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</si>
  <si>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</si>
  <si>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</si>
  <si>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</si>
  <si>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</si>
  <si>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</si>
  <si>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</si>
  <si>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</si>
  <si>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</si>
  <si>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</si>
  <si>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</si>
  <si>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</si>
  <si>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</si>
  <si>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</si>
  <si>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</si>
  <si>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</si>
  <si>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</si>
  <si>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</si>
  <si>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</si>
  <si>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</si>
  <si>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</si>
  <si>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</si>
  <si>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</si>
  <si>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</si>
  <si>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</si>
  <si>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</si>
  <si>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</si>
  <si>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</si>
  <si>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</si>
  <si>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</si>
  <si>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</si>
  <si>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</si>
  <si>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</si>
  <si>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</si>
  <si>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</si>
  <si>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</si>
  <si>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</si>
  <si>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</si>
  <si>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</si>
  <si>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</si>
  <si>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</si>
  <si>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</si>
  <si>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</si>
  <si>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</si>
  <si>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</si>
  <si>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</si>
  <si>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</si>
  <si>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</si>
  <si>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</si>
  <si>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</si>
  <si>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</si>
  <si>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</si>
  <si>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</si>
  <si>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</si>
  <si>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</si>
  <si>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</si>
  <si>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</si>
  <si>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</si>
  <si>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</si>
  <si>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</si>
  <si>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</si>
  <si>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</si>
  <si>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</si>
  <si>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</si>
  <si>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</si>
  <si>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</si>
  <si>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</si>
  <si>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</si>
  <si>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</si>
  <si>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</si>
  <si>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</si>
  <si>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</si>
  <si>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</si>
  <si>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</si>
  <si>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</si>
  <si>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</si>
  <si>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</si>
  <si>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</si>
  <si>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</si>
  <si>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</si>
  <si>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</si>
  <si>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</si>
  <si>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</si>
  <si>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</si>
  <si>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</si>
  <si>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</si>
  <si>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</si>
  <si>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</si>
  <si>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</si>
  <si>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</si>
  <si>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</si>
  <si>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</si>
  <si>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</si>
  <si>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</si>
  <si>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</si>
  <si>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</si>
  <si>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</si>
  <si>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</si>
  <si>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</si>
  <si>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</si>
  <si>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</si>
  <si>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</si>
  <si>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</si>
  <si>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</si>
  <si>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</si>
  <si>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</si>
  <si>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</si>
  <si>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</si>
  <si>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</si>
  <si>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</si>
  <si>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</si>
  <si>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</si>
  <si>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</si>
  <si>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</si>
  <si>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</si>
  <si>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</si>
  <si>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</si>
  <si>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</si>
  <si>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</si>
  <si>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</si>
  <si>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</si>
  <si>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</si>
  <si>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</si>
  <si>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</si>
  <si>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</si>
  <si>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</si>
  <si>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</si>
  <si>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</si>
  <si>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</si>
  <si>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</si>
  <si>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</si>
  <si>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</si>
  <si>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</si>
  <si>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</si>
  <si>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</si>
  <si>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</si>
  <si>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</si>
  <si>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</si>
  <si>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</si>
  <si>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</si>
  <si>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</si>
  <si>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</si>
  <si>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</si>
  <si>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</si>
  <si>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</si>
  <si>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</si>
  <si>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</si>
  <si>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</si>
  <si>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</si>
  <si>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</si>
  <si>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</si>
  <si>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</si>
  <si>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</si>
  <si>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</si>
  <si>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</si>
  <si>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</si>
  <si>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</si>
  <si>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</si>
  <si>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</si>
  <si>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</si>
  <si>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</si>
  <si>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</si>
  <si>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</si>
  <si>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</si>
  <si>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</si>
  <si>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</si>
  <si>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</si>
  <si>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</si>
  <si>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</si>
  <si>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</si>
  <si>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</si>
  <si>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</si>
  <si>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</si>
  <si>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</si>
  <si>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</si>
  <si>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</si>
  <si>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</si>
  <si>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</si>
  <si>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</si>
  <si>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</si>
  <si>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</si>
  <si>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</si>
  <si>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</si>
  <si>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</si>
  <si>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</si>
  <si>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</si>
  <si>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</si>
  <si>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</si>
  <si>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</si>
  <si>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</si>
  <si>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</si>
  <si>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</si>
  <si>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</si>
  <si>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</si>
  <si>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</si>
  <si>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</si>
  <si>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</si>
  <si>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</si>
  <si>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</si>
  <si>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</si>
  <si>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</si>
  <si>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</si>
  <si>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</si>
  <si>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</si>
  <si>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</si>
  <si>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</si>
  <si>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</si>
  <si>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</si>
  <si>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</si>
  <si>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</si>
  <si>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</si>
  <si>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</si>
  <si>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</si>
  <si>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</si>
  <si>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</si>
  <si>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</si>
  <si>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</si>
  <si>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</si>
  <si>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</si>
  <si>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</si>
  <si>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</si>
  <si>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</si>
  <si>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</si>
  <si>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</si>
  <si>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</si>
  <si>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</si>
  <si>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</si>
  <si>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</si>
  <si>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</si>
  <si>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</si>
  <si>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</si>
  <si>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</si>
  <si>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</si>
  <si>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</si>
  <si>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</si>
  <si>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</si>
  <si>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</si>
  <si>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</si>
  <si>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</si>
  <si>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</si>
  <si>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</si>
  <si>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</si>
  <si>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</si>
  <si>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</si>
  <si>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</si>
  <si>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</si>
  <si>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</si>
  <si>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</si>
  <si>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</si>
  <si>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</si>
  <si>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</si>
  <si>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</si>
  <si>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</si>
  <si>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</si>
  <si>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</si>
  <si>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</si>
  <si>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</si>
  <si>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</si>
  <si>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</si>
  <si>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</si>
  <si>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</si>
  <si>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</si>
  <si>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</si>
  <si>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</si>
  <si>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</si>
  <si>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</si>
  <si>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</si>
  <si>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</si>
  <si>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</si>
  <si>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</si>
  <si>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</si>
  <si>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</si>
  <si>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</si>
  <si>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</si>
  <si>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</si>
  <si>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</si>
  <si>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</si>
  <si>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</si>
  <si>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</si>
  <si>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</si>
  <si>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</si>
  <si>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</si>
  <si>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</si>
  <si>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</si>
  <si>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</si>
  <si>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</si>
  <si>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</si>
  <si>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</si>
  <si>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</si>
  <si>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</si>
  <si>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</si>
  <si>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</si>
  <si>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</si>
  <si>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</si>
  <si>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</si>
  <si>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</si>
  <si>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</si>
  <si>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</si>
  <si>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</si>
  <si>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</si>
  <si>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</si>
  <si>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</si>
  <si>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</si>
  <si>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</si>
  <si>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</si>
  <si>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</si>
  <si>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</si>
  <si>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</si>
  <si>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</si>
  <si>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</si>
  <si>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</si>
  <si>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</si>
  <si>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</si>
  <si>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</si>
  <si>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</si>
  <si>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</si>
  <si>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</si>
  <si>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</si>
  <si>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</si>
  <si>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</si>
  <si>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</si>
  <si>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</si>
  <si>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</si>
  <si>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</si>
  <si>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</si>
  <si>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</si>
  <si>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</si>
  <si>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</si>
  <si>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</si>
  <si>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</si>
  <si>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</si>
  <si>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</si>
  <si>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</si>
  <si>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</si>
  <si>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</si>
  <si>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</si>
  <si>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</si>
  <si>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</si>
  <si>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</si>
  <si>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</si>
  <si>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</si>
  <si>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</si>
  <si>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</si>
  <si>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</si>
  <si>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</si>
  <si>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</si>
  <si>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</si>
  <si>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</si>
  <si>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</si>
  <si>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</si>
  <si>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</si>
  <si>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</si>
  <si>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</si>
  <si>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</si>
  <si>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</si>
  <si>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</si>
  <si>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</si>
  <si>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</si>
  <si>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</si>
  <si>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</si>
  <si>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</si>
  <si>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</si>
  <si>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</si>
  <si>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</si>
  <si>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</si>
  <si>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</si>
  <si>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</si>
  <si>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</si>
  <si>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</si>
  <si>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</si>
  <si>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</si>
  <si>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</si>
  <si>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</si>
  <si>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</si>
  <si>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</si>
  <si>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</si>
  <si>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</si>
  <si>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</si>
  <si>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</si>
  <si>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</si>
  <si>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</si>
  <si>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</si>
  <si>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</si>
  <si>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</si>
  <si>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</si>
  <si>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</si>
  <si>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</si>
  <si>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</si>
  <si>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</si>
  <si>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</si>
  <si>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</si>
  <si>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</si>
  <si>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</si>
  <si>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</si>
  <si>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</si>
  <si>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</si>
  <si>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</si>
  <si>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</si>
  <si>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</si>
  <si>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</si>
  <si>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</si>
  <si>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</si>
  <si>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</si>
  <si>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</si>
  <si>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</si>
  <si>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</si>
  <si>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</si>
  <si>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</si>
  <si>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</si>
  <si>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</si>
  <si>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</si>
  <si>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</si>
  <si>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</si>
  <si>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</si>
  <si>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</si>
  <si>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</si>
  <si>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</si>
  <si>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</si>
  <si>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</si>
  <si>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</si>
  <si>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</si>
  <si>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</si>
  <si>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</si>
  <si>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</si>
  <si>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</si>
  <si>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</si>
  <si>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</si>
  <si>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</si>
  <si>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</si>
  <si>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</si>
  <si>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</si>
  <si>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</si>
  <si>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</si>
  <si>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</si>
  <si>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</si>
  <si>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</si>
  <si>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</si>
  <si>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</si>
  <si>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</si>
  <si>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</si>
  <si>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</si>
  <si>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</si>
  <si>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</si>
  <si>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</si>
  <si>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</si>
  <si>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</si>
  <si>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</si>
  <si>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</si>
  <si>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</si>
  <si>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</si>
  <si>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</si>
  <si>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</si>
  <si>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</si>
  <si>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</si>
  <si>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</si>
  <si>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</si>
  <si>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</si>
  <si>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</si>
  <si>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</si>
  <si>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</si>
  <si>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</si>
  <si>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</si>
  <si>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</si>
  <si>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</si>
  <si>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</si>
  <si>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</si>
  <si>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</si>
  <si>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</si>
  <si>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</si>
  <si>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</si>
  <si>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</si>
  <si>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</si>
  <si>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</si>
  <si>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</si>
  <si>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</si>
  <si>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</si>
  <si>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</si>
  <si>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</si>
  <si>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</si>
  <si>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</si>
  <si>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</si>
  <si>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</si>
  <si>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</si>
  <si>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</si>
  <si>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</si>
  <si>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</si>
  <si>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</si>
  <si>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</si>
  <si>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</si>
  <si>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</si>
  <si>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</si>
  <si>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</si>
  <si>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</si>
  <si>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</si>
  <si>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</si>
  <si>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</si>
  <si>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</si>
  <si>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</si>
  <si>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</si>
  <si>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</si>
  <si>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</si>
  <si>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</si>
  <si>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</si>
  <si>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</si>
  <si>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</si>
  <si>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</si>
  <si>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</si>
  <si>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</si>
  <si>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</si>
  <si>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</si>
  <si>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</si>
  <si>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</si>
  <si>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</si>
  <si>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</si>
  <si>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</si>
  <si>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</si>
  <si>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</si>
  <si>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</si>
  <si>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</si>
  <si>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</si>
  <si>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</si>
  <si>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</si>
  <si>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</si>
  <si>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</si>
  <si>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</si>
  <si>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</si>
  <si>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</si>
  <si>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</si>
  <si>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</si>
  <si>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</si>
  <si>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</si>
  <si>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</si>
  <si>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</si>
  <si>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</si>
  <si>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</si>
  <si>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</si>
  <si>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</si>
  <si>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</si>
  <si>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</si>
  <si>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</si>
  <si>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</si>
  <si>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</si>
  <si>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</si>
  <si>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</si>
  <si>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</si>
  <si>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</si>
  <si>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</si>
  <si>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</si>
  <si>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</si>
  <si>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</si>
  <si>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</si>
  <si>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</si>
  <si>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</si>
  <si>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</si>
  <si>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</si>
  <si>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</si>
  <si>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</si>
  <si>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</si>
  <si>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</si>
  <si>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</si>
  <si>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</si>
  <si>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</si>
  <si>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</si>
  <si>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</si>
  <si>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</si>
  <si>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</si>
  <si>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</si>
  <si>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</si>
  <si>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</si>
  <si>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</si>
  <si>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</si>
  <si>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</si>
  <si>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</si>
  <si>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</si>
  <si>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</si>
  <si>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</si>
  <si>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</si>
  <si>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</si>
  <si>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</si>
  <si>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</si>
  <si>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</si>
  <si>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</si>
  <si>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</si>
  <si>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</si>
  <si>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</si>
  <si>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</si>
  <si>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</si>
  <si>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</si>
  <si>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</si>
  <si>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</si>
  <si>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</si>
  <si>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</si>
  <si>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</si>
  <si>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</si>
  <si>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</si>
  <si>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</si>
  <si>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</si>
  <si>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</si>
  <si>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</si>
  <si>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</si>
  <si>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</si>
  <si>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</si>
  <si>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</si>
  <si>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</si>
  <si>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</si>
  <si>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</si>
  <si>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</si>
  <si>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</si>
  <si>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</si>
  <si>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</si>
  <si>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</si>
  <si>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</si>
  <si>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</si>
  <si>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</si>
  <si>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</si>
  <si>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</si>
  <si>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</si>
  <si>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</si>
  <si>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</si>
  <si>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</si>
  <si>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</si>
  <si>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</si>
  <si>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</si>
  <si>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</si>
  <si>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</si>
  <si>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</si>
  <si>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</si>
  <si>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</si>
  <si>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</si>
  <si>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</si>
  <si>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</si>
  <si>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</si>
  <si>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</si>
  <si>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</si>
  <si>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</si>
  <si>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</si>
  <si>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</si>
  <si>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</si>
  <si>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</si>
  <si>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</si>
  <si>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</si>
  <si>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</si>
  <si>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</si>
  <si>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</si>
  <si>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</si>
  <si>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</si>
  <si>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</si>
  <si>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</si>
  <si>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</si>
  <si>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</si>
  <si>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</si>
  <si>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</si>
  <si>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</si>
  <si>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</si>
  <si>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</si>
  <si>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</si>
  <si>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</si>
  <si>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</si>
  <si>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</si>
  <si>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</si>
  <si>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</si>
  <si>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</si>
  <si>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</si>
  <si>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</si>
  <si>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</si>
  <si>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</si>
  <si>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</si>
  <si>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</si>
  <si>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</si>
  <si>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</si>
  <si>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</si>
  <si>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</si>
  <si>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</si>
  <si>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</si>
  <si>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</si>
  <si>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</si>
  <si>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</si>
  <si>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</si>
  <si>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</si>
  <si>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</si>
  <si>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</si>
  <si>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</si>
  <si>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</si>
  <si>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</si>
  <si>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</si>
  <si>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</si>
  <si>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</si>
  <si>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</si>
  <si>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</si>
  <si>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</si>
  <si>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</si>
  <si>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</si>
  <si>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</si>
  <si>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</si>
  <si>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</si>
  <si>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</si>
  <si>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</si>
  <si>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</si>
  <si>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</si>
  <si>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</si>
  <si>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</si>
  <si>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</si>
  <si>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</si>
  <si>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</si>
  <si>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</si>
  <si>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</si>
  <si>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</si>
  <si>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</si>
  <si>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</si>
  <si>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</si>
  <si>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</si>
  <si>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</si>
  <si>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</si>
  <si>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</si>
  <si>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</si>
  <si>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</si>
  <si>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</si>
  <si>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</si>
  <si>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</si>
  <si>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</si>
  <si>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</si>
  <si>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</si>
  <si>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</si>
  <si>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</si>
  <si>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</si>
  <si>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</si>
  <si>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</si>
  <si>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</si>
  <si>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</si>
  <si>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</si>
  <si>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</si>
  <si>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</si>
  <si>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</si>
  <si>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</si>
  <si>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</si>
  <si>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</si>
  <si>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</si>
  <si>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</si>
  <si>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</si>
  <si>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</si>
  <si>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</si>
  <si>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</si>
  <si>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</si>
  <si>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</si>
  <si>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</si>
  <si>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</si>
  <si>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</si>
  <si>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</si>
  <si>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</si>
  <si>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</si>
  <si>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</si>
  <si>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</si>
  <si>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</si>
  <si>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</si>
  <si>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</si>
  <si>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</si>
  <si>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</si>
  <si>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</si>
  <si>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</si>
  <si>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</si>
  <si>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</si>
  <si>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</si>
  <si>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</si>
  <si>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</si>
  <si>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</si>
  <si>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</si>
  <si>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</si>
  <si>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</si>
  <si>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</si>
  <si>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</si>
  <si>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</si>
  <si>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</si>
  <si>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</si>
  <si>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</si>
  <si>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</si>
  <si>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</si>
  <si>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</si>
  <si>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</si>
  <si>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</si>
  <si>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</si>
  <si>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</si>
  <si>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</si>
  <si>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</si>
  <si>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</si>
  <si>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</si>
  <si>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</si>
  <si>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</si>
  <si>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</si>
  <si>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</si>
  <si>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</si>
  <si>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</si>
  <si>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</si>
  <si>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</si>
  <si>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</si>
  <si>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</si>
  <si>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</si>
  <si>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</si>
  <si>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</si>
  <si>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</si>
  <si>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</si>
  <si>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</si>
  <si>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</si>
  <si>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</si>
  <si>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</si>
  <si>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</si>
  <si>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</si>
  <si>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</si>
  <si>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</si>
  <si>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</si>
  <si>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</si>
  <si>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</si>
  <si>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</si>
  <si>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</si>
  <si>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</si>
  <si>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</si>
  <si>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</si>
  <si>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</si>
  <si>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</si>
  <si>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</si>
  <si>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</si>
  <si>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</si>
  <si>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</si>
  <si>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</si>
  <si>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</si>
  <si>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</si>
  <si>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</si>
  <si>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</si>
  <si>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</si>
  <si>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</si>
  <si>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</si>
  <si>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</si>
  <si>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</si>
  <si>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</si>
  <si>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</si>
  <si>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</si>
  <si>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</si>
  <si>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</si>
  <si>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</si>
  <si>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</si>
  <si>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</si>
  <si>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</si>
  <si>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</si>
  <si>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</si>
  <si>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</si>
  <si>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</si>
  <si>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</si>
  <si>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</si>
  <si>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</si>
  <si>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</si>
  <si>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</si>
  <si>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</si>
  <si>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</si>
  <si>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</si>
  <si>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</si>
  <si>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</si>
  <si>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</si>
  <si>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</si>
  <si>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</si>
  <si>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</si>
  <si>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</si>
  <si>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</si>
  <si>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</si>
  <si>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</si>
  <si>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</si>
  <si>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</si>
  <si>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</si>
  <si>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</si>
  <si>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</si>
  <si>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</si>
  <si>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</si>
  <si>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</si>
  <si>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</si>
  <si>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</si>
  <si>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</si>
  <si>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</si>
  <si>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</si>
  <si>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</si>
  <si>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</si>
  <si>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</si>
  <si>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</si>
  <si>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</si>
  <si>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</si>
  <si>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</si>
  <si>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</si>
  <si>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</si>
  <si>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</si>
  <si>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</si>
  <si>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</si>
  <si>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</si>
  <si>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</si>
  <si>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</si>
  <si>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</si>
  <si>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</si>
  <si>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</si>
  <si>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</si>
  <si>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</si>
  <si>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</si>
  <si>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</si>
  <si>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</si>
  <si>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</si>
  <si>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</si>
  <si>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</si>
  <si>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</si>
  <si>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</si>
  <si>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</si>
  <si>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</si>
  <si>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</si>
  <si>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</si>
  <si>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</si>
  <si>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</si>
  <si>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</si>
  <si>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</si>
  <si>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</si>
  <si>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</si>
  <si>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</si>
  <si>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</si>
  <si>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</si>
  <si>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</si>
  <si>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</si>
  <si>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</si>
  <si>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</si>
  <si>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</si>
  <si>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</si>
  <si>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</si>
  <si>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</si>
  <si>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</si>
  <si>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</si>
  <si>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</si>
  <si>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</si>
  <si>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</si>
  <si>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</si>
  <si>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</si>
  <si>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</si>
  <si>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</si>
  <si>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</si>
  <si>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</si>
  <si>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</si>
  <si>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</si>
  <si>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</si>
  <si>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</si>
  <si>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</si>
  <si>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</si>
  <si>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</si>
  <si>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</si>
  <si>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</si>
  <si>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</si>
  <si>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</si>
  <si>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</si>
  <si>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</si>
  <si>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</si>
  <si>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</si>
  <si>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</si>
  <si>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</si>
  <si>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</si>
  <si>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</si>
  <si>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</si>
  <si>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</si>
  <si>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</si>
  <si>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</si>
  <si>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</si>
  <si>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</si>
  <si>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</si>
  <si>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</si>
  <si>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</si>
  <si>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</si>
  <si>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</si>
  <si>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</si>
  <si>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</si>
  <si>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</si>
  <si>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</si>
  <si>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</si>
  <si>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</si>
  <si>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</si>
  <si>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</si>
  <si>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</si>
  <si>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</si>
  <si>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</si>
  <si>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</si>
  <si>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</si>
  <si>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</si>
  <si>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</si>
  <si>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</si>
  <si>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</si>
  <si>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</si>
  <si>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</si>
  <si>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</si>
  <si>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</si>
  <si>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</si>
  <si>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</si>
  <si>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</si>
  <si>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</si>
  <si>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</si>
  <si>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</si>
  <si>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</si>
  <si>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</si>
  <si>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</si>
  <si>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</si>
  <si>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</si>
  <si>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</si>
  <si>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</si>
  <si>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</si>
  <si>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</si>
  <si>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</si>
  <si>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</si>
  <si>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</si>
  <si>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</si>
  <si>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</si>
  <si>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</si>
  <si>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</si>
  <si>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</si>
  <si>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</si>
  <si>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</si>
  <si>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</si>
  <si>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</si>
  <si>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</si>
  <si>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</si>
  <si>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</si>
  <si>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</si>
  <si>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</si>
  <si>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</si>
  <si>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</si>
  <si>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</si>
  <si>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</si>
  <si>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</si>
  <si>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</si>
  <si>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</si>
  <si>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</si>
  <si>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</si>
  <si>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</si>
  <si>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</si>
  <si>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</si>
  <si>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</si>
  <si>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</si>
  <si>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</si>
  <si>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</si>
  <si>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</si>
  <si>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</si>
  <si>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</si>
  <si>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</si>
  <si>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</si>
  <si>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</si>
  <si>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</si>
  <si>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</si>
  <si>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</si>
  <si>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</si>
  <si>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</si>
  <si>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</si>
  <si>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</si>
  <si>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</si>
  <si>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</si>
  <si>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</si>
  <si>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</si>
  <si>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</si>
  <si>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</si>
  <si>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</si>
  <si>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</si>
  <si>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</si>
  <si>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</si>
  <si>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</si>
  <si>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</si>
  <si>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</si>
  <si>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</si>
  <si>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</si>
  <si>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</si>
  <si>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</si>
  <si>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</si>
  <si>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</si>
  <si>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</si>
  <si>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</si>
  <si>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</si>
  <si>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</si>
  <si>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</si>
  <si>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</si>
  <si>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</si>
  <si>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</si>
  <si>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</si>
  <si>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</si>
  <si>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</si>
  <si>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</si>
  <si>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</si>
  <si>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</si>
  <si>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</si>
  <si>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</si>
  <si>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</si>
  <si>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</si>
  <si>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</si>
  <si>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</si>
  <si>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</si>
  <si>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</si>
  <si>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</si>
  <si>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</si>
  <si>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</si>
  <si>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</si>
  <si>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</si>
  <si>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</si>
  <si>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</si>
  <si>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</si>
  <si>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</si>
  <si>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</si>
  <si>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</si>
  <si>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</si>
  <si>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</si>
  <si>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</si>
  <si>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</si>
  <si>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</si>
  <si>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</si>
  <si>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</si>
  <si>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</si>
  <si>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</si>
  <si>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</si>
  <si>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</si>
  <si>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</si>
  <si>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</si>
  <si>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</si>
  <si>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</si>
  <si>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</si>
  <si>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</si>
  <si>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</si>
  <si>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</si>
  <si>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</si>
  <si>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</si>
  <si>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</si>
  <si>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</si>
  <si>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</si>
  <si>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</si>
  <si>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</si>
  <si>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</si>
  <si>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</si>
  <si>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</si>
  <si>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</si>
  <si>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</si>
  <si>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</si>
  <si>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</si>
  <si>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</si>
  <si>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</si>
  <si>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</si>
  <si>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</si>
  <si>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</si>
  <si>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</si>
  <si>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</si>
  <si>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</si>
  <si>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</si>
  <si>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</si>
  <si>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</si>
  <si>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</si>
  <si>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</si>
  <si>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</si>
  <si>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</si>
  <si>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</si>
  <si>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</si>
  <si>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</si>
  <si>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</si>
  <si>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</si>
  <si>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</si>
  <si>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</si>
  <si>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</si>
  <si>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</si>
  <si>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</si>
  <si>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</si>
  <si>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</si>
  <si>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</si>
  <si>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</si>
  <si>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</si>
  <si>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</si>
  <si>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</si>
  <si>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</si>
  <si>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</si>
  <si>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</si>
  <si>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</si>
  <si>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</si>
  <si>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</si>
  <si>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</si>
  <si>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</si>
  <si>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</si>
  <si>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</si>
  <si>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</si>
  <si>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</si>
  <si>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</si>
  <si>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</si>
  <si>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</si>
  <si>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</si>
  <si>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</si>
  <si>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</si>
  <si>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</si>
  <si>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</si>
  <si>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</si>
  <si>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</si>
  <si>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</si>
  <si>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</si>
  <si>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</si>
  <si>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</si>
  <si>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</si>
  <si>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</si>
  <si>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</si>
  <si>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</si>
  <si>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</si>
  <si>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</si>
  <si>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</si>
  <si>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</si>
  <si>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</si>
  <si>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</si>
  <si>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</si>
  <si>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</si>
  <si>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</si>
  <si>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</si>
  <si>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</si>
  <si>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</si>
  <si>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</si>
  <si>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</si>
  <si>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</si>
  <si>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</si>
  <si>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</si>
  <si>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</si>
  <si>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</si>
  <si>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</si>
  <si>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</si>
  <si>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</si>
  <si>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</si>
  <si>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</si>
  <si>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</si>
  <si>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</si>
  <si>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</si>
  <si>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</si>
  <si>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</si>
  <si>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</si>
  <si>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</si>
  <si>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</si>
  <si>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</si>
  <si>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</si>
  <si>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</si>
  <si>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</si>
  <si>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</si>
  <si>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</si>
  <si>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</si>
  <si>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</si>
  <si>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</si>
  <si>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</si>
  <si>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</si>
  <si>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</si>
  <si>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</si>
  <si>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</si>
  <si>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</si>
  <si>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</si>
  <si>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</si>
  <si>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</si>
  <si>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</si>
  <si>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</si>
  <si>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</si>
  <si>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</si>
  <si>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</si>
  <si>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</si>
  <si>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</si>
  <si>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</si>
  <si>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</si>
  <si>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</si>
  <si>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</si>
  <si>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</si>
  <si>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</si>
  <si>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</si>
  <si>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</si>
  <si>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</si>
  <si>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</si>
  <si>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</si>
  <si>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</si>
  <si>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</si>
  <si>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</si>
  <si>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</si>
  <si>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</si>
  <si>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</si>
  <si>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</si>
  <si>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</si>
  <si>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</si>
  <si>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</si>
  <si>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</si>
  <si>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</si>
  <si>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</si>
  <si>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</si>
  <si>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</si>
  <si>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</si>
  <si>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</si>
  <si>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</si>
  <si>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</si>
  <si>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</si>
  <si>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</si>
  <si>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</si>
  <si>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</si>
  <si>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</si>
  <si>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</si>
  <si>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</si>
  <si>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</si>
  <si>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</si>
  <si>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</si>
  <si>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</si>
  <si>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</si>
  <si>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</si>
  <si>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</si>
  <si>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</si>
  <si>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</si>
  <si>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</si>
  <si>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</si>
  <si>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</si>
  <si>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</si>
  <si>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</si>
  <si>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</si>
  <si>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</si>
  <si>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</si>
  <si>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</si>
  <si>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</si>
  <si>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</si>
  <si>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</si>
  <si>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</si>
  <si>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</si>
  <si>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</si>
  <si>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</si>
  <si>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</si>
  <si>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</si>
  <si>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</si>
  <si>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</si>
  <si>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</si>
  <si>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</si>
  <si>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</si>
  <si>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</si>
  <si>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</si>
  <si>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</si>
  <si>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</si>
  <si>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</si>
  <si>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</si>
  <si>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</si>
  <si>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</si>
  <si>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</si>
  <si>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</si>
  <si>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</si>
  <si>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</si>
  <si>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</si>
  <si>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</si>
  <si>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</si>
  <si>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</si>
  <si>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</si>
  <si>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</si>
  <si>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</si>
  <si>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</si>
  <si>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</si>
  <si>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</si>
  <si>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</si>
  <si>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</si>
  <si>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</si>
  <si>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</si>
  <si>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</si>
  <si>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</si>
  <si>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</si>
  <si>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</si>
  <si>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</si>
  <si>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</si>
  <si>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</si>
  <si>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</si>
  <si>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</si>
  <si>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</si>
  <si>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</si>
  <si>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</si>
  <si>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</si>
  <si>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</si>
  <si>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</si>
  <si>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</si>
  <si>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</si>
  <si>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</si>
  <si>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</si>
  <si>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</si>
  <si>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</si>
  <si>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</si>
  <si>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</si>
  <si>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</si>
  <si>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</si>
  <si>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</si>
  <si>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</si>
  <si>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</si>
  <si>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</si>
  <si>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</si>
  <si>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</si>
  <si>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</si>
  <si>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</si>
  <si>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</si>
  <si>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</si>
  <si>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</si>
  <si>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</si>
  <si>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</si>
  <si>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</si>
  <si>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</si>
  <si>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</si>
  <si>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</si>
  <si>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</si>
  <si>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</si>
  <si>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</si>
  <si>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</si>
  <si>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</si>
  <si>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</si>
  <si>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</si>
  <si>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</si>
  <si>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</si>
  <si>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</si>
  <si>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</si>
  <si>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</si>
  <si>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</si>
  <si>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</si>
  <si>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</si>
  <si>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</si>
  <si>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</si>
  <si>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</si>
  <si>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</si>
  <si>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</si>
  <si>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</si>
  <si>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</si>
  <si>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</si>
  <si>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</si>
  <si>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</si>
  <si>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</si>
  <si>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</si>
  <si>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</si>
  <si>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</si>
  <si>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</si>
  <si>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</si>
  <si>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</si>
  <si>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</si>
  <si>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</si>
  <si>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</si>
  <si>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</si>
  <si>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</si>
  <si>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</si>
  <si>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</si>
  <si>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</si>
  <si>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</si>
  <si>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</si>
  <si>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</si>
  <si>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</si>
  <si>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</si>
  <si>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</si>
  <si>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</si>
  <si>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</si>
  <si>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</si>
  <si>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</si>
  <si>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</si>
  <si>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</si>
  <si>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</si>
  <si>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</si>
  <si>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</si>
  <si>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</si>
  <si>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</si>
  <si>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</si>
  <si>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</si>
  <si>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</si>
  <si>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</si>
  <si>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</si>
  <si>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</si>
  <si>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</si>
  <si>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</si>
  <si>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</si>
  <si>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</si>
  <si>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</si>
  <si>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</si>
  <si>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</si>
  <si>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</si>
  <si>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</si>
  <si>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</si>
  <si>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</si>
  <si>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</si>
  <si>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</si>
  <si>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</si>
  <si>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</si>
  <si>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</si>
  <si>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</si>
  <si>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</si>
  <si>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</si>
  <si>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</si>
  <si>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</si>
  <si>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</si>
  <si>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</si>
  <si>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</si>
  <si>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</si>
  <si>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</si>
  <si>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</si>
  <si>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</si>
  <si>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</si>
  <si>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</si>
  <si>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</si>
  <si>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</si>
  <si>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</si>
  <si>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</si>
  <si>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</si>
  <si>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</si>
  <si>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</si>
  <si>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</si>
  <si>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</si>
  <si>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</si>
  <si>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</si>
  <si>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</si>
  <si>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</si>
  <si>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</si>
  <si>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</si>
  <si>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</si>
  <si>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</si>
  <si>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</si>
  <si>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</si>
  <si>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</si>
  <si>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</si>
  <si>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</si>
  <si>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</si>
  <si>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</si>
  <si>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</si>
  <si>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</si>
  <si>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</si>
  <si>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</si>
  <si>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</si>
  <si>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</si>
  <si>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</si>
  <si>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</si>
  <si>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</si>
  <si>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</si>
  <si>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</si>
  <si>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</si>
  <si>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</si>
  <si>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</si>
  <si>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</si>
  <si>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</si>
  <si>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</si>
  <si>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</si>
  <si>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</si>
  <si>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</si>
  <si>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</si>
  <si>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</si>
  <si>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</si>
  <si>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</si>
  <si>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</si>
  <si>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</si>
  <si>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</si>
  <si>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</si>
  <si>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</si>
  <si>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</si>
  <si>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</si>
  <si>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</si>
  <si>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</si>
  <si>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</si>
  <si>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</si>
  <si>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</si>
  <si>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</si>
  <si>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</si>
  <si>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</si>
  <si>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</si>
  <si>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</si>
  <si>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</si>
  <si>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</si>
  <si>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</si>
  <si>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</si>
  <si>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</si>
  <si>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</si>
  <si>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</si>
  <si>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</si>
  <si>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</si>
  <si>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</si>
  <si>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</si>
  <si>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</si>
  <si>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</si>
  <si>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</si>
  <si>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</si>
  <si>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</si>
  <si>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</si>
  <si>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</si>
  <si>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</si>
  <si>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</si>
  <si>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</si>
  <si>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</si>
  <si>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</si>
  <si>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</si>
  <si>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</si>
  <si>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</si>
  <si>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</si>
  <si>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</si>
  <si>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</si>
  <si>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</si>
  <si>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</si>
  <si>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</si>
  <si>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</si>
  <si>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</si>
  <si>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</si>
  <si>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</si>
  <si>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</si>
  <si>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</si>
  <si>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</si>
  <si>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</si>
  <si>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</si>
  <si>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</si>
  <si>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</si>
  <si>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</si>
  <si>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</si>
  <si>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</si>
  <si>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</si>
  <si>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</si>
  <si>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</si>
  <si>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</si>
  <si>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</si>
  <si>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</si>
  <si>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</si>
  <si>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</si>
  <si>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</si>
  <si>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</si>
  <si>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</si>
  <si>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</si>
  <si>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</si>
  <si>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</si>
  <si>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</si>
  <si>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</si>
  <si>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</si>
  <si>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</si>
  <si>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</si>
  <si>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</si>
  <si>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</si>
  <si>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</si>
  <si>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</si>
  <si>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</si>
  <si>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</si>
  <si>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</si>
  <si>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</si>
  <si>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</si>
  <si>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</si>
  <si>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</si>
  <si>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</si>
  <si>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</si>
  <si>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</si>
  <si>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</si>
  <si>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</si>
  <si>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</si>
  <si>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</si>
  <si>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</si>
  <si>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</si>
  <si>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</si>
  <si>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</si>
  <si>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</si>
  <si>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</si>
  <si>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</si>
  <si>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</si>
  <si>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</si>
  <si>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</si>
  <si>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</si>
  <si>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</si>
  <si>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</si>
  <si>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</si>
  <si>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</si>
  <si>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</si>
  <si>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</si>
  <si>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</si>
  <si>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</si>
  <si>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</si>
  <si>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</si>
  <si>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</si>
  <si>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</si>
  <si>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</si>
  <si>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</si>
  <si>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</si>
  <si>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</si>
  <si>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</si>
  <si>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</si>
  <si>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</si>
  <si>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</si>
  <si>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</si>
  <si>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</si>
  <si>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</si>
  <si>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</si>
  <si>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</si>
  <si>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</si>
  <si>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</si>
  <si>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</si>
  <si>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</si>
  <si>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</si>
  <si>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</si>
  <si>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</si>
  <si>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</si>
  <si>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</si>
  <si>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</si>
  <si>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</si>
  <si>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</si>
  <si>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</si>
  <si>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</si>
  <si>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</si>
  <si>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</si>
  <si>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</si>
  <si>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</si>
  <si>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</si>
  <si>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</si>
  <si>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</si>
  <si>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</si>
  <si>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</si>
  <si>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</si>
  <si>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</si>
  <si>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</si>
  <si>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</si>
  <si>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</si>
  <si>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</si>
  <si>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</si>
  <si>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</si>
  <si>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</si>
  <si>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</si>
  <si>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</si>
  <si>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</si>
  <si>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</si>
  <si>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</si>
  <si>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</si>
  <si>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</si>
  <si>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</si>
  <si>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</si>
  <si>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</si>
  <si>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</si>
  <si>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</si>
  <si>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</si>
  <si>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</si>
  <si>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</si>
  <si>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</si>
  <si>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</si>
  <si>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</si>
  <si>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</si>
  <si>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</si>
  <si>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</si>
  <si>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</si>
  <si>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</si>
  <si>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</si>
  <si>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</si>
  <si>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</si>
  <si>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</si>
  <si>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</si>
  <si>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</si>
  <si>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</si>
  <si>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</si>
  <si>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</si>
  <si>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</si>
  <si>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</si>
  <si>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</si>
  <si>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</si>
  <si>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</si>
  <si>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</si>
  <si>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</si>
  <si>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</si>
  <si>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</si>
  <si>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</si>
  <si>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</si>
  <si>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</si>
  <si>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</si>
  <si>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</si>
  <si>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</si>
  <si>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</si>
  <si>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</si>
  <si>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</si>
  <si>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</si>
  <si>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</si>
  <si>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</si>
  <si>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</si>
  <si>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</si>
  <si>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</si>
  <si>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</si>
  <si>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</si>
  <si>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</si>
  <si>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</si>
  <si>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</si>
  <si>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</si>
  <si>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</si>
  <si>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</si>
  <si>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</si>
  <si>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</si>
  <si>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</si>
  <si>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</si>
  <si>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</si>
  <si>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</si>
  <si>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</si>
  <si>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</si>
  <si>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</si>
  <si>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</si>
  <si>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</si>
  <si>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</si>
  <si>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</si>
  <si>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</si>
  <si>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</si>
  <si>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</si>
  <si>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</si>
  <si>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</si>
  <si>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</si>
  <si>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</si>
  <si>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</si>
  <si>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</si>
  <si>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</si>
  <si>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</si>
  <si>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</si>
  <si>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</si>
  <si>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</si>
  <si>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</si>
  <si>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</si>
  <si>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</si>
  <si>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</si>
  <si>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</si>
  <si>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</si>
  <si>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</si>
  <si>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</si>
  <si>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</si>
  <si>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</si>
  <si>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</si>
  <si>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</si>
  <si>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</si>
  <si>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</si>
  <si>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</si>
  <si>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</si>
  <si>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</si>
  <si>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</si>
  <si>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</si>
  <si>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</si>
  <si>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</si>
  <si>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</si>
  <si>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</si>
  <si>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</si>
  <si>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</si>
  <si>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</si>
  <si>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</si>
  <si>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</si>
  <si>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</si>
  <si>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</si>
  <si>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</si>
  <si>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</si>
  <si>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</si>
  <si>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</si>
  <si>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</si>
  <si>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</si>
  <si>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</si>
  <si>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</si>
  <si>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</si>
  <si>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</si>
  <si>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</si>
  <si>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</si>
  <si>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</si>
  <si>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</si>
  <si>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</si>
  <si>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</si>
  <si>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</si>
  <si>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</si>
  <si>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</si>
  <si>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</si>
  <si>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</si>
  <si>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</si>
  <si>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</si>
  <si>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</si>
  <si>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</si>
  <si>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</si>
  <si>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</si>
  <si>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</si>
  <si>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</si>
  <si>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</si>
  <si>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</si>
  <si>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</si>
  <si>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</si>
  <si>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</si>
  <si>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</si>
  <si>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</si>
  <si>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</si>
  <si>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</si>
  <si>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</si>
  <si>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</si>
  <si>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</si>
  <si>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</si>
  <si>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</si>
  <si>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</si>
  <si>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</si>
  <si>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</si>
  <si>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</si>
  <si>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</si>
  <si>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</si>
  <si>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</si>
  <si>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</si>
  <si>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</si>
  <si>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</si>
  <si>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</si>
  <si>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</si>
  <si>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</si>
  <si>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</si>
  <si>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</si>
  <si>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</si>
  <si>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</si>
  <si>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</si>
  <si>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</si>
  <si>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</si>
  <si>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</si>
  <si>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</si>
  <si>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</si>
  <si>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</si>
  <si>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</si>
  <si>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</si>
  <si>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</si>
  <si>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</si>
  <si>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</si>
  <si>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</si>
  <si>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</si>
  <si>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</si>
  <si>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</si>
  <si>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</si>
  <si>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</si>
  <si>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</si>
  <si>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</si>
  <si>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</si>
  <si>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</si>
  <si>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</si>
  <si>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</si>
  <si>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</si>
  <si>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</si>
  <si>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</si>
  <si>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</si>
  <si>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</si>
  <si>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</si>
  <si>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</si>
  <si>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</si>
  <si>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</si>
  <si>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</si>
  <si>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</si>
  <si>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</si>
  <si>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</si>
  <si>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</si>
  <si>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</si>
  <si>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</si>
  <si>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</si>
  <si>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</si>
  <si>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</si>
  <si>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</si>
  <si>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</si>
  <si>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</si>
  <si>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</si>
  <si>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</si>
  <si>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</si>
  <si>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</si>
  <si>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</si>
  <si>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</si>
  <si>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</si>
  <si>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</si>
  <si>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</si>
  <si>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</si>
  <si>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</si>
  <si>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</si>
  <si>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</si>
  <si>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</si>
  <si>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</si>
  <si>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</si>
  <si>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</si>
  <si>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</si>
  <si>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</si>
  <si>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</si>
  <si>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</si>
  <si>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</si>
  <si>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</si>
  <si>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</si>
  <si>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</si>
  <si>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</si>
  <si>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</si>
  <si>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</si>
  <si>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</si>
  <si>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</si>
  <si>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</si>
  <si>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</si>
  <si>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</si>
  <si>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</si>
  <si>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</si>
  <si>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</si>
  <si>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</si>
  <si>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</si>
  <si>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</si>
  <si>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</si>
  <si>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</si>
  <si>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</si>
  <si>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</si>
  <si>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</si>
  <si>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</si>
  <si>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</si>
  <si>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</si>
  <si>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</si>
  <si>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</si>
  <si>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</si>
  <si>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</si>
  <si>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</si>
  <si>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</si>
  <si>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</si>
  <si>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</si>
  <si>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</si>
  <si>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</si>
  <si>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</si>
  <si>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</si>
  <si>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</si>
  <si>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</si>
  <si>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</si>
  <si>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</si>
  <si>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</si>
  <si>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</si>
  <si>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</si>
  <si>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</si>
  <si>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</si>
  <si>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</si>
  <si>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</si>
  <si>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</si>
  <si>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</si>
  <si>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</si>
  <si>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</si>
  <si>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</si>
  <si>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</si>
  <si>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</si>
  <si>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</si>
  <si>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</si>
  <si>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</si>
  <si>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</si>
  <si>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</si>
  <si>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</si>
  <si>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</si>
  <si>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</si>
  <si>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</si>
  <si>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</si>
  <si>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</si>
  <si>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</si>
  <si>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</si>
  <si>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</si>
  <si>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</si>
  <si>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</si>
  <si>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</si>
  <si>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</si>
  <si>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</si>
  <si>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</si>
  <si>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</si>
  <si>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</si>
  <si>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</si>
  <si>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</si>
  <si>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</si>
  <si>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</si>
  <si>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</si>
  <si>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</si>
  <si>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</si>
  <si>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</si>
  <si>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</si>
  <si>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</si>
  <si>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</si>
  <si>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</si>
  <si>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</si>
  <si>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</si>
  <si>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</si>
  <si>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</si>
  <si>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</si>
  <si>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</si>
  <si>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</si>
  <si>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</si>
  <si>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</si>
  <si>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</si>
  <si>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</si>
  <si>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</si>
  <si>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</si>
  <si>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</si>
  <si>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</si>
  <si>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</si>
  <si>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</si>
  <si>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</si>
  <si>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</si>
  <si>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</si>
  <si>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</si>
  <si>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</si>
  <si>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</si>
  <si>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</si>
  <si>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</si>
  <si>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</si>
  <si>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</si>
  <si>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</si>
  <si>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</si>
  <si>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</si>
  <si>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</si>
  <si>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</si>
  <si>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</si>
  <si>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</si>
  <si>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</si>
  <si>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</si>
  <si>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</si>
  <si>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</si>
  <si>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</si>
  <si>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</si>
  <si>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</si>
  <si>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</si>
  <si>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</si>
  <si>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</si>
  <si>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</si>
  <si>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</si>
  <si>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</si>
  <si>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</si>
  <si>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</si>
  <si>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</si>
  <si>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</si>
  <si>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</si>
  <si>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</si>
  <si>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</si>
  <si>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</si>
  <si>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</si>
  <si>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</si>
  <si>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</si>
  <si>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</si>
  <si>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</si>
  <si>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</si>
  <si>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</si>
  <si>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</si>
  <si>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</si>
  <si>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</si>
  <si>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</si>
  <si>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</si>
  <si>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</si>
  <si>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</si>
  <si>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</si>
  <si>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</si>
  <si>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</si>
  <si>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</si>
  <si>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</si>
  <si>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</si>
  <si>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</si>
  <si>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</si>
  <si>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</si>
  <si>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</si>
  <si>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</si>
  <si>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</si>
  <si>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</si>
  <si>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</si>
  <si>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</si>
  <si>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</si>
  <si>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</si>
  <si>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</si>
  <si>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</si>
  <si>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</si>
  <si>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</si>
  <si>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</si>
  <si>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</si>
  <si>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</si>
  <si>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</si>
  <si>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</si>
  <si>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</si>
  <si>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</si>
  <si>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</si>
  <si>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</si>
  <si>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</si>
  <si>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</si>
  <si>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</si>
  <si>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</si>
  <si>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</si>
  <si>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</si>
  <si>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</si>
  <si>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</si>
  <si>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</si>
  <si>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</si>
  <si>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</si>
  <si>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</si>
  <si>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</si>
  <si>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</si>
  <si>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</si>
  <si>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</si>
  <si>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</si>
  <si>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</si>
  <si>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</si>
  <si>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</si>
  <si>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</si>
  <si>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</si>
  <si>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</si>
  <si>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</si>
  <si>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</si>
  <si>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</si>
  <si>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</si>
  <si>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</si>
  <si>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</si>
  <si>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</si>
  <si>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</si>
  <si>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</si>
  <si>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</si>
  <si>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</si>
  <si>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</si>
  <si>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</si>
  <si>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</si>
  <si>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</si>
  <si>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</si>
  <si>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</si>
  <si>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</si>
  <si>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</si>
  <si>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</si>
  <si>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</si>
  <si>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</si>
  <si>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</si>
  <si>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</si>
  <si>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</si>
  <si>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</si>
  <si>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</si>
  <si>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</si>
  <si>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</si>
  <si>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</si>
  <si>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</si>
  <si>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</si>
  <si>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</si>
  <si>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</si>
  <si>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</si>
  <si>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</si>
  <si>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</si>
  <si>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</si>
  <si>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</si>
  <si>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</si>
  <si>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</si>
  <si>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</si>
  <si>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</si>
  <si>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</si>
  <si>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</si>
  <si>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</si>
  <si>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</si>
  <si>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</si>
  <si>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</si>
  <si>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</si>
  <si>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</si>
  <si>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</si>
  <si>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</si>
  <si>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</si>
  <si>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</si>
  <si>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</si>
  <si>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</si>
  <si>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</si>
  <si>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</si>
  <si>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</si>
  <si>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</si>
  <si>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</si>
  <si>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</si>
  <si>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</si>
  <si>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</si>
  <si>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</si>
  <si>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</si>
  <si>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</si>
  <si>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</si>
  <si>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</si>
  <si>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</si>
  <si>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</si>
  <si>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</si>
  <si>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</si>
  <si>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</si>
  <si>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</si>
  <si>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</si>
  <si>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</si>
  <si>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</si>
  <si>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</si>
  <si>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</si>
  <si>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</si>
  <si>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</si>
  <si>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</si>
  <si>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</si>
  <si>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</si>
  <si>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</si>
  <si>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</si>
  <si>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</si>
  <si>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</si>
  <si>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</si>
  <si>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</si>
  <si>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</si>
  <si>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</si>
  <si>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</si>
  <si>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</si>
  <si>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</si>
  <si>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</si>
  <si>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</si>
  <si>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</si>
  <si>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</si>
  <si>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</si>
  <si>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</si>
  <si>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</si>
  <si>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</si>
  <si>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</si>
  <si>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</si>
  <si>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</si>
  <si>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</si>
  <si>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</si>
  <si>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</si>
  <si>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</si>
  <si>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</si>
  <si>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</si>
  <si>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</si>
  <si>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</si>
  <si>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</si>
  <si>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</si>
  <si>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</si>
  <si>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</si>
  <si>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</si>
  <si>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</si>
  <si>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</si>
  <si>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</si>
  <si>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</si>
  <si>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</si>
  <si>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</si>
  <si>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</si>
  <si>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</si>
  <si>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</si>
  <si>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</si>
  <si>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</si>
  <si>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</si>
  <si>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</si>
  <si>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</si>
  <si>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</si>
  <si>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</si>
  <si>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</si>
  <si>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</si>
  <si>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</si>
  <si>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</si>
  <si>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</si>
  <si>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</si>
  <si>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</si>
  <si>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</si>
  <si>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</si>
  <si>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</si>
  <si>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</si>
  <si>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</si>
  <si>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</si>
  <si>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</si>
  <si>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</si>
  <si>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</si>
  <si>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</si>
  <si>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</si>
  <si>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</si>
  <si>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</si>
  <si>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</si>
  <si>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</si>
  <si>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</si>
  <si>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</si>
  <si>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</si>
  <si>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</si>
  <si>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</si>
  <si>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</si>
  <si>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</si>
  <si>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</si>
  <si>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</si>
  <si>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</si>
  <si>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</si>
  <si>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</si>
  <si>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</si>
  <si>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</si>
  <si>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</si>
  <si>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</si>
  <si>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</si>
  <si>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</si>
  <si>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</si>
  <si>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</si>
  <si>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</si>
  <si>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</si>
  <si>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</si>
  <si>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</si>
  <si>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</si>
  <si>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</si>
  <si>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</si>
  <si>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</si>
  <si>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</si>
  <si>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</si>
  <si>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</si>
  <si>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</si>
  <si>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</si>
  <si>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</si>
  <si>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</si>
  <si>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</si>
  <si>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</si>
  <si>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</si>
  <si>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</si>
  <si>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</si>
  <si>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</si>
  <si>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</si>
  <si>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</si>
  <si>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</si>
  <si>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</si>
  <si>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</si>
  <si>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</si>
  <si>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</si>
  <si>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</si>
  <si>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</si>
  <si>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</si>
  <si>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</si>
  <si>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</si>
  <si>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</si>
  <si>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</si>
  <si>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</si>
  <si>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</si>
  <si>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</si>
  <si>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</si>
  <si>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</si>
  <si>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</si>
  <si>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</si>
  <si>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</si>
  <si>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</si>
  <si>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</si>
  <si>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</si>
  <si>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</si>
  <si>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</si>
  <si>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</si>
  <si>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</si>
  <si>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</si>
  <si>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</si>
  <si>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</si>
  <si>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</si>
  <si>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</si>
  <si>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</si>
  <si>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</si>
  <si>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</si>
  <si>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</si>
  <si>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</si>
  <si>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</si>
  <si>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</si>
  <si>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</si>
  <si>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</si>
  <si>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</si>
  <si>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</si>
  <si>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</si>
  <si>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</si>
  <si>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</si>
  <si>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</si>
  <si>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</si>
  <si>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</si>
  <si>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</si>
  <si>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</si>
  <si>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</si>
  <si>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</si>
  <si>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</si>
  <si>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</si>
  <si>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</si>
  <si>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</si>
  <si>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</si>
  <si>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</si>
  <si>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</si>
  <si>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</si>
  <si>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</si>
  <si>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</si>
  <si>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</si>
  <si>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</si>
  <si>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</si>
  <si>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</si>
  <si>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</si>
  <si>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</si>
  <si>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</si>
  <si>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</si>
  <si>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</si>
  <si>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</si>
  <si>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</si>
  <si>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</si>
  <si>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</si>
  <si>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</si>
  <si>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</si>
  <si>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</si>
  <si>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</si>
  <si>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</si>
  <si>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</si>
  <si>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</si>
  <si>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</si>
  <si>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</si>
  <si>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</si>
  <si>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</si>
  <si>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</si>
  <si>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</si>
  <si>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</si>
  <si>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</si>
  <si>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</si>
  <si>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</si>
  <si>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</si>
  <si>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</si>
  <si>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</si>
  <si>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</si>
  <si>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</si>
  <si>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</si>
  <si>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</si>
  <si>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</si>
  <si>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</si>
  <si>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</si>
  <si>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</si>
  <si>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</si>
  <si>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</si>
  <si>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</si>
  <si>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</si>
  <si>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</si>
  <si>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</si>
  <si>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</si>
  <si>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</si>
  <si>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</si>
  <si>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</si>
  <si>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</si>
  <si>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</si>
  <si>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</si>
  <si>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</si>
  <si>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</si>
  <si>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</si>
  <si>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</si>
  <si>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</si>
  <si>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</si>
  <si>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</si>
  <si>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</si>
  <si>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</si>
  <si>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</si>
  <si>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</si>
  <si>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</si>
  <si>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</si>
  <si>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</si>
  <si>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</si>
  <si>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</si>
  <si>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</si>
  <si>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</si>
  <si>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</si>
  <si>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</si>
  <si>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</si>
  <si>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</si>
  <si>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</si>
  <si>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</si>
  <si>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</si>
  <si>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</si>
  <si>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</si>
  <si>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</si>
  <si>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</si>
  <si>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</si>
  <si>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</si>
  <si>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</si>
  <si>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</si>
  <si>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</si>
  <si>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</si>
  <si>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</si>
  <si>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</si>
  <si>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</si>
  <si>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</si>
  <si>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</si>
  <si>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</si>
  <si>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</si>
  <si>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</si>
  <si>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</si>
  <si>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</si>
  <si>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</si>
  <si>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</si>
  <si>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</si>
  <si>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</si>
  <si>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</si>
  <si>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</si>
  <si>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</si>
  <si>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</si>
  <si>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</si>
  <si>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</si>
  <si>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</si>
  <si>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</si>
  <si>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</si>
  <si>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</si>
  <si>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</si>
  <si>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</si>
  <si>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</si>
  <si>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</si>
  <si>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</si>
  <si>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</si>
  <si>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</si>
  <si>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</si>
  <si>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</si>
  <si>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</si>
  <si>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</si>
  <si>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</si>
  <si>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</si>
  <si>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</si>
  <si>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</si>
  <si>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</si>
  <si>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</si>
  <si>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</si>
  <si>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</si>
  <si>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</si>
  <si>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</si>
  <si>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</si>
  <si>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</si>
  <si>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</si>
  <si>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</si>
  <si>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</si>
  <si>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</si>
  <si>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</si>
  <si>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</si>
  <si>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</si>
  <si>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</si>
  <si>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</si>
  <si>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</si>
  <si>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</si>
  <si>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</si>
  <si>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</si>
  <si>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</si>
  <si>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</si>
  <si>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</si>
  <si>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</si>
  <si>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</si>
  <si>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</si>
  <si>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</si>
  <si>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</si>
  <si>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</si>
  <si>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</si>
  <si>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</si>
  <si>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</si>
  <si>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</si>
  <si>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</si>
  <si>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</si>
  <si>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</si>
  <si>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</si>
  <si>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</si>
  <si>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</si>
  <si>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</si>
  <si>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</si>
  <si>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</si>
  <si>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</si>
  <si>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</si>
  <si>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</si>
  <si>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</si>
  <si>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</si>
  <si>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</si>
  <si>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</si>
  <si>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</si>
  <si>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</si>
  <si>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</si>
  <si>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</si>
  <si>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</si>
  <si>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</si>
  <si>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</si>
  <si>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</si>
  <si>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</si>
  <si>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</si>
  <si>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</si>
  <si>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</si>
  <si>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</si>
  <si>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</si>
  <si>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</si>
  <si>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</si>
  <si>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</si>
  <si>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</si>
  <si>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</si>
  <si>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</si>
  <si>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</si>
  <si>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</si>
  <si>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</si>
  <si>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</si>
  <si>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</si>
  <si>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</si>
  <si>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</si>
  <si>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</si>
  <si>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</si>
  <si>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</si>
  <si>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</si>
  <si>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</si>
  <si>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</si>
  <si>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</si>
  <si>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</si>
  <si>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</si>
  <si>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</si>
  <si>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</si>
  <si>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</si>
  <si>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</si>
  <si>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</si>
  <si>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</si>
  <si>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</si>
  <si>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</si>
  <si>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</si>
  <si>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</si>
  <si>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</si>
  <si>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</si>
  <si>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</si>
  <si>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</si>
  <si>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</si>
  <si>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</si>
  <si>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</si>
  <si>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</si>
  <si>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</si>
  <si>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</si>
  <si>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</si>
  <si>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</si>
  <si>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</si>
  <si>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</si>
  <si>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</si>
  <si>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</si>
  <si>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</si>
  <si>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</si>
  <si>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</si>
  <si>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</si>
  <si>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</si>
  <si>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</si>
  <si>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</si>
  <si>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</si>
  <si>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</si>
  <si>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</si>
  <si>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</si>
  <si>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</si>
  <si>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</si>
  <si>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</si>
  <si>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</si>
  <si>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</si>
  <si>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</si>
  <si>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</si>
  <si>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</si>
  <si>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</si>
  <si>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</si>
  <si>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</si>
  <si>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</si>
  <si>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</si>
  <si>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</si>
  <si>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</si>
  <si>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</si>
  <si>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</si>
  <si>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</si>
  <si>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</si>
  <si>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</si>
  <si>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</si>
  <si>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</si>
  <si>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</si>
  <si>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</si>
  <si>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</si>
  <si>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</si>
  <si>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</si>
  <si>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</si>
  <si>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</si>
  <si>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</si>
  <si>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</si>
  <si>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</si>
  <si>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</si>
  <si>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</si>
  <si>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</si>
  <si>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</si>
  <si>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</si>
  <si>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</si>
  <si>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</si>
  <si>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</si>
  <si>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</si>
  <si>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</si>
  <si>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</si>
  <si>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</si>
  <si>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</si>
  <si>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</si>
  <si>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</si>
  <si>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</si>
  <si>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</si>
  <si>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</si>
  <si>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</si>
  <si>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</si>
  <si>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</si>
  <si>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</si>
  <si>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</si>
  <si>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</si>
  <si>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</si>
  <si>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</si>
  <si>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</si>
  <si>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</si>
  <si>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</si>
  <si>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</si>
  <si>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</si>
  <si>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</si>
  <si>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</si>
  <si>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</si>
  <si>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</si>
  <si>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</si>
  <si>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</si>
  <si>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</si>
  <si>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</si>
  <si>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</si>
  <si>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</si>
  <si>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</si>
  <si>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</si>
  <si>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</si>
  <si>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</si>
  <si>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</si>
  <si>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</si>
  <si>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</si>
  <si>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</si>
  <si>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</si>
  <si>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</si>
  <si>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</si>
  <si>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</si>
  <si>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</si>
  <si>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</si>
  <si>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</si>
  <si>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</si>
  <si>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</si>
  <si>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</si>
  <si>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</si>
  <si>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</si>
  <si>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</si>
  <si>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</si>
  <si>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</si>
  <si>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</si>
  <si>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</si>
  <si>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</si>
  <si>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</si>
  <si>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</si>
  <si>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</si>
  <si>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</si>
  <si>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</si>
  <si>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</si>
  <si>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</si>
  <si>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</si>
  <si>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</si>
  <si>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</si>
  <si>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</si>
  <si>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</si>
  <si>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</si>
  <si>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</si>
  <si>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</si>
  <si>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</si>
  <si>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</si>
  <si>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</si>
  <si>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</si>
  <si>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</si>
  <si>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</si>
  <si>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</si>
  <si>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</si>
  <si>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</si>
  <si>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</si>
  <si>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</si>
  <si>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</si>
  <si>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</si>
  <si>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</si>
  <si>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</si>
  <si>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</si>
  <si>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</si>
  <si>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</si>
  <si>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</si>
  <si>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</si>
  <si>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</si>
  <si>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</si>
  <si>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</si>
  <si>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</si>
  <si>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</si>
  <si>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</si>
  <si>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</si>
  <si>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</si>
  <si>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</si>
  <si>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</si>
  <si>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</si>
  <si>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</si>
  <si>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</si>
  <si>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</si>
  <si>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</si>
  <si>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</si>
  <si>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</si>
  <si>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</si>
  <si>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</si>
  <si>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</si>
  <si>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</si>
  <si>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</si>
  <si>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</si>
  <si>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</si>
  <si>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</si>
  <si>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</si>
  <si>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</si>
  <si>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</si>
  <si>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</si>
  <si>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</si>
  <si>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</si>
  <si>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</si>
  <si>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</si>
  <si>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</si>
  <si>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</si>
  <si>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</si>
  <si>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</si>
  <si>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</si>
  <si>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</si>
  <si>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</si>
  <si>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</si>
  <si>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</si>
  <si>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</si>
  <si>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</si>
  <si>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</si>
  <si>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</si>
  <si>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</si>
  <si>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</si>
  <si>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</si>
  <si>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</si>
  <si>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</si>
  <si>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</si>
  <si>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</si>
  <si>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</si>
  <si>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</si>
  <si>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</si>
  <si>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</si>
  <si>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</si>
  <si>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</si>
  <si>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</si>
  <si>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</si>
  <si>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</si>
  <si>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</si>
  <si>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</si>
  <si>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</si>
  <si>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</si>
  <si>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</si>
  <si>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</si>
  <si>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</si>
  <si>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</si>
  <si>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</si>
  <si>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</si>
  <si>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</si>
  <si>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</si>
  <si>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</si>
  <si>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</si>
  <si>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</si>
  <si>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</si>
  <si>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</si>
  <si>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</si>
  <si>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</si>
  <si>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</si>
  <si>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</si>
  <si>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</si>
  <si>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</si>
  <si>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</si>
  <si>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</si>
  <si>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</si>
  <si>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</si>
  <si>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</si>
  <si>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</si>
  <si>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</si>
  <si>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</si>
  <si>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</si>
  <si>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</si>
  <si>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</si>
  <si>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</si>
  <si>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</si>
  <si>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</si>
  <si>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</si>
  <si>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</si>
  <si>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</si>
  <si>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</si>
  <si>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</si>
  <si>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</si>
  <si>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</si>
  <si>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</si>
  <si>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</si>
  <si>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</si>
  <si>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</si>
  <si>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</si>
  <si>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</si>
  <si>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</si>
  <si>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</si>
  <si>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</si>
  <si>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</si>
  <si>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</si>
  <si>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</si>
  <si>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办公</t>
  </si>
  <si>
    <t>无租约</t>
  </si>
  <si>
    <t>否</t>
  </si>
  <si>
    <t>利息：取LPR加浮动点数</t>
  </si>
  <si>
    <t>钢混</t>
  </si>
  <si>
    <t>非生产用房</t>
  </si>
  <si>
    <t>未包含在土地购买价格中</t>
  </si>
  <si>
    <t>已包含在土地取得成本中</t>
  </si>
  <si>
    <t>成本法</t>
  </si>
  <si>
    <t>收益法</t>
  </si>
  <si>
    <t>北京市</t>
  </si>
  <si>
    <t>自然人</t>
  </si>
  <si>
    <t>万元</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</si>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</sst>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96" fontId="42" fillId="8" borderId="0" xfId="0" applyNumberFormat="1" applyFont="1" applyFill="1" applyProtection="1">
      <alignmen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10959</v>
          </cell>
          <cell r="D33">
            <v>134.34</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估价对象为北京市房地产，为XX所有。根据《》[]，估价对象建筑面积为134.34平方米。根据《》[]，估价对象（分摊）出让国有建设用地使用权面积为平方米。估价对象用途为。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2022年7月14日</v>
      </c>
    </row>
    <row r="10" spans="1:2">
      <c r="A10" s="1139" t="s">
        <v>865</v>
      </c>
      <c r="B10" s="1126" t="str">
        <f>'预评函-1'!A13</f>
        <v>本次估价的“房地产价值”是指在正常市场情况下，在价值时点2022年7月14日，估价对象规划用途为，假定未设立法定优先受偿款下的房地产市场价值。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134.34</v>
      </c>
    </row>
    <row r="19" spans="1:2">
      <c r="A19" s="1139" t="s">
        <v>874</v>
      </c>
      <c r="B19" s="1126">
        <f ca="1">'预评函-2（1）'!D7</f>
        <v>243</v>
      </c>
    </row>
    <row r="20" spans="1:2">
      <c r="A20" s="1139" t="s">
        <v>912</v>
      </c>
      <c r="B20" s="1126" t="str">
        <f>'预评函-2（1）'!C7</f>
        <v>总价（万元）</v>
      </c>
    </row>
    <row r="21" spans="1:2">
      <c r="A21" s="1139" t="s">
        <v>875</v>
      </c>
      <c r="B21" s="1126">
        <f ca="1">'预评函-2（1）'!D9</f>
        <v>18088</v>
      </c>
    </row>
    <row r="22" spans="1:2">
      <c r="A22" s="1139" t="s">
        <v>876</v>
      </c>
      <c r="B22" s="1126" t="str">
        <f ca="1">'预评函-2（1）'!D8</f>
        <v>贰佰肆拾叁万元整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243</v>
      </c>
    </row>
    <row r="30" spans="1:2">
      <c r="A30" s="1139" t="s">
        <v>882</v>
      </c>
      <c r="B30" s="1126" t="str">
        <f ca="1">'预评函-2（1）'!D16</f>
        <v>贰佰肆拾叁万元整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178</v>
      </c>
    </row>
    <row r="38" spans="1:2">
      <c r="A38" s="1139" t="s">
        <v>890</v>
      </c>
      <c r="B38" s="1126">
        <f ca="1">'预评函-2（2）'!E4</f>
        <v>13250</v>
      </c>
    </row>
    <row r="39" spans="1:2">
      <c r="A39" s="1139" t="s">
        <v>891</v>
      </c>
      <c r="B39" s="1126" t="str">
        <f ca="1">'预评函-2（2）'!D5</f>
        <v>壹佰柒拾捌万元整</v>
      </c>
    </row>
    <row r="40" spans="1:2">
      <c r="A40" s="1139" t="s">
        <v>892</v>
      </c>
      <c r="B40" s="1126">
        <f ca="1">'预评函-2（2）'!F4</f>
        <v>65</v>
      </c>
    </row>
    <row r="41" spans="1:2">
      <c r="A41" s="1139" t="s">
        <v>893</v>
      </c>
      <c r="B41" s="1126">
        <f ca="1">'预评函-2（2）'!G4</f>
        <v>4838</v>
      </c>
    </row>
    <row r="42" spans="1:2" s="1136" customFormat="1" ht="15.75" thickBot="1">
      <c r="A42" s="1140" t="s">
        <v>894</v>
      </c>
      <c r="B42" s="1128" t="str">
        <f ca="1">'预评函-2（2）'!F5</f>
        <v>陆拾伍万元整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18088</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13" zoomScale="115" zoomScaleNormal="100" zoomScaleSheetLayoutView="115" workbookViewId="0">
      <selection activeCell="C10" sqref="C10:D10"/>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44756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3042</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3043</v>
      </c>
      <c r="C7" s="1453" t="str">
        <f>IF(B7="自然人","姓名","名称")</f>
        <v>姓名</v>
      </c>
      <c r="D7" s="1366" t="s">
        <v>2480</v>
      </c>
      <c r="E7" s="783"/>
      <c r="F7" s="783"/>
      <c r="G7" s="1122"/>
    </row>
    <row r="8" spans="1:17" ht="13.5" thickTop="1">
      <c r="A8" s="3377" t="s">
        <v>1301</v>
      </c>
      <c r="B8" s="1367" t="s">
        <v>1302</v>
      </c>
      <c r="C8" s="3390"/>
      <c r="D8" s="3391"/>
      <c r="E8" s="2519" t="s">
        <v>1303</v>
      </c>
      <c r="F8" s="2520" t="s">
        <v>1304</v>
      </c>
      <c r="G8" s="2521" t="str">
        <f>C6</f>
        <v>XX</v>
      </c>
    </row>
    <row r="9" spans="1:17">
      <c r="A9" s="3377"/>
      <c r="B9" s="259" t="s">
        <v>1305</v>
      </c>
      <c r="C9" s="1359"/>
      <c r="D9" s="1368"/>
      <c r="E9" s="2815" t="s">
        <v>1306</v>
      </c>
      <c r="F9" s="2522"/>
      <c r="G9" s="2523"/>
    </row>
    <row r="10" spans="1:17" ht="13.5" thickBot="1">
      <c r="A10" s="3377"/>
      <c r="B10" s="259" t="s">
        <v>1307</v>
      </c>
      <c r="C10" s="3392"/>
      <c r="D10" s="3393"/>
      <c r="E10" s="2816" t="s">
        <v>1308</v>
      </c>
      <c r="F10" s="2524"/>
      <c r="G10" s="2525"/>
    </row>
    <row r="11" spans="1:17" ht="13.5" thickBot="1">
      <c r="A11" s="3377"/>
      <c r="B11" s="1370" t="s">
        <v>1309</v>
      </c>
      <c r="C11" s="3394"/>
      <c r="D11" s="3395"/>
      <c r="E11" s="769"/>
      <c r="F11" s="769"/>
      <c r="G11" s="788"/>
    </row>
    <row r="12" spans="1:17" ht="13.5" thickBot="1">
      <c r="A12" s="3381" t="s">
        <v>2587</v>
      </c>
      <c r="B12" s="2817" t="s">
        <v>1310</v>
      </c>
      <c r="C12" s="766">
        <v>134.34</v>
      </c>
      <c r="D12" s="1371" t="s">
        <v>1311</v>
      </c>
      <c r="E12" s="1372"/>
      <c r="F12" s="1373"/>
      <c r="G12" s="788"/>
    </row>
    <row r="13" spans="1:17" ht="21" customHeight="1" thickBot="1">
      <c r="A13" s="3382"/>
      <c r="B13" s="2818" t="s">
        <v>1312</v>
      </c>
      <c r="C13" s="767"/>
      <c r="D13" s="1374" t="s">
        <v>1313</v>
      </c>
      <c r="E13" s="1375"/>
      <c r="F13" s="769"/>
      <c r="G13" s="788"/>
      <c r="I13" s="340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6" t="s">
        <v>1320</v>
      </c>
      <c r="C17" s="3397"/>
      <c r="D17" s="3398" t="s">
        <v>1321</v>
      </c>
      <c r="E17" s="339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9" t="s">
        <v>2586</v>
      </c>
      <c r="B24" s="3409"/>
      <c r="C24" s="3409"/>
      <c r="D24" s="3409"/>
      <c r="E24" s="3409"/>
      <c r="F24" s="3409"/>
      <c r="G24" s="340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4" t="s">
        <v>1334</v>
      </c>
      <c r="D28" s="3385"/>
      <c r="E28" s="759"/>
      <c r="F28" s="761" t="s">
        <v>1334</v>
      </c>
      <c r="G28" s="759"/>
      <c r="K28" s="2822"/>
    </row>
    <row r="29" spans="1:66">
      <c r="A29" s="762" t="s">
        <v>1335</v>
      </c>
      <c r="B29" s="756"/>
      <c r="C29" s="3386" t="s">
        <v>1336</v>
      </c>
      <c r="D29" s="3387"/>
      <c r="E29" s="756"/>
      <c r="F29" s="762" t="s">
        <v>1336</v>
      </c>
      <c r="G29" s="756"/>
      <c r="K29" s="2822"/>
    </row>
    <row r="30" spans="1:66">
      <c r="A30" s="762" t="s">
        <v>1337</v>
      </c>
      <c r="B30" s="756"/>
      <c r="C30" s="3386" t="s">
        <v>1337</v>
      </c>
      <c r="D30" s="3387"/>
      <c r="E30" s="756"/>
      <c r="F30" s="762" t="s">
        <v>1338</v>
      </c>
      <c r="G30" s="756"/>
      <c r="K30" s="2822"/>
    </row>
    <row r="31" spans="1:66">
      <c r="A31" s="762" t="s">
        <v>1339</v>
      </c>
      <c r="B31" s="756"/>
      <c r="C31" s="3406" t="s">
        <v>1340</v>
      </c>
      <c r="D31" s="769"/>
      <c r="E31" s="2545" t="str">
        <f>E32&amp;" "&amp;E33&amp;" "&amp;E34&amp;" "&amp;E35</f>
        <v xml:space="preserve">   </v>
      </c>
      <c r="F31" s="762" t="s">
        <v>1341</v>
      </c>
      <c r="G31" s="756"/>
    </row>
    <row r="32" spans="1:66">
      <c r="A32" s="762" t="s">
        <v>1342</v>
      </c>
      <c r="B32" s="756"/>
      <c r="C32" s="3407"/>
      <c r="D32" s="259" t="s">
        <v>1343</v>
      </c>
      <c r="E32" s="756"/>
      <c r="F32" s="762" t="s">
        <v>1344</v>
      </c>
      <c r="G32" s="756"/>
    </row>
    <row r="33" spans="1:7" ht="24.75"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5" thickBot="1">
      <c r="A35" s="762" t="s">
        <v>1351</v>
      </c>
      <c r="B35" s="756"/>
      <c r="C35" s="3408"/>
      <c r="D35" s="259" t="s">
        <v>1352</v>
      </c>
      <c r="E35" s="756"/>
      <c r="F35" s="763" t="s">
        <v>1353</v>
      </c>
      <c r="G35" s="2546"/>
    </row>
    <row r="36" spans="1:7">
      <c r="A36" s="762" t="s">
        <v>1310</v>
      </c>
      <c r="B36" s="756"/>
      <c r="C36" s="3386" t="s">
        <v>1354</v>
      </c>
      <c r="D36" s="3387"/>
      <c r="E36" s="756"/>
      <c r="F36" s="2547" t="s">
        <v>1355</v>
      </c>
      <c r="G36" s="759"/>
    </row>
    <row r="37" spans="1:7" ht="13.5" thickBot="1">
      <c r="A37" s="762" t="s">
        <v>1356</v>
      </c>
      <c r="B37" s="756"/>
      <c r="C37" s="3388" t="s">
        <v>1357</v>
      </c>
      <c r="D37" s="3389"/>
      <c r="E37" s="760"/>
      <c r="F37" s="1391" t="s">
        <v>1358</v>
      </c>
      <c r="G37" s="756"/>
    </row>
    <row r="38" spans="1:7" ht="13.5" thickBot="1">
      <c r="A38" s="762" t="s">
        <v>1359</v>
      </c>
      <c r="B38" s="756"/>
      <c r="C38" s="3378" t="s">
        <v>1360</v>
      </c>
      <c r="D38" s="1371"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4" t="s">
        <v>1312</v>
      </c>
      <c r="E41" s="760"/>
      <c r="F41" s="763" t="s">
        <v>1368</v>
      </c>
      <c r="G41" s="760"/>
    </row>
    <row r="42" spans="1:7">
      <c r="A42" s="764" t="s">
        <v>1369</v>
      </c>
      <c r="B42" s="2548"/>
      <c r="C42" s="3401" t="s">
        <v>1369</v>
      </c>
      <c r="D42" s="340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3" t="s">
        <v>1372</v>
      </c>
      <c r="D49" s="3404"/>
      <c r="E49" s="778"/>
      <c r="F49" s="763" t="s">
        <v>1373</v>
      </c>
      <c r="G49" s="760"/>
    </row>
    <row r="50" spans="1:66">
      <c r="A50" s="762" t="s">
        <v>1374</v>
      </c>
      <c r="B50" s="777"/>
      <c r="C50" s="3378" t="s">
        <v>1375</v>
      </c>
      <c r="D50" s="3405"/>
      <c r="E50" s="2550"/>
      <c r="F50" s="795"/>
      <c r="G50" s="796"/>
    </row>
    <row r="51" spans="1:66" ht="13.5" thickBot="1">
      <c r="A51" s="762" t="s">
        <v>1376</v>
      </c>
      <c r="B51" s="777"/>
      <c r="C51" s="3380" t="s">
        <v>1377</v>
      </c>
      <c r="D51" s="338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19" sqref="E19"/>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44756</v>
      </c>
      <c r="C2" s="1613"/>
      <c r="D2" s="341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3044</v>
      </c>
      <c r="C3" s="1613"/>
      <c r="D3" s="3413"/>
      <c r="E3" s="2557" t="s">
        <v>3034</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3045</v>
      </c>
      <c r="C4" s="1613"/>
      <c r="D4" s="341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134.34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3032</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58787</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38.44</v>
      </c>
      <c r="C13" s="2885"/>
      <c r="D13" s="2851" t="s">
        <v>1397</v>
      </c>
      <c r="E13" s="2571">
        <f>成本法!C10</f>
        <v>26868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0.92800000000000005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470190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f>9000/B5/30</f>
        <v>2.2331397945511386</v>
      </c>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2013</v>
      </c>
      <c r="C27" s="1613"/>
      <c r="D27" s="3074" t="s">
        <v>3035</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3033</v>
      </c>
      <c r="D29" s="2853" t="s">
        <v>1423</v>
      </c>
      <c r="E29" s="2872">
        <f>E30+E31</f>
        <v>5.5000000000000007E-2</v>
      </c>
      <c r="F29" s="1238"/>
      <c r="G29" s="2887"/>
      <c r="H29" s="2887"/>
      <c r="K29" s="1613"/>
      <c r="N29" s="1613"/>
    </row>
    <row r="30" spans="1:41" ht="14.25">
      <c r="A30" s="2848" t="str">
        <f>IF(B29="租赁期内按合同租金","合同租金","市场租金")</f>
        <v>市场租金</v>
      </c>
      <c r="B30" s="2588">
        <v>2.4</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38.44</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v>0</v>
      </c>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0.02</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4" t="s">
        <v>1463</v>
      </c>
      <c r="B1" s="3415"/>
      <c r="C1" s="3415"/>
      <c r="D1" s="3415"/>
      <c r="E1" s="3415"/>
      <c r="F1" s="3415"/>
      <c r="G1" s="341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2" sqref="E32"/>
    </sheetView>
  </sheetViews>
  <sheetFormatPr defaultColWidth="14.625" defaultRowHeight="13.5"/>
  <cols>
    <col min="1" max="1" width="24.375" style="2501" customWidth="1"/>
    <col min="2" max="16384" width="14.625" style="2501"/>
  </cols>
  <sheetData>
    <row r="1" spans="1:9" ht="16.5">
      <c r="A1" s="2499" t="s">
        <v>973</v>
      </c>
      <c r="B1" s="2499">
        <f>SUM(B14:B23)</f>
        <v>134.34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44756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243</v>
      </c>
      <c r="C5" s="2499">
        <f ca="1">ROUND(B5*10000/$B$1,0)</f>
        <v>18088</v>
      </c>
      <c r="D5" s="2499" t="e">
        <f ca="1">ROUND(B5*10000/$B$2,0)</f>
        <v>#DIV/0!</v>
      </c>
      <c r="E5" s="1562"/>
      <c r="F5" s="2500"/>
      <c r="G5" s="2500"/>
    </row>
    <row r="6" spans="1:9" ht="16.5">
      <c r="A6" s="2499" t="s">
        <v>981</v>
      </c>
      <c r="B6" s="2499">
        <f ca="1">SUM(G14:G23)</f>
        <v>243</v>
      </c>
      <c r="C6" s="2499">
        <f t="shared" ref="C6:C8" ca="1" si="0">ROUND(B6*10000/$B$1,0)</f>
        <v>18088</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134.34</v>
      </c>
      <c r="C14" s="2835">
        <f>项目基本情况!C13</f>
        <v>0</v>
      </c>
      <c r="D14" s="2835">
        <f ca="1">IF('数据-取费表'!B3="万元",IF(A14="估价对象1（结果表）",结果表!H121,'结果表 (1修多)'!H125),IF(A14="估价对象1（结果表）",结果表!H121,'结果表 (1修多)'!H125)/10000)</f>
        <v>243</v>
      </c>
      <c r="E14" s="2835">
        <f ca="1">ROUND(D14*10000/B14,0)</f>
        <v>18088</v>
      </c>
      <c r="F14" s="2835" t="e">
        <f ca="1">ROUND(D14*10000/C14,0)</f>
        <v>#DIV/0!</v>
      </c>
      <c r="G14" s="2835">
        <f ca="1">IF('数据-取费表'!B3="万元",IF(A14="估价对象1（结果表）",结果表!D125,'结果表 (1修多)'!D129),IF(A14="估价对象1（结果表）",结果表!D125,'结果表 (1修多)'!D129)/10000)</f>
        <v>243</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3" zoomScaleNormal="100" zoomScaleSheetLayoutView="100" zoomScalePageLayoutView="80" workbookViewId="0">
      <selection activeCell="C19" sqref="C19"/>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7" t="str">
        <f>项目基本情况!B1</f>
        <v>北京市预评估</v>
      </c>
      <c r="B2" s="3487"/>
      <c r="C2" s="3487"/>
      <c r="D2" s="3487"/>
      <c r="E2" s="3487"/>
      <c r="F2" s="3487"/>
      <c r="G2" s="3487"/>
      <c r="H2" s="3487"/>
      <c r="I2" s="3487"/>
      <c r="J2" s="2762"/>
    </row>
    <row r="3" spans="1:15" ht="12.75">
      <c r="A3" s="3492" t="s">
        <v>1471</v>
      </c>
      <c r="B3" s="3493"/>
      <c r="C3" s="3493"/>
      <c r="D3" s="3493"/>
      <c r="E3" s="3493"/>
      <c r="F3" s="3493"/>
      <c r="G3" s="3493"/>
      <c r="H3" s="3493"/>
      <c r="I3" s="3493"/>
      <c r="J3" s="2763"/>
    </row>
    <row r="4" spans="1:15" ht="14.25">
      <c r="A4" s="2631" t="s">
        <v>1472</v>
      </c>
      <c r="B4" s="2631" t="s">
        <v>1473</v>
      </c>
      <c r="C4" s="2632" t="s">
        <v>3040</v>
      </c>
      <c r="D4" s="2632" t="s">
        <v>3041</v>
      </c>
      <c r="E4" s="3489" t="s">
        <v>1474</v>
      </c>
      <c r="F4" s="3477"/>
      <c r="G4" s="3477"/>
      <c r="H4" s="3477"/>
      <c r="I4" s="347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v>5</v>
      </c>
      <c r="D14" s="3491">
        <v>5</v>
      </c>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08" t="s">
        <v>2576</v>
      </c>
      <c r="F18" s="3509"/>
      <c r="G18" s="3509"/>
      <c r="H18" s="3509"/>
      <c r="I18" s="3509"/>
      <c r="J18" s="2765"/>
    </row>
    <row r="19" spans="1:36" ht="15">
      <c r="A19" s="2638" t="s">
        <v>1494</v>
      </c>
      <c r="B19" s="2639" t="s">
        <v>1495</v>
      </c>
      <c r="C19" s="2640">
        <f ca="1">SUMIF(INDIRECT("'"&amp;C4&amp;"'"&amp;"!A:A"),结果表!B19,INDIRECT("'"&amp;C4&amp;"'"&amp;"!B:B"))</f>
        <v>268</v>
      </c>
      <c r="D19" s="2641">
        <f ca="1">SUMIF(INDIRECT("'"&amp;D4&amp;"'"&amp;"!A:A"),结果表!B19,INDIRECT("'"&amp;D4&amp;"'"&amp;"!B:B"))</f>
        <v>217</v>
      </c>
      <c r="E19" s="2638" t="s">
        <v>1496</v>
      </c>
      <c r="F19" s="2639" t="s">
        <v>1495</v>
      </c>
      <c r="G19" s="2642">
        <f ca="1">ROUND(C19*$C$18+D19*$D$18,0)</f>
        <v>243</v>
      </c>
      <c r="H19" s="2643" t="str">
        <f>'数据-取费表'!B3</f>
        <v>万元</v>
      </c>
      <c r="I19" s="2691"/>
      <c r="J19" s="2766"/>
    </row>
    <row r="20" spans="1:36" ht="15">
      <c r="A20" s="2644"/>
      <c r="B20" s="1622" t="s">
        <v>1497</v>
      </c>
      <c r="C20" s="1847">
        <f ca="1">SUMIF(INDIRECT("'"&amp;C4&amp;"'"&amp;"!A:A"),结果表!B20,INDIRECT("'"&amp;C4&amp;"'"&amp;"!B:B"))</f>
        <v>19986</v>
      </c>
      <c r="D20" s="1850">
        <f ca="1">SUMIF(INDIRECT("'"&amp;D4&amp;"'"&amp;"!A:A"),结果表!B20,INDIRECT("'"&amp;D4&amp;"'"&amp;"!B:B"))</f>
        <v>16168</v>
      </c>
      <c r="E20" s="2644"/>
      <c r="F20" s="1622" t="s">
        <v>1497</v>
      </c>
      <c r="G20" s="2021">
        <f ca="1">ROUND(C20*$C$18+D20*$D$18,0)</f>
        <v>18077</v>
      </c>
      <c r="H20" s="2645" t="s">
        <v>1498</v>
      </c>
      <c r="I20" s="2481"/>
      <c r="J20" s="2765"/>
      <c r="L20" s="332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0.23502304147465436</v>
      </c>
      <c r="E22" s="905"/>
      <c r="F22" s="905"/>
      <c r="G22" s="905">
        <f ca="1">ROUND(G19*10000/'数据-取费表'!B5,0)</f>
        <v>18088</v>
      </c>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243</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178</v>
      </c>
      <c r="D34" s="2668">
        <f ca="1">IF(D33="自定义",ROUND(C34/C32,3),1-D35)</f>
        <v>0.73099999999999998</v>
      </c>
      <c r="E34" s="1363" t="s">
        <v>1510</v>
      </c>
      <c r="F34" s="2669">
        <v>2000</v>
      </c>
      <c r="G34" s="905"/>
      <c r="H34" s="905"/>
      <c r="I34" s="905"/>
      <c r="J34" s="2765"/>
    </row>
    <row r="35" spans="1:17" ht="15.75" thickBot="1">
      <c r="A35" s="1395"/>
      <c r="B35" s="2670" t="s">
        <v>1511</v>
      </c>
      <c r="C35" s="2671">
        <f ca="1">IF(D33="自定义",F35,ROUND(C32*D35,0))</f>
        <v>65</v>
      </c>
      <c r="D35" s="2672">
        <f ca="1">IF(D33="自定义",ROUND(C35/C32,3),IF(D33="成本法成本比率",成本法!C56,IF(D33="收益法收益比率",收益法!J38,收益法!J41)))</f>
        <v>0.26900000000000002</v>
      </c>
      <c r="E35" s="2673" t="s">
        <v>1512</v>
      </c>
      <c r="F35" s="2674">
        <v>4460</v>
      </c>
      <c r="G35" s="905"/>
      <c r="H35" s="905"/>
      <c r="I35" s="905"/>
      <c r="J35" s="2765"/>
    </row>
    <row r="36" spans="1:17" ht="15.75" thickBot="1">
      <c r="A36" s="3497" t="s">
        <v>1513</v>
      </c>
      <c r="B36" s="1396" t="s">
        <v>1514</v>
      </c>
      <c r="C36" s="2675">
        <v>0</v>
      </c>
      <c r="D36" s="2676"/>
      <c r="E36" s="1608"/>
      <c r="F36" s="1608"/>
      <c r="G36" s="905"/>
      <c r="H36" s="905"/>
      <c r="I36" s="905"/>
      <c r="J36" s="2765"/>
    </row>
    <row r="37" spans="1:17" ht="15.75" thickBot="1">
      <c r="A37" s="3502"/>
      <c r="B37" s="2022" t="s">
        <v>1515</v>
      </c>
      <c r="C37" s="2677">
        <v>0</v>
      </c>
      <c r="D37" s="1239"/>
      <c r="E37" s="1239"/>
      <c r="F37" s="1608"/>
      <c r="G37" s="1239"/>
      <c r="H37" s="1239"/>
      <c r="I37" s="1239"/>
      <c r="J37" s="2769"/>
    </row>
    <row r="38" spans="1:17" ht="15.75" thickBot="1">
      <c r="A38" s="350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2" t="s">
        <v>1524</v>
      </c>
      <c r="B45" s="3423"/>
      <c r="C45" s="3433"/>
      <c r="D45" s="246">
        <f ca="1">ROUND(I102*F45,0)</f>
        <v>243</v>
      </c>
      <c r="E45" s="1470" t="s">
        <v>1525</v>
      </c>
      <c r="F45" s="2479">
        <v>1</v>
      </c>
      <c r="G45" s="2480" t="s">
        <v>1526</v>
      </c>
      <c r="H45" s="905"/>
      <c r="I45" s="905"/>
      <c r="J45" s="2765"/>
      <c r="K45" s="3428" t="s">
        <v>2505</v>
      </c>
      <c r="L45" s="3428"/>
      <c r="M45" s="3428"/>
      <c r="N45" s="3428"/>
      <c r="O45" s="3428"/>
      <c r="P45" s="3428"/>
      <c r="Q45" s="1236"/>
    </row>
    <row r="46" spans="1:17" ht="14.25" customHeight="1">
      <c r="A46" s="3499" t="s">
        <v>1528</v>
      </c>
      <c r="B46" s="3500"/>
      <c r="C46" s="3500"/>
      <c r="D46" s="3500"/>
      <c r="E46" s="3500"/>
      <c r="F46" s="3500"/>
      <c r="G46" s="3501"/>
      <c r="H46" s="2897"/>
      <c r="I46" s="905"/>
      <c r="J46" s="2765"/>
      <c r="K46" s="2454">
        <v>1</v>
      </c>
      <c r="L46" s="3429" t="s">
        <v>2506</v>
      </c>
      <c r="M46" s="3429"/>
      <c r="N46" s="3430" t="str">
        <f>项目基本情况!B1</f>
        <v>北京市预评估</v>
      </c>
      <c r="O46" s="3430"/>
      <c r="P46" s="3430"/>
      <c r="Q46" s="1236"/>
    </row>
    <row r="47" spans="1:17" ht="12" customHeight="1">
      <c r="A47" s="38" t="s">
        <v>1530</v>
      </c>
      <c r="B47" s="39"/>
      <c r="C47" s="40"/>
      <c r="D47" s="1028" t="s">
        <v>1531</v>
      </c>
      <c r="E47" s="235" t="s">
        <v>1532</v>
      </c>
      <c r="F47" s="41" t="s">
        <v>1533</v>
      </c>
      <c r="G47" s="2482" t="s">
        <v>1534</v>
      </c>
      <c r="H47" s="2897"/>
      <c r="I47" s="905"/>
      <c r="J47" s="2765"/>
      <c r="K47" s="2454">
        <v>2</v>
      </c>
      <c r="L47" s="3429" t="s">
        <v>2507</v>
      </c>
      <c r="M47" s="3429"/>
      <c r="N47" s="3431">
        <f>'数据-取费表'!B2</f>
        <v>44756</v>
      </c>
      <c r="O47" s="3431"/>
      <c r="P47" s="3431"/>
      <c r="Q47" s="1236"/>
    </row>
    <row r="48" spans="1:17" ht="25.5">
      <c r="A48" s="3504" t="s">
        <v>1536</v>
      </c>
      <c r="B48" s="3438"/>
      <c r="C48" s="3438"/>
      <c r="D48" s="12">
        <f ca="1">IF(H48="情况1",0,IF(H48="情况2",D52,IF(H48="情况3",D53,IF(H48="情况4",D54))))</f>
        <v>13</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29" t="s">
        <v>2508</v>
      </c>
      <c r="M48" s="3429"/>
      <c r="N48" s="3430">
        <f ca="1">I102</f>
        <v>243</v>
      </c>
      <c r="O48" s="3430"/>
      <c r="P48" s="3430"/>
      <c r="Q48" s="1236"/>
    </row>
    <row r="49" spans="1:17" ht="25.5" customHeight="1">
      <c r="A49" s="2019" t="s">
        <v>1540</v>
      </c>
      <c r="B49" s="3477" t="s">
        <v>1541</v>
      </c>
      <c r="C49" s="3477"/>
      <c r="D49" s="2486">
        <v>0</v>
      </c>
      <c r="E49" s="261" t="s">
        <v>1542</v>
      </c>
      <c r="F49" s="2487" t="s">
        <v>48</v>
      </c>
      <c r="G49" s="3419"/>
      <c r="H49" s="2488" t="s">
        <v>2582</v>
      </c>
      <c r="I49" s="2489"/>
      <c r="J49" s="2773"/>
      <c r="K49" s="2454">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6"/>
    </row>
    <row r="50" spans="1:17" ht="25.5" customHeight="1">
      <c r="A50" s="2009"/>
      <c r="B50" s="3477" t="s">
        <v>1543</v>
      </c>
      <c r="C50" s="3477"/>
      <c r="D50" s="2490"/>
      <c r="E50" s="269"/>
      <c r="F50" s="2487"/>
      <c r="G50" s="3420"/>
      <c r="H50" s="2491" t="s">
        <v>2501</v>
      </c>
      <c r="I50" s="2489"/>
      <c r="J50" s="2773"/>
      <c r="K50" s="3429" t="s">
        <v>2509</v>
      </c>
      <c r="L50" s="3429"/>
      <c r="M50" s="3429"/>
      <c r="N50" s="3429"/>
      <c r="O50" s="3429"/>
      <c r="P50" s="3429"/>
      <c r="Q50" s="1236"/>
    </row>
    <row r="51" spans="1:17" ht="20.45" customHeight="1">
      <c r="A51" s="2492"/>
      <c r="B51" s="3477" t="s">
        <v>1545</v>
      </c>
      <c r="C51" s="3477"/>
      <c r="D51" s="1028"/>
      <c r="E51" s="264"/>
      <c r="F51" s="2487"/>
      <c r="G51" s="3421"/>
      <c r="H51" s="2491" t="s">
        <v>2502</v>
      </c>
      <c r="I51" s="2489"/>
      <c r="J51" s="2773"/>
      <c r="K51" s="2455" t="s">
        <v>2510</v>
      </c>
      <c r="L51" s="3429" t="s">
        <v>2511</v>
      </c>
      <c r="M51" s="3429"/>
      <c r="N51" s="2455" t="s">
        <v>2512</v>
      </c>
      <c r="O51" s="2455" t="s">
        <v>2513</v>
      </c>
      <c r="P51" s="2455" t="s">
        <v>2514</v>
      </c>
      <c r="Q51" s="1236"/>
    </row>
    <row r="52" spans="1:17" ht="24" customHeight="1">
      <c r="A52" s="2010" t="s">
        <v>1551</v>
      </c>
      <c r="B52" s="3477" t="s">
        <v>1552</v>
      </c>
      <c r="C52" s="3477"/>
      <c r="D52" s="1028">
        <f ca="1">ROUND(D45*'数据-取费表'!E29/(1+'数据-取费表'!F30),0)</f>
        <v>13</v>
      </c>
      <c r="E52" s="2020" t="s">
        <v>1553</v>
      </c>
      <c r="F52" s="2493">
        <f>'数据-取费表'!E29</f>
        <v>5.5000000000000007E-2</v>
      </c>
      <c r="G52" s="2494"/>
      <c r="H52" s="905"/>
      <c r="I52" s="2898"/>
      <c r="J52" s="2773"/>
      <c r="K52" s="2454">
        <v>1</v>
      </c>
      <c r="L52" s="3418" t="s">
        <v>2515</v>
      </c>
      <c r="M52" s="3418"/>
      <c r="N52" s="2456">
        <f ca="1">D48</f>
        <v>13</v>
      </c>
      <c r="O52" s="2454" t="str">
        <f>E48</f>
        <v>销售额×税（费）率</v>
      </c>
      <c r="P52" s="2457">
        <f>F48</f>
        <v>5.5000000000000007E-2</v>
      </c>
      <c r="Q52" s="1236"/>
    </row>
    <row r="53" spans="1:17" ht="12" customHeight="1">
      <c r="A53" s="2010" t="s">
        <v>1555</v>
      </c>
      <c r="B53" s="3489" t="s">
        <v>2593</v>
      </c>
      <c r="C53" s="3478"/>
      <c r="D53" s="1028">
        <f ca="1">ROUND(D45*'数据-取费表'!E29/(1+'数据-取费表'!F30),0)</f>
        <v>13</v>
      </c>
      <c r="E53" s="2020" t="s">
        <v>1553</v>
      </c>
      <c r="F53" s="2493">
        <f>'数据-取费表'!E29</f>
        <v>5.5000000000000007E-2</v>
      </c>
      <c r="G53" s="2494"/>
      <c r="H53" s="905"/>
      <c r="I53" s="2898"/>
      <c r="J53" s="2773"/>
      <c r="K53" s="2454">
        <v>2</v>
      </c>
      <c r="L53" s="3418" t="s">
        <v>2516</v>
      </c>
      <c r="M53" s="3418"/>
      <c r="N53" s="2456">
        <f t="shared" ref="N53:P54" si="1">D55</f>
        <v>0</v>
      </c>
      <c r="O53" s="2454" t="str">
        <f t="shared" si="1"/>
        <v>销售额×税（费）率</v>
      </c>
      <c r="P53" s="2457" t="str">
        <f t="shared" si="1"/>
        <v>免征</v>
      </c>
      <c r="Q53" s="1236"/>
    </row>
    <row r="54" spans="1:17" ht="12" customHeight="1">
      <c r="A54" s="2010" t="s">
        <v>1557</v>
      </c>
      <c r="B54" s="3489" t="s">
        <v>2594</v>
      </c>
      <c r="C54" s="3478"/>
      <c r="D54" s="1028">
        <f ca="1">C68</f>
        <v>13</v>
      </c>
      <c r="E54" s="264" t="s">
        <v>1558</v>
      </c>
      <c r="F54" s="2493">
        <f>'数据-取费表'!E29</f>
        <v>5.5000000000000007E-2</v>
      </c>
      <c r="G54" s="2494"/>
      <c r="H54" s="2899"/>
      <c r="I54" s="2898"/>
      <c r="J54" s="2773"/>
      <c r="K54" s="2454">
        <v>3</v>
      </c>
      <c r="L54" s="3418" t="s">
        <v>2517</v>
      </c>
      <c r="M54" s="3418"/>
      <c r="N54" s="2456">
        <f t="shared" si="1"/>
        <v>0</v>
      </c>
      <c r="O54" s="2454" t="str">
        <f t="shared" si="1"/>
        <v>增值额×税（费）率</v>
      </c>
      <c r="P54" s="2458" t="str">
        <f t="shared" si="1"/>
        <v>免征</v>
      </c>
      <c r="Q54" s="1236"/>
    </row>
    <row r="55" spans="1:17" ht="24" customHeight="1">
      <c r="A55" s="3442" t="s">
        <v>1560</v>
      </c>
      <c r="B55" s="3438"/>
      <c r="C55" s="343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8" t="str">
        <f>IF(H59="非个人房产","——","个人所得税")</f>
        <v>——</v>
      </c>
      <c r="M55" s="3418"/>
      <c r="N55" s="2459" t="str">
        <f>D59</f>
        <v>——</v>
      </c>
      <c r="O55" s="2460" t="str">
        <f>E59</f>
        <v>——</v>
      </c>
      <c r="P55" s="2461" t="str">
        <f>F59</f>
        <v>——</v>
      </c>
      <c r="Q55" s="1236"/>
    </row>
    <row r="56" spans="1:17" ht="24.75">
      <c r="A56" s="3442" t="s">
        <v>1563</v>
      </c>
      <c r="B56" s="3438"/>
      <c r="C56" s="3438"/>
      <c r="D56" s="12">
        <f>IF(H56="个人住宅",D57,D58)</f>
        <v>0</v>
      </c>
      <c r="E56" s="2020" t="s">
        <v>1564</v>
      </c>
      <c r="F56" s="2493" t="str">
        <f>IF(H56="正常",F58,"免征")</f>
        <v>免征</v>
      </c>
      <c r="G56" s="2495" t="s">
        <v>1565</v>
      </c>
      <c r="H56" s="2496" t="s">
        <v>2498</v>
      </c>
      <c r="I56" s="2900"/>
      <c r="J56" s="2773"/>
      <c r="K56" s="2454" t="str">
        <f>IF(项目基本情况!I6="上海银行",IF(K55="",4,K55+1),"")</f>
        <v/>
      </c>
      <c r="L56" s="3416" t="str">
        <f>IF(项目基本情况!I6="上海银行","其他处置费用","")</f>
        <v/>
      </c>
      <c r="M56" s="3436"/>
      <c r="N56" s="2456" t="str">
        <f>IF(项目基本情况!I6="上海银行",N69,"")</f>
        <v/>
      </c>
      <c r="O56" s="3416" t="str">
        <f>IF(项目基本情况!I6="上海银行","包含处置中涉及的律师、诉讼、拍卖、评估等费用","")</f>
        <v/>
      </c>
      <c r="P56" s="3417"/>
      <c r="Q56" s="1236"/>
    </row>
    <row r="57" spans="1:17" ht="12.75">
      <c r="A57" s="2010" t="s">
        <v>1540</v>
      </c>
      <c r="B57" s="3489" t="s">
        <v>1566</v>
      </c>
      <c r="C57" s="3478"/>
      <c r="D57" s="2486">
        <v>0</v>
      </c>
      <c r="E57" s="261" t="s">
        <v>1542</v>
      </c>
      <c r="F57" s="235"/>
      <c r="G57" s="2494"/>
      <c r="H57" s="2900"/>
      <c r="I57" s="2900"/>
      <c r="J57" s="2773"/>
      <c r="K57" s="3418">
        <f>IF(AND(K55="",K56=""),4,IF(项目基本情况!I6="上海银行",K56+1,K55+1))</f>
        <v>4</v>
      </c>
      <c r="L57" s="3418" t="s">
        <v>2518</v>
      </c>
      <c r="M57" s="2462" t="s">
        <v>2519</v>
      </c>
      <c r="N57" s="2463"/>
      <c r="O57" s="2464">
        <f ca="1">SUMIF(N52:N56,"&lt;9e307")</f>
        <v>13</v>
      </c>
      <c r="P57" s="2465"/>
      <c r="Q57" s="1234" t="e">
        <f ca="1">O57/N49</f>
        <v>#VALUE!</v>
      </c>
    </row>
    <row r="58" spans="1:17" ht="24.75">
      <c r="A58" s="2010" t="s">
        <v>1551</v>
      </c>
      <c r="B58" s="3489" t="s">
        <v>1569</v>
      </c>
      <c r="C58" s="3477"/>
      <c r="D58" s="12">
        <f ca="1">IF(H58="转让取得",C81,C97)</f>
        <v>138</v>
      </c>
      <c r="E58" s="2020" t="s">
        <v>1564</v>
      </c>
      <c r="F58" s="235" t="s">
        <v>48</v>
      </c>
      <c r="G58" s="2494"/>
      <c r="H58" s="2496" t="s">
        <v>1570</v>
      </c>
      <c r="I58" s="2900"/>
      <c r="J58" s="2773"/>
      <c r="K58" s="3418"/>
      <c r="L58" s="3418"/>
      <c r="M58" s="2462" t="s">
        <v>2520</v>
      </c>
      <c r="N58" s="2466"/>
      <c r="O58" s="2467" t="str">
        <f ca="1">IF(H19="元",NUMBERSTRING(INT(O57),2)&amp;"元整",NUMBERSTRING(INT(O57*10000),2)&amp;"元整")</f>
        <v>壹拾叁万元整</v>
      </c>
      <c r="P58" s="2468"/>
      <c r="Q58" s="1236"/>
    </row>
    <row r="59" spans="1:17" ht="24.75" thickBot="1">
      <c r="A59" s="3505" t="s">
        <v>1572</v>
      </c>
      <c r="B59" s="3506"/>
      <c r="C59" s="350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1">
        <f>K57+1</f>
        <v>5</v>
      </c>
      <c r="L59" s="341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2"/>
      <c r="L60" s="3418"/>
      <c r="M60" s="2462" t="s">
        <v>2520</v>
      </c>
      <c r="N60" s="2466"/>
      <c r="O60" s="2467" t="e">
        <f ca="1">IF(H19="元",NUMBERSTRING(INT(O59),2)&amp;"元整",NUMBERSTRING(INT(O59*10000),2)&amp;"元整")</f>
        <v>#VALUE!</v>
      </c>
      <c r="P60" s="2468"/>
      <c r="Q60" s="1236"/>
    </row>
    <row r="61" spans="1:17" ht="13.5" thickBot="1">
      <c r="A61" s="3507" t="s">
        <v>1574</v>
      </c>
      <c r="B61" s="3507"/>
      <c r="C61" s="3507"/>
      <c r="D61" s="3507"/>
      <c r="E61" s="3507"/>
      <c r="F61" s="2901"/>
      <c r="G61" s="2901"/>
      <c r="H61" s="2903"/>
      <c r="I61" s="31"/>
      <c r="K61" s="2454">
        <f>K59+1</f>
        <v>6</v>
      </c>
      <c r="L61" s="3418" t="s">
        <v>2522</v>
      </c>
      <c r="M61" s="3418"/>
      <c r="N61" s="2472"/>
      <c r="O61" s="2473" t="e">
        <f ca="1">IF(H19="元",ROUND(O59/项目基本情况!C12,0),ROUND(O59*10000/项目基本情况!C12,0))</f>
        <v>#VALUE!</v>
      </c>
      <c r="P61" s="2474"/>
      <c r="Q61" s="1236"/>
    </row>
    <row r="62" spans="1:17" ht="12.75">
      <c r="A62" s="3456" t="s">
        <v>1576</v>
      </c>
      <c r="B62" s="345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231</v>
      </c>
      <c r="D63" s="47"/>
      <c r="E63" s="48"/>
      <c r="F63" s="2901"/>
      <c r="G63" s="2901"/>
      <c r="H63" s="2903"/>
      <c r="I63" s="31"/>
      <c r="K63" s="343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243</v>
      </c>
      <c r="D64" s="50" t="s">
        <v>41</v>
      </c>
      <c r="E64" s="52"/>
      <c r="F64" s="2901"/>
      <c r="G64" s="2901"/>
      <c r="H64" s="2903"/>
      <c r="I64" s="31"/>
      <c r="K64" s="343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7"/>
      <c r="L66" s="2476" t="s">
        <v>2528</v>
      </c>
      <c r="M66" s="2476" t="e">
        <f>N49*0.5%</f>
        <v>#VALUE!</v>
      </c>
      <c r="N66" s="2477" t="e">
        <f>IF(M66&gt;0.5,0.5,ROUND(M66,0))</f>
        <v>#VALUE!</v>
      </c>
      <c r="O66" s="2475" t="s">
        <v>2529</v>
      </c>
      <c r="P66" s="2475"/>
      <c r="Q66" s="1236"/>
    </row>
    <row r="67" spans="1:36" ht="12.75">
      <c r="A67" s="53" t="s">
        <v>42</v>
      </c>
      <c r="B67" s="54" t="s">
        <v>1591</v>
      </c>
      <c r="C67" s="2708">
        <f ca="1">C63-C66</f>
        <v>231</v>
      </c>
      <c r="D67" s="50" t="s">
        <v>41</v>
      </c>
      <c r="E67" s="52"/>
      <c r="F67" s="2901"/>
      <c r="G67" s="2901"/>
      <c r="H67" s="2903"/>
      <c r="I67" s="31"/>
      <c r="K67" s="343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13</v>
      </c>
      <c r="D68" s="2170">
        <f>'数据-取费表'!E29</f>
        <v>5.5000000000000007E-2</v>
      </c>
      <c r="E68" s="57"/>
      <c r="F68" s="2901"/>
      <c r="G68" s="2901"/>
      <c r="H68" s="2903"/>
      <c r="I68" s="31"/>
      <c r="K68" s="343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8" t="s">
        <v>1596</v>
      </c>
      <c r="B70" s="3459"/>
      <c r="C70" s="3459"/>
      <c r="D70" s="3459"/>
      <c r="E70" s="3459"/>
      <c r="F70" s="3459"/>
      <c r="G70" s="3459"/>
      <c r="H70" s="345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6" t="s">
        <v>1576</v>
      </c>
      <c r="B71" s="345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231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9" t="s">
        <v>1606</v>
      </c>
      <c r="F76" s="3477"/>
      <c r="G76" s="3477"/>
      <c r="H76" s="349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v>
      </c>
      <c r="D78" s="2717">
        <f>'数据-取费表'!E31</f>
        <v>5.000000000000001E-3</v>
      </c>
      <c r="E78" s="3425" t="s">
        <v>1611</v>
      </c>
      <c r="F78" s="3426"/>
      <c r="G78" s="3426"/>
      <c r="H78" s="344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230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230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138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8" t="s">
        <v>1615</v>
      </c>
      <c r="B83" s="3459"/>
      <c r="C83" s="3459"/>
      <c r="D83" s="3459"/>
      <c r="E83" s="3459"/>
      <c r="F83" s="3459"/>
      <c r="G83" s="3459"/>
      <c r="H83" s="345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6" t="s">
        <v>1576</v>
      </c>
      <c r="B84" s="345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231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5" t="s">
        <v>2493</v>
      </c>
      <c r="H90" s="346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5" t="s">
        <v>1623</v>
      </c>
      <c r="F91" s="3426"/>
      <c r="G91" s="342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5" t="s">
        <v>1626</v>
      </c>
      <c r="F92" s="3426"/>
      <c r="G92" s="3426"/>
      <c r="H92" s="344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v>
      </c>
      <c r="D93" s="2717">
        <f>'数据-取费表'!E31</f>
        <v>5.000000000000001E-3</v>
      </c>
      <c r="E93" s="3425" t="s">
        <v>1611</v>
      </c>
      <c r="F93" s="3426"/>
      <c r="G93" s="3426"/>
      <c r="H93" s="344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5" t="s">
        <v>1628</v>
      </c>
      <c r="F94" s="3426"/>
      <c r="G94" s="3426"/>
      <c r="H94" s="344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230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230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138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3" t="s">
        <v>1630</v>
      </c>
      <c r="B99" s="3444"/>
      <c r="C99" s="3444"/>
      <c r="D99" s="3445"/>
      <c r="E99" s="1389"/>
      <c r="F99" s="3453" t="s">
        <v>1631</v>
      </c>
      <c r="G99" s="3454"/>
      <c r="H99" s="3454"/>
      <c r="I99" s="3455"/>
      <c r="J99" s="2779"/>
    </row>
    <row r="100" spans="1:36" ht="15">
      <c r="A100" s="3460" t="s">
        <v>1632</v>
      </c>
      <c r="B100" s="3461"/>
      <c r="C100" s="1235" t="str">
        <f>C4</f>
        <v>成本法</v>
      </c>
      <c r="D100" s="2727" t="str">
        <f>D4</f>
        <v>收益法</v>
      </c>
      <c r="E100" s="1389"/>
      <c r="F100" s="3462" t="s">
        <v>2537</v>
      </c>
      <c r="G100" s="3464"/>
      <c r="H100" s="3462" t="s">
        <v>2538</v>
      </c>
      <c r="I100" s="3463"/>
      <c r="J100" s="2780"/>
    </row>
    <row r="101" spans="1:36" ht="12.75">
      <c r="A101" s="3479" t="s">
        <v>2570</v>
      </c>
      <c r="B101" s="2235" t="str">
        <f>IF(H19="元","总价（元）","总价（万元）")</f>
        <v>总价（万元）</v>
      </c>
      <c r="C101" s="1235">
        <f ca="1">C19</f>
        <v>268</v>
      </c>
      <c r="D101" s="2727">
        <f ca="1">D19</f>
        <v>217</v>
      </c>
      <c r="E101" s="1389"/>
      <c r="F101" s="3462" t="str">
        <f>项目基本情况!I1</f>
        <v>北京市房地产</v>
      </c>
      <c r="G101" s="3464"/>
      <c r="H101" s="3466">
        <f>项目基本情况!C12</f>
        <v>134.34</v>
      </c>
      <c r="I101" s="3463"/>
      <c r="J101" s="2780"/>
    </row>
    <row r="102" spans="1:36" ht="12.75">
      <c r="A102" s="3479"/>
      <c r="B102" s="2235" t="s">
        <v>2571</v>
      </c>
      <c r="C102" s="2728">
        <f ca="1">C20</f>
        <v>19986</v>
      </c>
      <c r="D102" s="2729">
        <f ca="1">D20</f>
        <v>16168</v>
      </c>
      <c r="E102" s="1389"/>
      <c r="F102" s="3449" t="s">
        <v>2567</v>
      </c>
      <c r="G102" s="3450"/>
      <c r="H102" s="2737" t="str">
        <f>C106</f>
        <v>总价（万元）</v>
      </c>
      <c r="I102" s="2738">
        <f ca="1">H121</f>
        <v>243</v>
      </c>
      <c r="J102" s="2780"/>
    </row>
    <row r="103" spans="1:36" ht="12.75">
      <c r="A103" s="3479" t="s">
        <v>2572</v>
      </c>
      <c r="B103" s="2173" t="str">
        <f>B101</f>
        <v>总价（万元）</v>
      </c>
      <c r="C103" s="2732">
        <f ca="1">H121</f>
        <v>243</v>
      </c>
      <c r="D103" s="2730"/>
      <c r="E103" s="1389"/>
      <c r="F103" s="3449"/>
      <c r="G103" s="3450"/>
      <c r="H103" s="2737" t="s">
        <v>2540</v>
      </c>
      <c r="I103" s="52">
        <f ca="1">I121</f>
        <v>18088</v>
      </c>
      <c r="J103" s="2764"/>
    </row>
    <row r="104" spans="1:36" ht="13.5" thickBot="1">
      <c r="A104" s="3480"/>
      <c r="B104" s="2734" t="s">
        <v>2571</v>
      </c>
      <c r="C104" s="2735">
        <f ca="1">I121</f>
        <v>18088</v>
      </c>
      <c r="D104" s="2736"/>
      <c r="E104" s="1389"/>
      <c r="F104" s="3449"/>
      <c r="G104" s="3450"/>
      <c r="H104" s="3481"/>
      <c r="I104" s="3482"/>
      <c r="J104" s="2781"/>
    </row>
    <row r="105" spans="1:36" ht="15">
      <c r="A105" s="3443" t="s">
        <v>1633</v>
      </c>
      <c r="B105" s="3444"/>
      <c r="C105" s="3444"/>
      <c r="D105" s="3445"/>
      <c r="E105" s="1389"/>
      <c r="F105" s="3485" t="s">
        <v>2541</v>
      </c>
      <c r="G105" s="3486"/>
      <c r="H105" s="2739" t="str">
        <f>C108</f>
        <v>总额（万元）</v>
      </c>
      <c r="I105" s="2738">
        <f>SUMIF(I106:I108,"&lt;9E307")</f>
        <v>0</v>
      </c>
      <c r="J105" s="2780"/>
    </row>
    <row r="106" spans="1:36" ht="14.25">
      <c r="A106" s="3449" t="s">
        <v>2564</v>
      </c>
      <c r="B106" s="3450"/>
      <c r="C106" s="2737" t="str">
        <f>B101</f>
        <v>总价（万元）</v>
      </c>
      <c r="D106" s="2738">
        <f ca="1">H121</f>
        <v>243</v>
      </c>
      <c r="E106" s="1389"/>
      <c r="F106" s="3451" t="s">
        <v>2542</v>
      </c>
      <c r="G106" s="345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9"/>
      <c r="B107" s="3450"/>
      <c r="C107" s="2737" t="s">
        <v>2565</v>
      </c>
      <c r="D107" s="52">
        <f ca="1">I121</f>
        <v>18088</v>
      </c>
      <c r="E107" s="1389"/>
      <c r="F107" s="3451" t="s">
        <v>2543</v>
      </c>
      <c r="G107" s="3452"/>
      <c r="H107" s="2739" t="str">
        <f>C110</f>
        <v>总额（万元）</v>
      </c>
      <c r="I107" s="52">
        <f>C37</f>
        <v>0</v>
      </c>
      <c r="J107" s="2764"/>
    </row>
    <row r="108" spans="1:36" ht="12.75">
      <c r="A108" s="3520" t="s">
        <v>2541</v>
      </c>
      <c r="B108" s="3521"/>
      <c r="C108" s="2739" t="str">
        <f>IF(H19="元","总额（元）","总额（万元）")</f>
        <v>总额（万元）</v>
      </c>
      <c r="D108" s="2738">
        <f>IF(D36="正常操作",I106+I107+I108,I107+I108)</f>
        <v>0</v>
      </c>
      <c r="E108" s="1389"/>
      <c r="F108" s="3451" t="s">
        <v>2568</v>
      </c>
      <c r="G108" s="3452"/>
      <c r="H108" s="2739" t="str">
        <f>C111</f>
        <v>总额（万元）</v>
      </c>
      <c r="I108" s="52">
        <f>C38</f>
        <v>0</v>
      </c>
      <c r="J108" s="2764"/>
    </row>
    <row r="109" spans="1:36" ht="12.75">
      <c r="A109" s="3451" t="s">
        <v>2542</v>
      </c>
      <c r="B109" s="3452"/>
      <c r="C109" s="2739" t="str">
        <f>C108</f>
        <v>总额（万元）</v>
      </c>
      <c r="D109" s="52">
        <f>IF(D36="同一抵押权人同一抵押物续贷",C36&amp;"（未扣减，详见特别提示）",C36)</f>
        <v>0</v>
      </c>
      <c r="E109" s="1389"/>
      <c r="F109" s="3449"/>
      <c r="G109" s="3450"/>
      <c r="H109" s="3483"/>
      <c r="I109" s="3484"/>
      <c r="J109" s="2782"/>
    </row>
    <row r="110" spans="1:36" ht="28.5" customHeight="1">
      <c r="A110" s="3451" t="s">
        <v>2566</v>
      </c>
      <c r="B110" s="3452"/>
      <c r="C110" s="2739" t="str">
        <f>C108</f>
        <v>总额（万元）</v>
      </c>
      <c r="D110" s="52">
        <f>C37</f>
        <v>0</v>
      </c>
      <c r="E110" s="1389"/>
      <c r="F110" s="3432" t="str">
        <f>IF(项目基本情况!F5="已注销","——","3.房地产抵押价值")</f>
        <v>3.房地产抵押价值</v>
      </c>
      <c r="G110" s="3433"/>
      <c r="H110" s="2725" t="str">
        <f>C112</f>
        <v>总价（万元）</v>
      </c>
      <c r="I110" s="2738">
        <f ca="1">IF(F110="——","——",I102-I105)</f>
        <v>243</v>
      </c>
      <c r="J110" s="2780"/>
    </row>
    <row r="111" spans="1:36" ht="12.75">
      <c r="A111" s="3451" t="s">
        <v>2545</v>
      </c>
      <c r="B111" s="3452"/>
      <c r="C111" s="2739" t="str">
        <f>C108</f>
        <v>总额（万元）</v>
      </c>
      <c r="D111" s="52">
        <f>C38</f>
        <v>0</v>
      </c>
      <c r="E111" s="1389"/>
      <c r="F111" s="3434"/>
      <c r="G111" s="3435"/>
      <c r="H111" s="2737" t="s">
        <v>2540</v>
      </c>
      <c r="I111" s="2741">
        <f ca="1">D113</f>
        <v>18088</v>
      </c>
      <c r="J111" s="2783"/>
    </row>
    <row r="112" spans="1:36" ht="26.25" customHeight="1">
      <c r="A112" s="3449" t="str">
        <f>IF(项目基本情况!F5="已注销","——","3.房地产抵押价值")</f>
        <v>3.房地产抵押价值</v>
      </c>
      <c r="B112" s="3450"/>
      <c r="C112" s="2737" t="str">
        <f>B101</f>
        <v>总价（万元）</v>
      </c>
      <c r="D112" s="2738">
        <f ca="1">IF(A112="——","——",D106-D108)</f>
        <v>243</v>
      </c>
      <c r="E112" s="1389"/>
      <c r="F112" s="3432" t="str">
        <f>IF(项目基本情况!F5="已注销及未注销","4.抵押担保权已注销时的房地产抵押价值",IF(项目基本情况!F5="已注销","3.抵押担保权已注销时的房地产抵押价值","——"))</f>
        <v>——</v>
      </c>
      <c r="G112" s="3433"/>
      <c r="H112" s="2725" t="str">
        <f>C114</f>
        <v>总价（万元）</v>
      </c>
      <c r="I112" s="2738" t="str">
        <f>IF(F112="——","——",I102-I107-I108)</f>
        <v>——</v>
      </c>
      <c r="J112" s="2780"/>
    </row>
    <row r="113" spans="1:16" ht="12.75">
      <c r="A113" s="3449"/>
      <c r="B113" s="3450"/>
      <c r="C113" s="2737" t="s">
        <v>2533</v>
      </c>
      <c r="D113" s="52">
        <f ca="1">ROUND(IF(D112=D106,D107,IF(H19="元",D112/项目基本情况!C12,D112*10000/项目基本情况!C12)),0)</f>
        <v>18088</v>
      </c>
      <c r="E113" s="1389"/>
      <c r="F113" s="3434"/>
      <c r="G113" s="3435"/>
      <c r="H113" s="2737" t="s">
        <v>2569</v>
      </c>
      <c r="I113" s="52" t="str">
        <f>D115</f>
        <v>——</v>
      </c>
      <c r="J113" s="2764"/>
    </row>
    <row r="114" spans="1:16" ht="12.75">
      <c r="A114" s="3449" t="str">
        <f>IF(项目基本情况!F5="已注销及未注销","4.抵押担保权已注销时的房地产抵押价值",IF(项目基本情况!F5="已注销","3.抵押担保权已注销时的房地产抵押价值","——"))</f>
        <v>——</v>
      </c>
      <c r="B114" s="3450"/>
      <c r="C114" s="2737" t="str">
        <f>B101</f>
        <v>总价（万元）</v>
      </c>
      <c r="D114" s="2738" t="str">
        <f>IF(A114="——","——",D106-D110-D111)</f>
        <v>——</v>
      </c>
      <c r="E114" s="1389"/>
      <c r="F114" s="3432" t="str">
        <f>IF(项目基本情况!G5="抵押净值",IF(OR(项目基本情况!F5="已注销",项目基本情况!F5="房地产抵押价值"),"4.抵押净值","5.抵押净值"),"——")</f>
        <v>——</v>
      </c>
      <c r="G114" s="3433"/>
      <c r="H114" s="2737" t="str">
        <f>C116</f>
        <v>总价（万元）</v>
      </c>
      <c r="I114" s="2738" t="str">
        <f>IF(F114="——","——",O59)</f>
        <v>——</v>
      </c>
      <c r="J114" s="2780"/>
    </row>
    <row r="115" spans="1:16" ht="13.5" thickBot="1">
      <c r="A115" s="3449"/>
      <c r="B115" s="3450"/>
      <c r="C115" s="2737" t="s">
        <v>2533</v>
      </c>
      <c r="D115" s="52" t="str">
        <f>IF(A114="——","——",ROUND(IF(D114=D106,D107,IF(H19="元",D114/项目基本情况!C12,D114*10000/项目基本情况!C12)),0))</f>
        <v>——</v>
      </c>
      <c r="E115" s="1389"/>
      <c r="F115" s="3512"/>
      <c r="G115" s="3513"/>
      <c r="H115" s="2742" t="s">
        <v>2533</v>
      </c>
      <c r="I115" s="2726" t="str">
        <f ca="1">D117</f>
        <v>——</v>
      </c>
      <c r="J115" s="2764"/>
    </row>
    <row r="116" spans="1:16" ht="15.75">
      <c r="A116" s="3449" t="str">
        <f>IF(项目基本情况!G5="抵押净值",IF(OR(项目基本情况!F5="已注销",项目基本情况!F5="房地产抵押价值"),"4.抵押净值","5.抵押净值"),"——")</f>
        <v>——</v>
      </c>
      <c r="B116" s="3450"/>
      <c r="C116" s="2737" t="str">
        <f>B101</f>
        <v>总价（万元）</v>
      </c>
      <c r="D116" s="2738" t="str">
        <f>IF(A116="——","——",O59)</f>
        <v>——</v>
      </c>
      <c r="E116" s="1389"/>
      <c r="F116" s="3427"/>
      <c r="G116" s="3427"/>
      <c r="H116" s="3468"/>
      <c r="I116" s="3468"/>
      <c r="J116" s="2784"/>
      <c r="O116" s="32"/>
      <c r="P116" s="32"/>
    </row>
    <row r="117" spans="1:16" ht="13.5" thickBot="1">
      <c r="A117" s="3518"/>
      <c r="B117" s="3519"/>
      <c r="C117" s="2742" t="s">
        <v>2533</v>
      </c>
      <c r="D117" s="2726" t="str">
        <f ca="1">IF(D116=D112,D113,IF(A116="——","——",O61))</f>
        <v>——</v>
      </c>
      <c r="E117" s="1389"/>
      <c r="F117" s="3511" t="str">
        <f>IF(B32="总价","（以上估价结果中单价为总价除以建筑面积得出）","（以上估价结果中总价为楼面单价乘以建筑面积得出）")</f>
        <v>（以上估价结果中单价为总价除以建筑面积得出）</v>
      </c>
      <c r="G117" s="3511"/>
      <c r="H117" s="3511"/>
      <c r="I117" s="3511"/>
      <c r="J117" s="2785"/>
      <c r="O117" s="32"/>
      <c r="P117" s="32"/>
    </row>
    <row r="118" spans="1:16" ht="15">
      <c r="A118" s="3469" t="s">
        <v>1634</v>
      </c>
      <c r="B118" s="3470"/>
      <c r="C118" s="3470"/>
      <c r="D118" s="3470"/>
      <c r="E118" s="3470"/>
      <c r="F118" s="3470"/>
      <c r="G118" s="3470"/>
      <c r="H118" s="3470"/>
      <c r="I118" s="3470"/>
      <c r="J118" s="2786"/>
    </row>
    <row r="119" spans="1:16" ht="12.75">
      <c r="A119" s="3442" t="s">
        <v>2551</v>
      </c>
      <c r="B119" s="3440" t="s">
        <v>2561</v>
      </c>
      <c r="C119" s="3440" t="s">
        <v>2562</v>
      </c>
      <c r="D119" s="3447" t="s">
        <v>2553</v>
      </c>
      <c r="E119" s="3448"/>
      <c r="F119" s="3438" t="s">
        <v>2563</v>
      </c>
      <c r="G119" s="3438"/>
      <c r="H119" s="3438" t="s">
        <v>2554</v>
      </c>
      <c r="I119" s="3439"/>
      <c r="J119" s="2764"/>
    </row>
    <row r="120" spans="1:16" ht="12.75">
      <c r="A120" s="3442"/>
      <c r="B120" s="3441"/>
      <c r="C120" s="344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134.34</v>
      </c>
      <c r="C121" s="2020">
        <f>项目基本情况!C13</f>
        <v>0</v>
      </c>
      <c r="D121" s="2020">
        <f ca="1">ROUND(IF(B32="总价",C34,IF('数据-取费表'!B3="万元",E121*B121/10000,E121*B121)),0)</f>
        <v>178</v>
      </c>
      <c r="E121" s="2020">
        <f ca="1">ROUND(IF(B32="楼面单价",C34,IF(H19="元",D121/B121,D121*10000/B121)),0)</f>
        <v>13250</v>
      </c>
      <c r="F121" s="2020">
        <f ca="1">ROUND(IF(B32="总价",C35,IF('数据-取费表'!B3="万元",G121*B121/10000,G121*B121)),0)</f>
        <v>65</v>
      </c>
      <c r="G121" s="2020">
        <f ca="1">ROUND(IF(B32="楼面单价",C35,IF(H19="元",F121/B121,F121*10000/B121)),0)</f>
        <v>4838</v>
      </c>
      <c r="H121" s="2020">
        <f ca="1">ROUND(IF(B32="总价",C32,IF('数据-取费表'!B3="万元",I121*B121/10000,I121*B121)),0)</f>
        <v>243</v>
      </c>
      <c r="I121" s="52">
        <f ca="1">ROUND(IF(B32="楼面单价",C32,IF(H19="元",H121/B121,H121*10000/B121)),0)</f>
        <v>18088</v>
      </c>
      <c r="J121" s="2764"/>
    </row>
    <row r="122" spans="1:16" ht="12.75">
      <c r="A122" s="3442" t="s">
        <v>2557</v>
      </c>
      <c r="B122" s="3438"/>
      <c r="C122" s="3438"/>
      <c r="D122" s="3473" t="str">
        <f ca="1">IF(H19="元",NUMBERSTRING(INT(D121),2)&amp;"元整",NUMBERSTRING(INT(D121*10000),2)&amp;"元整")</f>
        <v>壹佰柒拾捌万元整</v>
      </c>
      <c r="E122" s="3474"/>
      <c r="F122" s="3473" t="str">
        <f ca="1">IF(H19="元",NUMBERSTRING(INT(F121),2)&amp;"元整",NUMBERSTRING(INT(F121*10000),2)&amp;"元整")</f>
        <v>陆拾伍万元整</v>
      </c>
      <c r="G122" s="3474"/>
      <c r="H122" s="3473" t="str">
        <f ca="1">IF(H19="元",NUMBERSTRING(INT(H121),2)&amp;"元整",NUMBERSTRING(INT(H121*10000),2)&amp;"元整")</f>
        <v>贰佰肆拾叁万元整</v>
      </c>
      <c r="I122" s="3522"/>
      <c r="J122" s="2787"/>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80"/>
    </row>
    <row r="124" spans="1:16" ht="12.75">
      <c r="A124" s="3476" t="s">
        <v>2557</v>
      </c>
      <c r="B124" s="3477"/>
      <c r="C124" s="3478"/>
      <c r="D124" s="3514">
        <f>H109</f>
        <v>0</v>
      </c>
      <c r="E124" s="3515"/>
      <c r="F124" s="3515"/>
      <c r="G124" s="3515"/>
      <c r="H124" s="3515"/>
      <c r="I124" s="3516"/>
      <c r="J124" s="2788"/>
    </row>
    <row r="125" spans="1:16" ht="12.75">
      <c r="A125" s="3449" t="str">
        <f>IF(项目基本情况!D5="房地产市场价值","——",MID(A112,3,LEN(A112)-2))</f>
        <v>房地产抵押价值</v>
      </c>
      <c r="B125" s="3450"/>
      <c r="C125" s="3450"/>
      <c r="D125" s="3466">
        <f ca="1">I110</f>
        <v>243</v>
      </c>
      <c r="E125" s="3475"/>
      <c r="F125" s="3475"/>
      <c r="G125" s="3475"/>
      <c r="H125" s="3475"/>
      <c r="I125" s="3463"/>
      <c r="J125" s="2780"/>
    </row>
    <row r="126" spans="1:16" ht="12.75">
      <c r="A126" s="3442" t="s">
        <v>2557</v>
      </c>
      <c r="B126" s="3438"/>
      <c r="C126" s="3438"/>
      <c r="D126" s="3514">
        <f ca="1">I111</f>
        <v>18088</v>
      </c>
      <c r="E126" s="3515"/>
      <c r="F126" s="3515"/>
      <c r="G126" s="3515"/>
      <c r="H126" s="3515"/>
      <c r="I126" s="3516"/>
      <c r="J126" s="2788"/>
    </row>
    <row r="127" spans="1:16" ht="13.5" thickBot="1">
      <c r="A127" s="3449" t="str">
        <f>IF(项目基本情况!D5="房地产市场价值","——",MID(A114,3,LEN(A114)-2))</f>
        <v/>
      </c>
      <c r="B127" s="3450"/>
      <c r="C127" s="3450"/>
      <c r="D127" s="3422" t="str">
        <f>I112</f>
        <v>——</v>
      </c>
      <c r="E127" s="3423"/>
      <c r="F127" s="3423"/>
      <c r="G127" s="3423"/>
      <c r="H127" s="3423"/>
      <c r="I127" s="3424"/>
      <c r="J127" s="2780"/>
    </row>
    <row r="128" spans="1:16" ht="14.25" thickTop="1" thickBot="1">
      <c r="A128" s="3442" t="s">
        <v>2557</v>
      </c>
      <c r="B128" s="3438"/>
      <c r="C128" s="3489"/>
      <c r="D128" s="3467" t="str">
        <f>I113</f>
        <v>——</v>
      </c>
      <c r="E128" s="3467"/>
      <c r="F128" s="3467"/>
      <c r="G128" s="3467"/>
      <c r="H128" s="3467"/>
      <c r="I128" s="3467"/>
      <c r="J128" s="2788"/>
    </row>
    <row r="129" spans="1:10" ht="14.25" thickTop="1" thickBot="1">
      <c r="A129" s="3449" t="str">
        <f>IF(项目基本情况!D5="房地产市场价值","——",MID(F114,3,LEN(F114)-2))</f>
        <v/>
      </c>
      <c r="B129" s="3450"/>
      <c r="C129" s="3466"/>
      <c r="D129" s="3517" t="str">
        <f>I114</f>
        <v>——</v>
      </c>
      <c r="E129" s="3517"/>
      <c r="F129" s="3517"/>
      <c r="G129" s="3517"/>
      <c r="H129" s="3517"/>
      <c r="I129" s="3517"/>
      <c r="J129" s="2780"/>
    </row>
    <row r="130" spans="1:10" ht="14.25" thickTop="1" thickBot="1">
      <c r="A130" s="3505" t="s">
        <v>2557</v>
      </c>
      <c r="B130" s="3506"/>
      <c r="C130" s="3506"/>
      <c r="D130" s="3523">
        <f>H116</f>
        <v>0</v>
      </c>
      <c r="E130" s="3524"/>
      <c r="F130" s="3524"/>
      <c r="G130" s="3524"/>
      <c r="H130" s="3524"/>
      <c r="I130" s="352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0" t="str">
        <f>IF(B32="总价","（以上估价结果中楼面单价为总价除以建筑面积得出）","（以上估价结果中总价为楼面单价乘以建筑面积得出）")</f>
        <v>（以上估价结果中楼面单价为总价除以建筑面积得出）</v>
      </c>
      <c r="B132" s="3510"/>
      <c r="C132" s="3510"/>
      <c r="D132" s="3510"/>
      <c r="E132" s="3510"/>
      <c r="F132" s="3510"/>
      <c r="G132" s="3510"/>
      <c r="H132" s="3510"/>
      <c r="I132" s="351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M40" sqref="M40"/>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2" t="s">
        <v>1643</v>
      </c>
      <c r="B2" s="3532"/>
      <c r="C2" s="3532"/>
      <c r="D2" s="3532"/>
      <c r="E2" s="3532"/>
      <c r="F2" s="3532"/>
      <c r="G2" s="3532"/>
      <c r="H2" s="3532"/>
      <c r="I2" s="3532"/>
      <c r="J2" s="2793"/>
    </row>
    <row r="3" spans="1:15" ht="12.75">
      <c r="A3" s="3492" t="s">
        <v>1471</v>
      </c>
      <c r="B3" s="3493"/>
      <c r="C3" s="3493"/>
      <c r="D3" s="3493"/>
      <c r="E3" s="3493"/>
      <c r="F3" s="3493"/>
      <c r="G3" s="3493"/>
      <c r="H3" s="3493"/>
      <c r="I3" s="3493"/>
      <c r="J3" s="2763"/>
    </row>
    <row r="4" spans="1:15" ht="14.25">
      <c r="A4" s="2631" t="s">
        <v>1472</v>
      </c>
      <c r="B4" s="2631" t="s">
        <v>1473</v>
      </c>
      <c r="C4" s="2632"/>
      <c r="D4" s="2632"/>
      <c r="E4" s="3489" t="s">
        <v>1644</v>
      </c>
      <c r="F4" s="3477"/>
      <c r="G4" s="3477"/>
      <c r="H4" s="3477"/>
      <c r="I4" s="347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c r="D14" s="3491"/>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8" t="s">
        <v>2576</v>
      </c>
      <c r="F18" s="3509"/>
      <c r="G18" s="3509"/>
      <c r="H18" s="3509"/>
      <c r="I18" s="350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4" t="s">
        <v>1647</v>
      </c>
      <c r="B32" s="3554"/>
      <c r="C32" s="3554"/>
      <c r="D32" s="3554"/>
      <c r="E32" s="3554"/>
      <c r="F32" s="3554"/>
      <c r="G32" s="3554"/>
      <c r="H32" s="3554"/>
      <c r="I32" s="355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7" t="s">
        <v>1656</v>
      </c>
      <c r="B38" s="1396" t="s">
        <v>1657</v>
      </c>
      <c r="C38" s="2675"/>
      <c r="D38" s="2676"/>
      <c r="E38" s="1608"/>
      <c r="F38" s="1608"/>
      <c r="G38" s="905"/>
      <c r="H38" s="905"/>
      <c r="I38" s="905"/>
      <c r="J38" s="2765"/>
    </row>
    <row r="39" spans="1:16" ht="15.75" thickBot="1">
      <c r="A39" s="3502"/>
      <c r="B39" s="2022" t="s">
        <v>1658</v>
      </c>
      <c r="C39" s="2677"/>
      <c r="D39" s="1239"/>
      <c r="E39" s="1239"/>
      <c r="F39" s="1608"/>
      <c r="G39" s="1239"/>
      <c r="H39" s="1239"/>
      <c r="I39" s="1239"/>
      <c r="J39" s="2769"/>
    </row>
    <row r="40" spans="1:16" ht="15.75" thickBot="1">
      <c r="A40" s="350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2" t="s">
        <v>1669</v>
      </c>
      <c r="B47" s="3423"/>
      <c r="C47" s="3433"/>
      <c r="D47" s="246">
        <f>ROUND(I104*F47,0)</f>
        <v>0</v>
      </c>
      <c r="E47" s="1470" t="s">
        <v>1670</v>
      </c>
      <c r="F47" s="2479">
        <v>1</v>
      </c>
      <c r="G47" s="2480" t="s">
        <v>1671</v>
      </c>
      <c r="H47" s="905"/>
      <c r="I47" s="905"/>
      <c r="J47" s="2765"/>
      <c r="K47" s="3527" t="s">
        <v>1527</v>
      </c>
      <c r="L47" s="3527"/>
      <c r="M47" s="3527"/>
      <c r="N47" s="3527"/>
      <c r="O47" s="3527"/>
      <c r="P47" s="3527"/>
    </row>
    <row r="48" spans="1:16" ht="14.25" customHeight="1">
      <c r="A48" s="3499" t="s">
        <v>1528</v>
      </c>
      <c r="B48" s="3500"/>
      <c r="C48" s="3500"/>
      <c r="D48" s="3500"/>
      <c r="E48" s="3500"/>
      <c r="F48" s="3500"/>
      <c r="G48" s="3501"/>
      <c r="H48" s="2897"/>
      <c r="I48" s="905"/>
      <c r="J48" s="2765"/>
      <c r="K48" s="2431">
        <v>1</v>
      </c>
      <c r="L48" s="3528" t="s">
        <v>1529</v>
      </c>
      <c r="M48" s="3528"/>
      <c r="N48" s="3529"/>
      <c r="O48" s="3529"/>
      <c r="P48" s="3529"/>
    </row>
    <row r="49" spans="1:17" ht="12" customHeight="1">
      <c r="A49" s="38" t="s">
        <v>1530</v>
      </c>
      <c r="B49" s="39"/>
      <c r="C49" s="40"/>
      <c r="D49" s="1028" t="s">
        <v>1531</v>
      </c>
      <c r="E49" s="235" t="s">
        <v>1532</v>
      </c>
      <c r="F49" s="41" t="s">
        <v>1533</v>
      </c>
      <c r="G49" s="2482" t="s">
        <v>1534</v>
      </c>
      <c r="H49" s="2897"/>
      <c r="I49" s="905"/>
      <c r="J49" s="2765"/>
      <c r="K49" s="2431">
        <v>2</v>
      </c>
      <c r="L49" s="3528" t="s">
        <v>1535</v>
      </c>
      <c r="M49" s="3528"/>
      <c r="N49" s="3531">
        <f>'数据-取费表'!B2</f>
        <v>44756</v>
      </c>
      <c r="O49" s="3531"/>
      <c r="P49" s="3531"/>
    </row>
    <row r="50" spans="1:17" ht="25.5">
      <c r="A50" s="3504" t="s">
        <v>1536</v>
      </c>
      <c r="B50" s="3438"/>
      <c r="C50" s="3438"/>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28" t="s">
        <v>1539</v>
      </c>
      <c r="M50" s="3528"/>
      <c r="N50" s="3533">
        <f>I104</f>
        <v>0</v>
      </c>
      <c r="O50" s="3533"/>
      <c r="P50" s="3533"/>
    </row>
    <row r="51" spans="1:17" ht="25.5" customHeight="1">
      <c r="A51" s="2019" t="s">
        <v>1540</v>
      </c>
      <c r="B51" s="3477" t="s">
        <v>1541</v>
      </c>
      <c r="C51" s="3477"/>
      <c r="D51" s="2486">
        <v>0</v>
      </c>
      <c r="E51" s="261" t="s">
        <v>1542</v>
      </c>
      <c r="F51" s="2487" t="s">
        <v>48</v>
      </c>
      <c r="G51" s="3419"/>
      <c r="H51" s="2488" t="s">
        <v>2500</v>
      </c>
      <c r="I51" s="2489"/>
      <c r="J51" s="2773"/>
      <c r="K51" s="2431">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9"/>
      <c r="B52" s="3477" t="s">
        <v>1543</v>
      </c>
      <c r="C52" s="3477"/>
      <c r="D52" s="2490"/>
      <c r="E52" s="269"/>
      <c r="F52" s="2487"/>
      <c r="G52" s="3420"/>
      <c r="H52" s="2491" t="s">
        <v>2501</v>
      </c>
      <c r="I52" s="2489"/>
      <c r="J52" s="2773"/>
      <c r="K52" s="3528" t="s">
        <v>1544</v>
      </c>
      <c r="L52" s="3528"/>
      <c r="M52" s="3528"/>
      <c r="N52" s="3528"/>
      <c r="O52" s="3528"/>
      <c r="P52" s="3528"/>
    </row>
    <row r="53" spans="1:17" ht="20.45" customHeight="1">
      <c r="A53" s="2492"/>
      <c r="B53" s="3477" t="s">
        <v>1545</v>
      </c>
      <c r="C53" s="3477"/>
      <c r="D53" s="1028"/>
      <c r="E53" s="264"/>
      <c r="F53" s="2487"/>
      <c r="G53" s="3421"/>
      <c r="H53" s="2491" t="s">
        <v>2502</v>
      </c>
      <c r="I53" s="2489"/>
      <c r="J53" s="2773"/>
      <c r="K53" s="2432" t="s">
        <v>1546</v>
      </c>
      <c r="L53" s="3528" t="s">
        <v>1547</v>
      </c>
      <c r="M53" s="3528"/>
      <c r="N53" s="2432" t="s">
        <v>1548</v>
      </c>
      <c r="O53" s="2432" t="s">
        <v>1549</v>
      </c>
      <c r="P53" s="2432" t="s">
        <v>1550</v>
      </c>
    </row>
    <row r="54" spans="1:17" ht="24" customHeight="1">
      <c r="A54" s="2010" t="s">
        <v>1551</v>
      </c>
      <c r="B54" s="3477" t="s">
        <v>1552</v>
      </c>
      <c r="C54" s="3477"/>
      <c r="D54" s="1028">
        <f>ROUND(D47*'数据-取费表'!E29/(1+'数据-取费表'!F30),0)</f>
        <v>0</v>
      </c>
      <c r="E54" s="2020" t="s">
        <v>1553</v>
      </c>
      <c r="F54" s="2493">
        <f>'数据-取费表'!E29</f>
        <v>5.5000000000000007E-2</v>
      </c>
      <c r="G54" s="2494"/>
      <c r="H54" s="905"/>
      <c r="I54" s="2898"/>
      <c r="J54" s="2773"/>
      <c r="K54" s="2431">
        <v>1</v>
      </c>
      <c r="L54" s="3530" t="s">
        <v>1554</v>
      </c>
      <c r="M54" s="3530"/>
      <c r="N54" s="2433">
        <f>D50</f>
        <v>0</v>
      </c>
      <c r="O54" s="2431" t="str">
        <f>E50</f>
        <v>销售额×税（费）率</v>
      </c>
      <c r="P54" s="2434">
        <f>F50</f>
        <v>5.5000000000000007E-2</v>
      </c>
    </row>
    <row r="55" spans="1:17" ht="12" customHeight="1">
      <c r="A55" s="2010" t="s">
        <v>1555</v>
      </c>
      <c r="B55" s="3489" t="s">
        <v>2593</v>
      </c>
      <c r="C55" s="3478"/>
      <c r="D55" s="1028">
        <f>ROUND(D47*'数据-取费表'!E29/(1+'数据-取费表'!F30),0)</f>
        <v>0</v>
      </c>
      <c r="E55" s="2020" t="s">
        <v>1553</v>
      </c>
      <c r="F55" s="2493">
        <f>'数据-取费表'!E29</f>
        <v>5.5000000000000007E-2</v>
      </c>
      <c r="G55" s="2494"/>
      <c r="H55" s="905"/>
      <c r="I55" s="2898"/>
      <c r="J55" s="2773"/>
      <c r="K55" s="2431">
        <v>2</v>
      </c>
      <c r="L55" s="3530" t="s">
        <v>1556</v>
      </c>
      <c r="M55" s="3530"/>
      <c r="N55" s="2433">
        <f t="shared" ref="N55:P56" si="1">D57</f>
        <v>0</v>
      </c>
      <c r="O55" s="2431" t="str">
        <f t="shared" si="1"/>
        <v>销售额×税（费）率</v>
      </c>
      <c r="P55" s="2434">
        <f t="shared" si="1"/>
        <v>5.0000000000000001E-4</v>
      </c>
    </row>
    <row r="56" spans="1:17" ht="12" customHeight="1">
      <c r="A56" s="2010" t="s">
        <v>1557</v>
      </c>
      <c r="B56" s="3489" t="s">
        <v>2594</v>
      </c>
      <c r="C56" s="3478"/>
      <c r="D56" s="1028">
        <f>C70</f>
        <v>0</v>
      </c>
      <c r="E56" s="264" t="s">
        <v>1558</v>
      </c>
      <c r="F56" s="2493">
        <f>'数据-取费表'!E29</f>
        <v>5.5000000000000007E-2</v>
      </c>
      <c r="G56" s="2494"/>
      <c r="H56" s="2899"/>
      <c r="I56" s="2898"/>
      <c r="J56" s="2773"/>
      <c r="K56" s="2431">
        <v>3</v>
      </c>
      <c r="L56" s="3530" t="s">
        <v>1559</v>
      </c>
      <c r="M56" s="3530"/>
      <c r="N56" s="2433">
        <f t="shared" si="1"/>
        <v>0</v>
      </c>
      <c r="O56" s="2431" t="str">
        <f t="shared" si="1"/>
        <v>增值额×税（费）率</v>
      </c>
      <c r="P56" s="2435" t="str">
        <f t="shared" si="1"/>
        <v>——</v>
      </c>
    </row>
    <row r="57" spans="1:17" ht="24" customHeight="1">
      <c r="A57" s="3442" t="s">
        <v>1560</v>
      </c>
      <c r="B57" s="3438"/>
      <c r="C57" s="343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0" t="str">
        <f>IF(H61="非个人房产","——","个人所得税")</f>
        <v>个人所得税</v>
      </c>
      <c r="M57" s="3530"/>
      <c r="N57" s="2436">
        <f>D61</f>
        <v>0</v>
      </c>
      <c r="O57" s="2437" t="str">
        <f>E61</f>
        <v>销售额×税（费）率</v>
      </c>
      <c r="P57" s="2438">
        <f>F61</f>
        <v>0.01</v>
      </c>
    </row>
    <row r="58" spans="1:17" ht="24.75">
      <c r="A58" s="3442" t="s">
        <v>1563</v>
      </c>
      <c r="B58" s="3438"/>
      <c r="C58" s="3438"/>
      <c r="D58" s="12">
        <f>IF(H58="个人住宅",D59,D60)</f>
        <v>0</v>
      </c>
      <c r="E58" s="2020" t="s">
        <v>1564</v>
      </c>
      <c r="F58" s="2493" t="str">
        <f>IF(H58="正常",F60,"免征")</f>
        <v>——</v>
      </c>
      <c r="G58" s="2495" t="s">
        <v>1565</v>
      </c>
      <c r="H58" s="2496" t="s">
        <v>1562</v>
      </c>
      <c r="I58" s="2900"/>
      <c r="J58" s="2773"/>
      <c r="K58" s="2431" t="str">
        <f>IF(项目基本情况!I6="上海银行",IF(K57="",4,K57+1),"")</f>
        <v/>
      </c>
      <c r="L58" s="3534" t="str">
        <f>IF(项目基本情况!I6="上海银行","其他处置费用","")</f>
        <v/>
      </c>
      <c r="M58" s="3539"/>
      <c r="N58" s="2433" t="str">
        <f>IF(项目基本情况!I6="上海银行",N71,"")</f>
        <v/>
      </c>
      <c r="O58" s="3534" t="str">
        <f>IF(项目基本情况!I6="上海银行","包含处置中涉及的律师、诉讼、拍卖、评估等费用","")</f>
        <v/>
      </c>
      <c r="P58" s="3535"/>
    </row>
    <row r="59" spans="1:17" ht="12.75">
      <c r="A59" s="2010" t="s">
        <v>1540</v>
      </c>
      <c r="B59" s="3489" t="s">
        <v>1566</v>
      </c>
      <c r="C59" s="3478"/>
      <c r="D59" s="2486">
        <v>0</v>
      </c>
      <c r="E59" s="261" t="s">
        <v>1542</v>
      </c>
      <c r="F59" s="235"/>
      <c r="G59" s="2494"/>
      <c r="H59" s="2900"/>
      <c r="I59" s="2900"/>
      <c r="J59" s="2773"/>
      <c r="K59" s="3530">
        <f>IF(AND(K57="",K58=""),4,IF(项目基本情况!I6="上海银行",K58+1,K57+1))</f>
        <v>5</v>
      </c>
      <c r="L59" s="3530" t="s">
        <v>1567</v>
      </c>
      <c r="M59" s="2439" t="s">
        <v>1568</v>
      </c>
      <c r="N59" s="2440"/>
      <c r="O59" s="2441">
        <f>SUMIF(N54:N58,"&lt;9e307")</f>
        <v>0</v>
      </c>
      <c r="P59" s="2442"/>
      <c r="Q59" s="1234" t="e">
        <f>O59/N51</f>
        <v>#VALUE!</v>
      </c>
    </row>
    <row r="60" spans="1:17" ht="24.75">
      <c r="A60" s="2010" t="s">
        <v>1551</v>
      </c>
      <c r="B60" s="3489" t="s">
        <v>1569</v>
      </c>
      <c r="C60" s="3477"/>
      <c r="D60" s="12">
        <f>IF(H60="转让取得",C83,C99)</f>
        <v>0</v>
      </c>
      <c r="E60" s="2020" t="s">
        <v>1564</v>
      </c>
      <c r="F60" s="235" t="s">
        <v>48</v>
      </c>
      <c r="G60" s="2494"/>
      <c r="H60" s="2496" t="s">
        <v>1570</v>
      </c>
      <c r="I60" s="2900"/>
      <c r="J60" s="2773"/>
      <c r="K60" s="3530"/>
      <c r="L60" s="3530"/>
      <c r="M60" s="2439" t="s">
        <v>1571</v>
      </c>
      <c r="N60" s="2443"/>
      <c r="O60" s="2444" t="str">
        <f>IF(H19="元",NUMBERSTRING(INT(O59),2)&amp;"元整",NUMBERSTRING(INT(O59*10000),2)&amp;"元整")</f>
        <v>零元整</v>
      </c>
      <c r="P60" s="2445"/>
    </row>
    <row r="61" spans="1:17" ht="26.25" thickBot="1">
      <c r="A61" s="3505" t="s">
        <v>1572</v>
      </c>
      <c r="B61" s="3506"/>
      <c r="C61" s="350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6">
        <f>K59+1</f>
        <v>6</v>
      </c>
      <c r="L61" s="3530" t="s">
        <v>1573</v>
      </c>
      <c r="M61" s="2431" t="s">
        <v>1568</v>
      </c>
      <c r="N61" s="2446"/>
      <c r="O61" s="2447" t="e">
        <f>N51-O59</f>
        <v>#VALUE!</v>
      </c>
      <c r="P61" s="2448"/>
    </row>
    <row r="62" spans="1:17" ht="12" customHeight="1">
      <c r="A62" s="1385"/>
      <c r="B62" s="2481"/>
      <c r="C62" s="2481"/>
      <c r="D62" s="2481"/>
      <c r="E62" s="1385"/>
      <c r="F62" s="2900"/>
      <c r="G62" s="2900"/>
      <c r="H62" s="2895"/>
      <c r="I62" s="905"/>
      <c r="J62" s="2773"/>
      <c r="K62" s="3537"/>
      <c r="L62" s="3530"/>
      <c r="M62" s="2439" t="s">
        <v>1571</v>
      </c>
      <c r="N62" s="2443"/>
      <c r="O62" s="2444" t="e">
        <f>IF(H19="元",NUMBERSTRING(INT(O61),2)&amp;"元整",NUMBERSTRING(INT(O61*10000),2)&amp;"元整")</f>
        <v>#VALUE!</v>
      </c>
      <c r="P62" s="2445"/>
    </row>
    <row r="63" spans="1:17" ht="13.5" thickBot="1">
      <c r="A63" s="3538" t="s">
        <v>1574</v>
      </c>
      <c r="B63" s="3538"/>
      <c r="C63" s="3538"/>
      <c r="D63" s="3538"/>
      <c r="E63" s="3538"/>
      <c r="F63" s="2900"/>
      <c r="G63" s="2900"/>
      <c r="H63" s="2895"/>
      <c r="I63" s="905"/>
      <c r="J63" s="2765"/>
      <c r="K63" s="2431">
        <f>K61+1</f>
        <v>7</v>
      </c>
      <c r="L63" s="3530" t="s">
        <v>1575</v>
      </c>
      <c r="M63" s="3530"/>
      <c r="N63" s="2449"/>
      <c r="O63" s="2450" t="e">
        <f>IF(H19="元",ROUND(O61/项目基本情况!C12,0),ROUND(O61*10000/项目基本情况!C12,0))</f>
        <v>#VALUE!</v>
      </c>
      <c r="P63" s="2451"/>
    </row>
    <row r="64" spans="1:17" ht="12.75">
      <c r="A64" s="3456" t="s">
        <v>1576</v>
      </c>
      <c r="B64" s="345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2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6" t="s">
        <v>1576</v>
      </c>
      <c r="B73" s="345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9" t="s">
        <v>1606</v>
      </c>
      <c r="F78" s="3477"/>
      <c r="G78" s="3477"/>
      <c r="H78" s="349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25" t="s">
        <v>1611</v>
      </c>
      <c r="F80" s="3426"/>
      <c r="G80" s="3426"/>
      <c r="H80" s="344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6" t="s">
        <v>1576</v>
      </c>
      <c r="B86" s="345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5" t="s">
        <v>2494</v>
      </c>
      <c r="H92" s="354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5" t="s">
        <v>1623</v>
      </c>
      <c r="F93" s="3426"/>
      <c r="G93" s="342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5" t="s">
        <v>1626</v>
      </c>
      <c r="F94" s="3426"/>
      <c r="G94" s="3426"/>
      <c r="H94" s="344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25" t="s">
        <v>1611</v>
      </c>
      <c r="F95" s="3426"/>
      <c r="G95" s="3426"/>
      <c r="H95" s="344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5" t="s">
        <v>1628</v>
      </c>
      <c r="F96" s="3426"/>
      <c r="G96" s="3426"/>
      <c r="H96" s="344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3" t="s">
        <v>1630</v>
      </c>
      <c r="B101" s="3444"/>
      <c r="C101" s="3444"/>
      <c r="D101" s="3445"/>
      <c r="E101" s="1389"/>
      <c r="F101" s="3540" t="s">
        <v>2536</v>
      </c>
      <c r="G101" s="3541"/>
      <c r="H101" s="3541"/>
      <c r="I101" s="3542"/>
      <c r="J101" s="2800"/>
    </row>
    <row r="102" spans="1:36" ht="15">
      <c r="A102" s="3460" t="s">
        <v>1632</v>
      </c>
      <c r="B102" s="3461"/>
      <c r="C102" s="2723">
        <f>C4</f>
        <v>0</v>
      </c>
      <c r="D102" s="2724">
        <f>D4</f>
        <v>0</v>
      </c>
      <c r="E102" s="1389"/>
      <c r="F102" s="3462" t="s">
        <v>2537</v>
      </c>
      <c r="G102" s="3464"/>
      <c r="H102" s="3475" t="s">
        <v>2538</v>
      </c>
      <c r="I102" s="3463"/>
      <c r="J102" s="2780"/>
    </row>
    <row r="103" spans="1:36" ht="12.75">
      <c r="A103" s="3546" t="s">
        <v>2532</v>
      </c>
      <c r="B103" s="2235" t="str">
        <f>IF(H19="元","总价（元）","总价（万元）")</f>
        <v>总价（万元）</v>
      </c>
      <c r="C103" s="1235" t="e">
        <f ca="1">C19</f>
        <v>#REF!</v>
      </c>
      <c r="D103" s="2727" t="e">
        <f ca="1">D19</f>
        <v>#REF!</v>
      </c>
      <c r="E103" s="1389"/>
      <c r="F103" s="3547"/>
      <c r="G103" s="3548"/>
      <c r="H103" s="3466">
        <f>典型户型修正!B25</f>
        <v>0</v>
      </c>
      <c r="I103" s="3463"/>
      <c r="J103" s="2780"/>
    </row>
    <row r="104" spans="1:36" ht="12.75">
      <c r="A104" s="3546"/>
      <c r="B104" s="2235" t="s">
        <v>2533</v>
      </c>
      <c r="C104" s="2728" t="e">
        <f ca="1">C20</f>
        <v>#REF!</v>
      </c>
      <c r="D104" s="2729" t="e">
        <f ca="1">D20</f>
        <v>#REF!</v>
      </c>
      <c r="E104" s="1389"/>
      <c r="F104" s="3449" t="s">
        <v>2539</v>
      </c>
      <c r="G104" s="3450"/>
      <c r="H104" s="2737" t="str">
        <f>C110</f>
        <v>总价（万元）</v>
      </c>
      <c r="I104" s="2738">
        <f>H125</f>
        <v>0</v>
      </c>
      <c r="J104" s="2780"/>
    </row>
    <row r="105" spans="1:36" ht="12.75">
      <c r="A105" s="3546" t="s">
        <v>2534</v>
      </c>
      <c r="B105" s="2173" t="str">
        <f>B103</f>
        <v>总价（万元）</v>
      </c>
      <c r="C105" s="12" t="e">
        <f ca="1">ROUND(IF('数据-取费表'!B4="总价",G19,IF(H19="元",G20*'数据-取费表'!E5,G20*'数据-取费表'!E5/10000)),0)</f>
        <v>#REF!</v>
      </c>
      <c r="D105" s="2730"/>
      <c r="E105" s="1389"/>
      <c r="F105" s="3449"/>
      <c r="G105" s="3450"/>
      <c r="H105" s="2737" t="s">
        <v>2540</v>
      </c>
      <c r="I105" s="52" t="e">
        <f>I125</f>
        <v>#DIV/0!</v>
      </c>
      <c r="J105" s="2764"/>
    </row>
    <row r="106" spans="1:36" ht="12.75">
      <c r="A106" s="3546"/>
      <c r="B106" s="2235" t="s">
        <v>2533</v>
      </c>
      <c r="C106" s="1409" t="e">
        <f ca="1">ROUND(IF('数据-取费表'!B4="楼面单价",G20,IF(H19="元",G19/'数据-取费表'!E5,G19*10000/'数据-取费表'!E5)),0)</f>
        <v>#REF!</v>
      </c>
      <c r="D106" s="2730"/>
      <c r="E106" s="1389"/>
      <c r="F106" s="3449"/>
      <c r="G106" s="3450"/>
      <c r="H106" s="3481"/>
      <c r="I106" s="3482"/>
      <c r="J106" s="2781"/>
    </row>
    <row r="107" spans="1:36" ht="12.75">
      <c r="A107" s="3553" t="s">
        <v>2535</v>
      </c>
      <c r="B107" s="2731" t="str">
        <f>B103</f>
        <v>总价（万元）</v>
      </c>
      <c r="C107" s="2732">
        <f>H125</f>
        <v>0</v>
      </c>
      <c r="D107" s="2733"/>
      <c r="E107" s="1389"/>
      <c r="F107" s="3485" t="s">
        <v>2541</v>
      </c>
      <c r="G107" s="3486"/>
      <c r="H107" s="2739" t="str">
        <f>C112</f>
        <v>总额（万元）</v>
      </c>
      <c r="I107" s="2738">
        <f>SUMIF(I108:I110,"&lt;9E307")</f>
        <v>0</v>
      </c>
      <c r="J107" s="2780"/>
    </row>
    <row r="108" spans="1:36" ht="15" thickBot="1">
      <c r="A108" s="3480"/>
      <c r="B108" s="2734" t="s">
        <v>2533</v>
      </c>
      <c r="C108" s="2735" t="e">
        <f>I125</f>
        <v>#DIV/0!</v>
      </c>
      <c r="D108" s="2736"/>
      <c r="E108" s="1389"/>
      <c r="F108" s="3451" t="s">
        <v>2542</v>
      </c>
      <c r="G108" s="345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9" t="s">
        <v>1633</v>
      </c>
      <c r="B109" s="3550"/>
      <c r="C109" s="3550"/>
      <c r="D109" s="3551"/>
      <c r="E109" s="1389"/>
      <c r="F109" s="3451" t="s">
        <v>2543</v>
      </c>
      <c r="G109" s="3452"/>
      <c r="H109" s="2739" t="str">
        <f>C114</f>
        <v>总额（万元）</v>
      </c>
      <c r="I109" s="52">
        <f>C39</f>
        <v>0</v>
      </c>
      <c r="J109" s="2764"/>
    </row>
    <row r="110" spans="1:36" ht="12.75">
      <c r="A110" s="3449" t="s">
        <v>2546</v>
      </c>
      <c r="B110" s="3450"/>
      <c r="C110" s="2737" t="str">
        <f>B103</f>
        <v>总价（万元）</v>
      </c>
      <c r="D110" s="2738">
        <f>H125</f>
        <v>0</v>
      </c>
      <c r="E110" s="1389"/>
      <c r="F110" s="3451" t="s">
        <v>2544</v>
      </c>
      <c r="G110" s="3452"/>
      <c r="H110" s="2739" t="str">
        <f>C115</f>
        <v>总额（万元）</v>
      </c>
      <c r="I110" s="52">
        <f>C40</f>
        <v>0</v>
      </c>
      <c r="J110" s="2764"/>
    </row>
    <row r="111" spans="1:36" ht="12.75">
      <c r="A111" s="3449"/>
      <c r="B111" s="3450"/>
      <c r="C111" s="2737" t="s">
        <v>2547</v>
      </c>
      <c r="D111" s="52" t="e">
        <f>I125</f>
        <v>#DIV/0!</v>
      </c>
      <c r="E111" s="1389"/>
      <c r="F111" s="3449"/>
      <c r="G111" s="3450"/>
      <c r="H111" s="3483"/>
      <c r="I111" s="3484"/>
      <c r="J111" s="2782"/>
    </row>
    <row r="112" spans="1:36" ht="28.5" customHeight="1">
      <c r="A112" s="3520" t="s">
        <v>2541</v>
      </c>
      <c r="B112" s="3521"/>
      <c r="C112" s="2739" t="str">
        <f>IF(H19="元","总额（元）","总额（万元）")</f>
        <v>总额（万元）</v>
      </c>
      <c r="D112" s="2738">
        <f>IF(D38="正常操作",I108+I109+I110,I109+I110)</f>
        <v>0</v>
      </c>
      <c r="E112" s="1389"/>
      <c r="F112" s="3432" t="str">
        <f>IF(项目基本情况!F5="已注销","——","3.房地产抵押价值")</f>
        <v>3.房地产抵押价值</v>
      </c>
      <c r="G112" s="3433"/>
      <c r="H112" s="1409" t="str">
        <f>C116</f>
        <v>总价（万元）</v>
      </c>
      <c r="I112" s="2738">
        <f>IF(F112="——","——",I104-I107)</f>
        <v>0</v>
      </c>
      <c r="J112" s="2780"/>
    </row>
    <row r="113" spans="1:27" ht="12.75">
      <c r="A113" s="3451" t="s">
        <v>2548</v>
      </c>
      <c r="B113" s="3452"/>
      <c r="C113" s="2739" t="str">
        <f>C112</f>
        <v>总额（万元）</v>
      </c>
      <c r="D113" s="52">
        <f>IF(D38="同一抵押权人同一抵押物续贷",C38&amp;"（未扣减，详见特别提示）",C38)</f>
        <v>0</v>
      </c>
      <c r="E113" s="1389"/>
      <c r="F113" s="3434"/>
      <c r="G113" s="3435"/>
      <c r="H113" s="2737" t="s">
        <v>2540</v>
      </c>
      <c r="I113" s="2741" t="e">
        <f>D117</f>
        <v>#DIV/0!</v>
      </c>
      <c r="J113" s="2783"/>
    </row>
    <row r="114" spans="1:27" ht="12.75">
      <c r="A114" s="3451" t="s">
        <v>2549</v>
      </c>
      <c r="B114" s="3452"/>
      <c r="C114" s="2739"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8" t="str">
        <f>IF(F114="——","——",I104-I109-I110)</f>
        <v>——</v>
      </c>
      <c r="J114" s="2780"/>
    </row>
    <row r="115" spans="1:27" ht="12.75">
      <c r="A115" s="3451" t="s">
        <v>2550</v>
      </c>
      <c r="B115" s="3452"/>
      <c r="C115" s="2739" t="str">
        <f>C112</f>
        <v>总额（万元）</v>
      </c>
      <c r="D115" s="52">
        <f>C40</f>
        <v>0</v>
      </c>
      <c r="E115" s="1389"/>
      <c r="F115" s="3434"/>
      <c r="G115" s="3435"/>
      <c r="H115" s="2737" t="s">
        <v>2540</v>
      </c>
      <c r="I115" s="52" t="str">
        <f>D119</f>
        <v>——</v>
      </c>
      <c r="J115" s="2764"/>
    </row>
    <row r="116" spans="1:27" ht="12.75">
      <c r="A116" s="3449" t="str">
        <f>IF(项目基本情况!F5="已注销","——","3.房地产抵押价值")</f>
        <v>3.房地产抵押价值</v>
      </c>
      <c r="B116" s="3450"/>
      <c r="C116" s="2737" t="str">
        <f>B103</f>
        <v>总价（万元）</v>
      </c>
      <c r="D116" s="2738">
        <f>IF(A116="——","——",D110-D112)</f>
        <v>0</v>
      </c>
      <c r="E116" s="1389"/>
      <c r="F116" s="3432" t="str">
        <f>IF(项目基本情况!G5="抵押净值",IF(OR(项目基本情况!F5="已注销",项目基本情况!F5="房地产抵押价值"),"4.抵押净值","5.抵押净值"),"——")</f>
        <v>——</v>
      </c>
      <c r="G116" s="3433"/>
      <c r="H116" s="2737" t="str">
        <f>C120</f>
        <v>总价（万元）</v>
      </c>
      <c r="I116" s="2738" t="str">
        <f>IF(F116="——","——",O61)</f>
        <v>——</v>
      </c>
      <c r="J116" s="2780"/>
    </row>
    <row r="117" spans="1:27" ht="13.5" thickBot="1">
      <c r="A117" s="3449"/>
      <c r="B117" s="3450"/>
      <c r="C117" s="2737" t="s">
        <v>2547</v>
      </c>
      <c r="D117" s="52" t="e">
        <f>ROUND(IF(D116=D110,D111,IF(H19="元",D116/B125,D116*10000/B125)),0)</f>
        <v>#DIV/0!</v>
      </c>
      <c r="E117" s="1389"/>
      <c r="F117" s="3512"/>
      <c r="G117" s="3513"/>
      <c r="H117" s="2742" t="s">
        <v>2540</v>
      </c>
      <c r="I117" s="2726" t="str">
        <f>D121</f>
        <v>——</v>
      </c>
      <c r="J117" s="2764"/>
    </row>
    <row r="118" spans="1:27" ht="15.75">
      <c r="A118" s="3449" t="str">
        <f>IF(项目基本情况!F5="已注销及未注销","4.抵押担保权已注销时的房地产抵押价值",IF(项目基本情况!F5="已注销","3.抵押担保权已注销时的房地产抵押价值","——"))</f>
        <v>——</v>
      </c>
      <c r="B118" s="3450"/>
      <c r="C118" s="2737" t="str">
        <f>B103</f>
        <v>总价（万元）</v>
      </c>
      <c r="D118" s="2738" t="str">
        <f>IF(A118="——","——",D110-D114-D115)</f>
        <v>——</v>
      </c>
      <c r="E118" s="1389"/>
      <c r="F118" s="3427"/>
      <c r="G118" s="3427"/>
      <c r="H118" s="3468"/>
      <c r="I118" s="3468"/>
      <c r="J118" s="2784"/>
      <c r="O118" s="32"/>
      <c r="P118" s="32"/>
    </row>
    <row r="119" spans="1:27" s="1236" customFormat="1" ht="12.75">
      <c r="A119" s="3449"/>
      <c r="B119" s="3450"/>
      <c r="C119" s="2737" t="s">
        <v>2547</v>
      </c>
      <c r="D119" s="52" t="str">
        <f>IF(A118="——","——",IF(H19="元",ROUND(D118/B125,0),ROUND(D118*10000/B125,0)))</f>
        <v>——</v>
      </c>
      <c r="E119" s="1389"/>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9" t="str">
        <f>IF(项目基本情况!G5="抵押净值",IF(OR(项目基本情况!F5="已注销",项目基本情况!F5="房地产抵押价值"),"4.抵押净值","5.抵押净值"),"——")</f>
        <v>——</v>
      </c>
      <c r="B120" s="345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8"/>
      <c r="B121" s="351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9" t="s">
        <v>1672</v>
      </c>
      <c r="B122" s="3470"/>
      <c r="C122" s="3470"/>
      <c r="D122" s="3470"/>
      <c r="E122" s="3470"/>
      <c r="F122" s="3470"/>
      <c r="G122" s="3470"/>
      <c r="H122" s="3470"/>
      <c r="I122" s="347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2" t="s">
        <v>2551</v>
      </c>
      <c r="B123" s="3440" t="s">
        <v>2552</v>
      </c>
      <c r="C123" s="3440" t="s">
        <v>2558</v>
      </c>
      <c r="D123" s="3447" t="s">
        <v>2553</v>
      </c>
      <c r="E123" s="3448"/>
      <c r="F123" s="3438" t="s">
        <v>2559</v>
      </c>
      <c r="G123" s="3438"/>
      <c r="H123" s="3438" t="s">
        <v>2554</v>
      </c>
      <c r="I123" s="343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2"/>
      <c r="B124" s="3441"/>
      <c r="C124" s="344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2" t="s">
        <v>2557</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6" t="s">
        <v>2557</v>
      </c>
      <c r="B128" s="3477"/>
      <c r="C128" s="3478"/>
      <c r="D128" s="3514">
        <f>H111</f>
        <v>0</v>
      </c>
      <c r="E128" s="3515"/>
      <c r="F128" s="3515"/>
      <c r="G128" s="3515"/>
      <c r="H128" s="3515"/>
      <c r="I128" s="351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9" t="str">
        <f>IF(项目基本情况!D5="房地产市场价值","——",MID(A116,3,LEN(A116)-2))</f>
        <v>房地产抵押价值</v>
      </c>
      <c r="B129" s="3450"/>
      <c r="C129" s="3450"/>
      <c r="D129" s="3466">
        <f>I112</f>
        <v>0</v>
      </c>
      <c r="E129" s="3475"/>
      <c r="F129" s="3475"/>
      <c r="G129" s="3475"/>
      <c r="H129" s="3475"/>
      <c r="I129" s="346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2" t="s">
        <v>2557</v>
      </c>
      <c r="B130" s="3438"/>
      <c r="C130" s="3438"/>
      <c r="D130" s="3514" t="e">
        <f>I113</f>
        <v>#DIV/0!</v>
      </c>
      <c r="E130" s="3515"/>
      <c r="F130" s="3515"/>
      <c r="G130" s="3515"/>
      <c r="H130" s="3515"/>
      <c r="I130" s="351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9" t="str">
        <f>IF(项目基本情况!D5="房地产市场价值","——",MID(A118,3,LEN(A118)-2))</f>
        <v/>
      </c>
      <c r="B131" s="3450"/>
      <c r="C131" s="3450"/>
      <c r="D131" s="3422" t="str">
        <f>I114</f>
        <v>——</v>
      </c>
      <c r="E131" s="3423"/>
      <c r="F131" s="3423"/>
      <c r="G131" s="3423"/>
      <c r="H131" s="3423"/>
      <c r="I131" s="34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2" t="s">
        <v>2557</v>
      </c>
      <c r="B132" s="3438"/>
      <c r="C132" s="3489"/>
      <c r="D132" s="3467" t="str">
        <f>I115</f>
        <v>——</v>
      </c>
      <c r="E132" s="3467"/>
      <c r="F132" s="3467"/>
      <c r="G132" s="3467"/>
      <c r="H132" s="3467"/>
      <c r="I132" s="346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9" t="str">
        <f>IF(项目基本情况!D5="房地产市场价值","——",MID(F116,3,LEN(F116)-2))</f>
        <v/>
      </c>
      <c r="B133" s="3450"/>
      <c r="C133" s="3466"/>
      <c r="D133" s="3517" t="str">
        <f>I116</f>
        <v>——</v>
      </c>
      <c r="E133" s="3517"/>
      <c r="F133" s="3517"/>
      <c r="G133" s="3517"/>
      <c r="H133" s="3517"/>
      <c r="I133" s="351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5" t="s">
        <v>2557</v>
      </c>
      <c r="B134" s="3506"/>
      <c r="C134" s="3506"/>
      <c r="D134" s="3523">
        <f>H118</f>
        <v>0</v>
      </c>
      <c r="E134" s="3524"/>
      <c r="F134" s="3524"/>
      <c r="G134" s="3524"/>
      <c r="H134" s="3524"/>
      <c r="I134" s="352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5" zoomScaleNormal="80" zoomScaleSheetLayoutView="10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268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19986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1544003</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ROUND([2]基准地价修正!$C$33*[2]基准地价修正!$D$33,0)</f>
        <v>1472232</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44903</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26868</v>
      </c>
      <c r="D8" s="1099"/>
      <c r="E8" s="115"/>
      <c r="F8" s="1098"/>
      <c r="G8" s="1446" t="s">
        <v>3038</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26868</v>
      </c>
      <c r="D10" s="1101">
        <f>IF('数据-取费表'!B10&lt;&gt;"住宅",IF(B1="仅计算典型户型",'数据-取费表'!E5,'数据-取费表'!B5),0)</f>
        <v>134.34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134.34</v>
      </c>
      <c r="E19" s="111">
        <f>'数据-取费表'!E15</f>
        <v>200</v>
      </c>
      <c r="F19" s="112"/>
      <c r="G19" s="1446" t="s">
        <v>3039</v>
      </c>
    </row>
    <row r="20" spans="1:123" s="91" customFormat="1" ht="13.5" customHeight="1">
      <c r="A20" s="120" t="s">
        <v>1702</v>
      </c>
      <c r="B20" s="89" t="s">
        <v>1703</v>
      </c>
      <c r="C20" s="99">
        <f>ROUND((C5+C19)*F20,0)</f>
        <v>30880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133717</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132420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1297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236232</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236232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2105252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518217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470190</v>
      </c>
      <c r="D34" s="1096"/>
      <c r="E34" s="115"/>
      <c r="F34" s="1107" t="str">
        <f>IF('数据-取费表'!B26=0,"",'数据-取费表'!E20)</f>
        <v/>
      </c>
      <c r="G34" s="95"/>
    </row>
    <row r="35" spans="1:123" ht="13.5" customHeight="1">
      <c r="A35" s="92" t="s">
        <v>1685</v>
      </c>
      <c r="B35" s="93" t="s">
        <v>1734</v>
      </c>
      <c r="C35" s="115">
        <f>ROUND(C34*F35,0)</f>
        <v>14106</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26868</v>
      </c>
      <c r="D37" s="1096">
        <f>IF(B1="仅计算典型户型",'数据-取费表'!E5,'数据-取费表'!B5)</f>
        <v>134.34</v>
      </c>
      <c r="E37" s="115">
        <f>'数据-取费表'!E23</f>
        <v>200</v>
      </c>
      <c r="F37" s="1108"/>
      <c r="G37" s="124" t="s">
        <v>1739</v>
      </c>
    </row>
    <row r="38" spans="1:123" ht="13.5" customHeight="1">
      <c r="A38" s="92" t="s">
        <v>1740</v>
      </c>
      <c r="B38" s="93" t="s">
        <v>1741</v>
      </c>
      <c r="C38" s="115">
        <f>ROUND(C34*F38,0)</f>
        <v>7053</v>
      </c>
      <c r="D38" s="115"/>
      <c r="E38" s="115"/>
      <c r="F38" s="1108">
        <f>'数据-取费表'!E24</f>
        <v>1.4999999999999999E-2</v>
      </c>
      <c r="G38" s="95" t="s">
        <v>1735</v>
      </c>
    </row>
    <row r="39" spans="1:123" s="91" customFormat="1" ht="13.5" customHeight="1">
      <c r="A39" s="120" t="s">
        <v>1700</v>
      </c>
      <c r="B39" s="89" t="s">
        <v>1703</v>
      </c>
      <c r="C39" s="99">
        <f>ROUND(C33*F20,0)</f>
        <v>10364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22200</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21765</v>
      </c>
      <c r="D42" s="104"/>
      <c r="E42" s="104"/>
      <c r="F42" s="105"/>
      <c r="G42" s="3555" t="s">
        <v>1745</v>
      </c>
    </row>
    <row r="43" spans="1:123" ht="13.5" customHeight="1">
      <c r="A43" s="92" t="s">
        <v>1685</v>
      </c>
      <c r="B43" s="93" t="s">
        <v>1714</v>
      </c>
      <c r="C43" s="104">
        <f ca="1">ROUND(IF('数据-取费表'!B24&lt;=1,C39*F22*'数据-取费表'!B23/2,C39*(POWER((1+F22),'数据-取费表'!B23/2)-1)),0)</f>
        <v>435</v>
      </c>
      <c r="D43" s="104"/>
      <c r="E43" s="104"/>
      <c r="F43" s="105"/>
      <c r="G43" s="3556"/>
    </row>
    <row r="44" spans="1:123" ht="13.5" customHeight="1">
      <c r="A44" s="92" t="s">
        <v>1687</v>
      </c>
      <c r="B44" s="93" t="s">
        <v>1716</v>
      </c>
      <c r="C44" s="104">
        <f ca="1">ROUND(IF('数据-取费表'!B24&lt;=1,C40*F22*'数据-取费表'!B23/2,C40*(POWER((1+F22),'数据-取费表'!B23/2)-1)),4)</f>
        <v>8.0000000000000004E-4</v>
      </c>
      <c r="D44" s="104"/>
      <c r="E44" s="104"/>
      <c r="F44" s="105"/>
      <c r="G44" s="3557"/>
    </row>
    <row r="45" spans="1:123" s="91" customFormat="1" ht="13.5" customHeight="1">
      <c r="A45" s="120" t="s">
        <v>1709</v>
      </c>
      <c r="B45" s="110" t="s">
        <v>1721</v>
      </c>
      <c r="C45" s="111">
        <f>C46</f>
        <v>79287</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79287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682039</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579733</v>
      </c>
      <c r="D51" s="99"/>
      <c r="E51" s="99"/>
      <c r="F51" s="126"/>
      <c r="G51" s="100" t="s">
        <v>1759</v>
      </c>
    </row>
    <row r="52" spans="1:123" s="88" customFormat="1" ht="16.5" thickBot="1">
      <c r="A52" s="127" t="s">
        <v>1760</v>
      </c>
      <c r="B52" s="128"/>
      <c r="C52" s="129">
        <f ca="1">C31+C51</f>
        <v>2684985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0.216</v>
      </c>
    </row>
    <row r="57" spans="1:123">
      <c r="B57" s="135" t="s">
        <v>1763</v>
      </c>
      <c r="C57" s="137">
        <f ca="1">1-C56</f>
        <v>0.78400000000000003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-26868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-26868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-537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-4111</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-4111</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26632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35" sqref="D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217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16168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106046</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105914</v>
      </c>
      <c r="D6" s="36" t="s">
        <v>2461</v>
      </c>
      <c r="E6" s="235" t="s">
        <v>1776</v>
      </c>
      <c r="F6" s="236">
        <f>'数据-取费表'!B30</f>
        <v>2.4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134.34</v>
      </c>
      <c r="G7" s="909"/>
      <c r="H7" s="237"/>
      <c r="I7" s="238"/>
      <c r="J7" s="239"/>
      <c r="K7" s="240"/>
      <c r="L7" s="235" t="s">
        <v>1777</v>
      </c>
      <c r="M7" s="236">
        <f>IF('数据-取费表'!B42="",IF(D1="仅计算典型户型",'数据-取费表'!E5,'数据-取费表'!B5),'数据-取费表'!B42)</f>
        <v>134.34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132</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579733</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470190</v>
      </c>
      <c r="D14" s="1256" t="s">
        <v>1795</v>
      </c>
      <c r="E14" s="1257"/>
      <c r="F14" s="757"/>
      <c r="G14" s="910"/>
      <c r="H14" s="253" t="s">
        <v>1774</v>
      </c>
      <c r="I14" s="235" t="s">
        <v>1796</v>
      </c>
      <c r="J14" s="13">
        <f ca="1">C29</f>
        <v>682039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14106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6820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26868</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7053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518217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10364</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6820</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22200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-6820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79287</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682039</v>
      </c>
      <c r="D29" s="1034"/>
      <c r="E29" s="1032"/>
      <c r="F29" s="1035"/>
      <c r="G29" s="652"/>
      <c r="H29" s="271" t="s">
        <v>24</v>
      </c>
      <c r="I29" s="272" t="s">
        <v>1869</v>
      </c>
      <c r="J29" s="273">
        <f ca="1">ROUND(J26/(1+F40)^F41,0)</f>
        <v>0</v>
      </c>
      <c r="K29" s="274" t="s">
        <v>1870</v>
      </c>
      <c r="L29" s="275"/>
      <c r="M29" s="276">
        <f>IF(D1="仅计算典型户型",'数据-取费表'!E5,'数据-取费表'!B5)</f>
        <v>134.34</v>
      </c>
    </row>
    <row r="30" spans="1:37" ht="18" customHeight="1" thickTop="1">
      <c r="A30" s="1021" t="s">
        <v>14</v>
      </c>
      <c r="B30" s="1022" t="s">
        <v>1871</v>
      </c>
      <c r="C30" s="243">
        <f ca="1">ROUND(C31+C36+C37+C38,0)</f>
        <v>16582</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7061</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40581</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6820</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580</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2121</v>
      </c>
      <c r="D38" s="1034" t="s">
        <v>1846</v>
      </c>
      <c r="E38" s="1032" t="s">
        <v>1842</v>
      </c>
      <c r="F38" s="1027">
        <f>'数据-取费表'!B47</f>
        <v>0.02</v>
      </c>
      <c r="G38" s="652"/>
      <c r="H38" s="901"/>
      <c r="I38" s="280" t="s">
        <v>1884</v>
      </c>
      <c r="J38" s="136">
        <f ca="1">ROUND(J34/C39,3)</f>
        <v>0.45400000000000001</v>
      </c>
      <c r="K38" s="906"/>
      <c r="L38" s="901"/>
      <c r="M38" s="901"/>
    </row>
    <row r="39" spans="1:18" ht="18" customHeight="1" thickTop="1">
      <c r="A39" s="1021" t="s">
        <v>22</v>
      </c>
      <c r="B39" s="1036" t="s">
        <v>1885</v>
      </c>
      <c r="C39" s="243">
        <f ca="1">C5-C30</f>
        <v>89464</v>
      </c>
      <c r="D39" s="1037" t="s">
        <v>1886</v>
      </c>
      <c r="E39" s="1038"/>
      <c r="F39" s="1039"/>
      <c r="G39" s="652"/>
      <c r="H39" s="901"/>
      <c r="I39" s="280" t="s">
        <v>1887</v>
      </c>
      <c r="J39" s="136">
        <f ca="1">1-J38</f>
        <v>0.54600000000000004</v>
      </c>
      <c r="K39" s="906"/>
      <c r="L39" s="901"/>
      <c r="M39" s="901"/>
    </row>
    <row r="40" spans="1:18" s="652" customFormat="1" ht="18" customHeight="1">
      <c r="A40" s="232" t="s">
        <v>23</v>
      </c>
      <c r="B40" s="233" t="s">
        <v>1888</v>
      </c>
      <c r="C40" s="234">
        <f ca="1">ROUND(C39*(1-((1+F42)/(1+F40))^F41)/(F40-F42),0)</f>
        <v>2155095</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38.44</v>
      </c>
      <c r="H41" s="908"/>
      <c r="I41" s="135" t="s">
        <v>1762</v>
      </c>
      <c r="J41" s="136">
        <f ca="1">ROUND(C13/C40,3)</f>
        <v>0.26900000000000002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0.73099999999999998</v>
      </c>
      <c r="K42" s="905"/>
      <c r="L42" s="908"/>
      <c r="M42" s="908"/>
      <c r="Q42" s="656"/>
    </row>
    <row r="43" spans="1:18" s="652" customFormat="1" ht="18" customHeight="1" thickBot="1">
      <c r="A43" s="271" t="s">
        <v>24</v>
      </c>
      <c r="B43" s="272" t="s">
        <v>1891</v>
      </c>
      <c r="C43" s="273">
        <f ca="1">ROUND(C40/F43,0)</f>
        <v>16042</v>
      </c>
      <c r="D43" s="274" t="s">
        <v>1892</v>
      </c>
      <c r="E43" s="275" t="s">
        <v>1893</v>
      </c>
      <c r="F43" s="276">
        <f>IF(D1="仅计算典型户型",'数据-取费表'!E5,'数据-取费表'!B5)</f>
        <v>134.34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2155095</v>
      </c>
      <c r="R45" s="1008" t="s">
        <v>1900</v>
      </c>
    </row>
    <row r="46" spans="1:18" s="652" customFormat="1" ht="18" customHeight="1" thickBot="1">
      <c r="A46" s="649"/>
      <c r="D46" s="649"/>
      <c r="E46" s="649"/>
      <c r="F46" s="649"/>
      <c r="K46" s="653"/>
      <c r="O46" s="1005" t="s">
        <v>768</v>
      </c>
      <c r="P46" s="1006" t="s">
        <v>1901</v>
      </c>
      <c r="Q46" s="1007">
        <f ca="1">J61</f>
        <v>16925</v>
      </c>
      <c r="R46" s="1008" t="s">
        <v>1902</v>
      </c>
    </row>
    <row r="47" spans="1:18" s="652" customFormat="1" ht="21.75" thickBot="1">
      <c r="A47" s="1455" t="s">
        <v>1903</v>
      </c>
      <c r="C47" s="950">
        <f ca="1">IF(C2="元",C69-C40,ROUND((C69-C40)/10000,0))</f>
        <v>-227</v>
      </c>
      <c r="D47" s="1456" t="str">
        <f>C2</f>
        <v>万元</v>
      </c>
      <c r="E47" s="649"/>
      <c r="F47" s="649"/>
      <c r="I47" s="1457" t="s">
        <v>1904</v>
      </c>
      <c r="J47" s="981"/>
      <c r="K47" s="982"/>
      <c r="L47" s="995">
        <f ca="1">IF(M48="住宅",0,IF(L49&gt;J52,L61,J61))</f>
        <v>16925</v>
      </c>
      <c r="O47" s="1009" t="s">
        <v>769</v>
      </c>
      <c r="P47" s="1006" t="s">
        <v>1905</v>
      </c>
      <c r="Q47" s="1007">
        <f ca="1">C29</f>
        <v>682039</v>
      </c>
      <c r="R47" s="1008" t="s">
        <v>1900</v>
      </c>
    </row>
    <row r="48" spans="1:18" s="652" customFormat="1" ht="15.75" thickBot="1">
      <c r="A48" s="228" t="s">
        <v>1906</v>
      </c>
      <c r="B48" s="229" t="s">
        <v>1907</v>
      </c>
      <c r="C48" s="229" t="s">
        <v>1908</v>
      </c>
      <c r="D48" s="229" t="s">
        <v>1909</v>
      </c>
      <c r="E48" s="944" t="s">
        <v>1910</v>
      </c>
      <c r="F48" s="945"/>
      <c r="I48" s="1458" t="s">
        <v>1911</v>
      </c>
      <c r="J48" s="1459" t="s">
        <v>3036</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3037</v>
      </c>
      <c r="K49" s="1463" t="s">
        <v>1916</v>
      </c>
      <c r="L49" s="821">
        <f>'数据-取费表'!B13</f>
        <v>38.44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38.44</v>
      </c>
      <c r="R50" s="1008" t="s">
        <v>1923</v>
      </c>
    </row>
    <row r="51" spans="1:18" s="652" customFormat="1" ht="15.75" thickBot="1">
      <c r="A51" s="237"/>
      <c r="B51" s="238"/>
      <c r="C51" s="239"/>
      <c r="D51" s="240"/>
      <c r="E51" s="255" t="s">
        <v>1777</v>
      </c>
      <c r="F51" s="943">
        <f>F7</f>
        <v>134.34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217</v>
      </c>
      <c r="R51" s="1008" t="s">
        <v>774</v>
      </c>
    </row>
    <row r="52" spans="1:18" s="652" customFormat="1" ht="16.5" thickBot="1">
      <c r="A52" s="237"/>
      <c r="B52" s="238"/>
      <c r="C52" s="239"/>
      <c r="D52" s="240"/>
      <c r="E52" s="235" t="s">
        <v>1779</v>
      </c>
      <c r="F52" s="236">
        <f>F8</f>
        <v>365</v>
      </c>
      <c r="I52" s="1466" t="s">
        <v>1926</v>
      </c>
      <c r="J52" s="986">
        <f>IF(J50="",J51,J50+J51-YEAR('数据-取费表'!B2))</f>
        <v>51</v>
      </c>
      <c r="K52" s="1467" t="s">
        <v>1927</v>
      </c>
      <c r="L52" s="987">
        <f ca="1">ROUND(-PV('数据-取费表'!B15,J52,(C40-C13*J35)),0)</f>
        <v>38778017</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38.44</v>
      </c>
      <c r="K54" s="3558" t="s">
        <v>2460</v>
      </c>
      <c r="L54" s="3559"/>
      <c r="O54" s="1005" t="s">
        <v>767</v>
      </c>
      <c r="P54" s="1006" t="s">
        <v>1899</v>
      </c>
      <c r="Q54" s="1007">
        <f ca="1">C40+J29</f>
        <v>2155095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0.20899999999999999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579733</v>
      </c>
      <c r="D57" s="941"/>
      <c r="E57" s="942"/>
      <c r="F57" s="949"/>
      <c r="I57" s="1475" t="s">
        <v>1936</v>
      </c>
      <c r="J57" s="993" t="s">
        <v>3034</v>
      </c>
      <c r="K57" s="1461" t="s">
        <v>1937</v>
      </c>
      <c r="L57" s="821" t="str">
        <f>IF(L49&lt;J52,"——",L49-J52)</f>
        <v>——</v>
      </c>
      <c r="O57" s="1009" t="s">
        <v>770</v>
      </c>
      <c r="P57" s="1006" t="s">
        <v>1938</v>
      </c>
      <c r="Q57" s="1010">
        <f>L53</f>
        <v>0</v>
      </c>
      <c r="R57" s="1008"/>
    </row>
    <row r="58" spans="1:18" s="652" customFormat="1" ht="29.25" thickBot="1">
      <c r="A58" s="948"/>
      <c r="B58" s="235" t="s">
        <v>1868</v>
      </c>
      <c r="C58" s="104">
        <f ca="1">C29</f>
        <v>682039</v>
      </c>
      <c r="D58" s="941"/>
      <c r="E58" s="942"/>
      <c r="F58" s="949"/>
      <c r="I58" s="1476" t="s">
        <v>1939</v>
      </c>
      <c r="J58" s="992">
        <f>IF(OR(M48="住宅",J52&lt;L49,J57="是"),"——",J52-L49)</f>
        <v>12.560000000000002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7400</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272816</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216</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16925</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2155095</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6820</v>
      </c>
      <c r="D65" s="1259" t="s">
        <v>1881</v>
      </c>
      <c r="E65" s="235" t="s">
        <v>1825</v>
      </c>
      <c r="F65" s="265">
        <f t="shared" si="0"/>
        <v>0.01</v>
      </c>
      <c r="I65" s="1479" t="s">
        <v>1961</v>
      </c>
      <c r="J65" s="1251">
        <v>50</v>
      </c>
      <c r="K65" s="1251">
        <v>35</v>
      </c>
      <c r="L65" s="1251">
        <v>60</v>
      </c>
      <c r="M65" s="1250">
        <v>0</v>
      </c>
      <c r="O65" s="1009" t="s">
        <v>769</v>
      </c>
      <c r="P65" s="1006" t="s">
        <v>1935</v>
      </c>
      <c r="Q65" s="1011">
        <f ca="1">L52</f>
        <v>38778017</v>
      </c>
      <c r="R65" s="1012" t="s">
        <v>1962</v>
      </c>
    </row>
    <row r="66" spans="1:18" s="652" customFormat="1" ht="20.25" thickBot="1">
      <c r="A66" s="253" t="s">
        <v>20</v>
      </c>
      <c r="B66" s="235" t="s">
        <v>1840</v>
      </c>
      <c r="C66" s="13">
        <f ca="1">ROUND(C57*F66,0)</f>
        <v>580</v>
      </c>
      <c r="D66" s="1259" t="s">
        <v>1841</v>
      </c>
      <c r="E66" s="235" t="s">
        <v>1842</v>
      </c>
      <c r="F66" s="266">
        <f t="shared" si="0"/>
        <v>1E-3</v>
      </c>
      <c r="I66" s="1479" t="s">
        <v>1963</v>
      </c>
      <c r="J66" s="1251">
        <v>40</v>
      </c>
      <c r="K66" s="1251">
        <v>30</v>
      </c>
      <c r="L66" s="1251">
        <v>50</v>
      </c>
      <c r="M66" s="1249">
        <v>0.02</v>
      </c>
      <c r="O66" s="1009" t="s">
        <v>770</v>
      </c>
      <c r="P66" s="1013" t="s">
        <v>1964</v>
      </c>
      <c r="Q66" s="1007">
        <f ca="1">ROUND(Q67-Q68*Q69,0)</f>
        <v>48883</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89464</v>
      </c>
      <c r="R67" s="1008" t="s">
        <v>1900</v>
      </c>
    </row>
    <row r="68" spans="1:18" ht="15.75" thickBot="1">
      <c r="A68" s="248" t="s">
        <v>22</v>
      </c>
      <c r="B68" s="41" t="s">
        <v>1850</v>
      </c>
      <c r="C68" s="250">
        <f ca="1">C49-C59</f>
        <v>-7400</v>
      </c>
      <c r="D68" s="1256" t="s">
        <v>1851</v>
      </c>
      <c r="E68" s="1258"/>
      <c r="F68" s="268"/>
      <c r="H68" s="652"/>
      <c r="I68" s="652"/>
      <c r="J68" s="652"/>
      <c r="K68" s="652"/>
      <c r="L68" s="652"/>
      <c r="M68" s="652"/>
      <c r="O68" s="1009" t="s">
        <v>776</v>
      </c>
      <c r="P68" s="1013" t="s">
        <v>1966</v>
      </c>
      <c r="Q68" s="1007">
        <f ca="1">C13</f>
        <v>579733</v>
      </c>
      <c r="R68" s="1008" t="s">
        <v>1900</v>
      </c>
    </row>
    <row r="69" spans="1:18" ht="15.75" thickBot="1">
      <c r="A69" s="232" t="s">
        <v>23</v>
      </c>
      <c r="B69" s="233" t="s">
        <v>1888</v>
      </c>
      <c r="C69" s="234">
        <f ca="1">ROUND(C68*(1-((1+F71)/(1+F69))^F70)/(F69-F71),0)</f>
        <v>-117365</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38.44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-874</v>
      </c>
      <c r="D72" s="274" t="s">
        <v>1892</v>
      </c>
      <c r="E72" s="275" t="s">
        <v>1893</v>
      </c>
      <c r="F72" s="276">
        <f>F43</f>
        <v>134.34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216</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6" t="s">
        <v>2653</v>
      </c>
      <c r="K2" s="3567"/>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8" t="s">
        <v>2663</v>
      </c>
      <c r="K3" s="3569"/>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8" t="s">
        <v>2665</v>
      </c>
      <c r="K4" s="3569"/>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4" t="s">
        <v>2669</v>
      </c>
      <c r="B6" s="3575"/>
      <c r="C6" s="3576"/>
      <c r="D6" s="3154"/>
      <c r="E6" s="3098"/>
      <c r="F6" s="3099"/>
      <c r="G6" s="3199"/>
      <c r="H6" s="3185"/>
      <c r="I6" s="3186"/>
      <c r="J6" s="3560">
        <v>1</v>
      </c>
      <c r="K6" s="3561"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60"/>
      <c r="K7" s="3562"/>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7" t="s">
        <v>2682</v>
      </c>
      <c r="C8" s="3578"/>
      <c r="D8" s="3108" t="s">
        <v>2683</v>
      </c>
      <c r="E8" s="3109" t="s">
        <v>2684</v>
      </c>
      <c r="F8" s="3092" t="s">
        <v>2685</v>
      </c>
      <c r="G8" s="3262" t="s">
        <v>2793</v>
      </c>
      <c r="H8" s="3185"/>
      <c r="I8" s="3186"/>
      <c r="J8" s="3560"/>
      <c r="K8" s="3562"/>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7" t="s">
        <v>2687</v>
      </c>
      <c r="C9" s="3578"/>
      <c r="D9" s="3108">
        <f>ROUND(D6*E9,0)</f>
        <v>0</v>
      </c>
      <c r="E9" s="3155"/>
      <c r="F9" s="3110" t="s">
        <v>2688</v>
      </c>
      <c r="G9" s="3208" t="s">
        <v>2791</v>
      </c>
      <c r="H9" s="3185"/>
      <c r="I9" s="3186"/>
      <c r="J9" s="3560"/>
      <c r="K9" s="3562"/>
      <c r="L9" s="3203" t="s">
        <v>2781</v>
      </c>
      <c r="M9" s="3204"/>
      <c r="N9" s="3204"/>
      <c r="O9" s="3205"/>
      <c r="P9" s="3205"/>
      <c r="Q9" s="3206">
        <v>365</v>
      </c>
      <c r="R9" s="3207">
        <f t="shared" si="0"/>
        <v>0</v>
      </c>
      <c r="S9" s="3183"/>
      <c r="T9" s="3183"/>
      <c r="U9" s="3183"/>
      <c r="V9" s="3186"/>
      <c r="W9" s="3185"/>
    </row>
    <row r="10" spans="1:23" s="3091" customFormat="1" ht="13.15" customHeight="1">
      <c r="A10" s="3107">
        <v>2</v>
      </c>
      <c r="B10" s="3577" t="s">
        <v>2689</v>
      </c>
      <c r="C10" s="3578"/>
      <c r="D10" s="3108">
        <f>ROUND(D6*E10,0)</f>
        <v>0</v>
      </c>
      <c r="E10" s="3155"/>
      <c r="F10" s="3110" t="s">
        <v>2690</v>
      </c>
      <c r="G10" s="3208" t="s">
        <v>2792</v>
      </c>
      <c r="H10" s="3185"/>
      <c r="I10" s="3186"/>
      <c r="J10" s="3560"/>
      <c r="K10" s="3562"/>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7" t="s">
        <v>2691</v>
      </c>
      <c r="C11" s="3578"/>
      <c r="D11" s="3108">
        <f>D12+D14+D15+D16</f>
        <v>0</v>
      </c>
      <c r="E11" s="3111" t="e">
        <f>D11/D6</f>
        <v>#DIV/0!</v>
      </c>
      <c r="F11" s="3092"/>
      <c r="G11" s="3208"/>
      <c r="H11" s="3185"/>
      <c r="I11" s="3186"/>
      <c r="J11" s="3560"/>
      <c r="K11" s="3562"/>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70" t="s">
        <v>2693</v>
      </c>
      <c r="C12" s="3571"/>
      <c r="D12" s="3113">
        <f>ROUND(D13*1.2%*(1-30%),0)</f>
        <v>0</v>
      </c>
      <c r="E12" s="3114">
        <v>1.2E-2</v>
      </c>
      <c r="F12" s="3092" t="s">
        <v>2694</v>
      </c>
      <c r="G12" s="3208"/>
      <c r="H12" s="3185"/>
      <c r="I12" s="3186"/>
      <c r="J12" s="3560"/>
      <c r="K12" s="3562"/>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60"/>
      <c r="K13" s="3562"/>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70" t="s">
        <v>2697</v>
      </c>
      <c r="C14" s="3571"/>
      <c r="D14" s="3113">
        <f>ROUND(E14*B5/10000,0)</f>
        <v>0</v>
      </c>
      <c r="E14" s="3157"/>
      <c r="F14" s="3092" t="s">
        <v>2698</v>
      </c>
      <c r="G14" s="3208"/>
      <c r="H14" s="3185"/>
      <c r="I14" s="3186"/>
      <c r="J14" s="3560"/>
      <c r="K14" s="3563"/>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70" t="s">
        <v>2701</v>
      </c>
      <c r="C15" s="3571"/>
      <c r="D15" s="3113">
        <f>ROUND(D6*E15,0)</f>
        <v>0</v>
      </c>
      <c r="E15" s="3114">
        <v>5.5E-2</v>
      </c>
      <c r="F15" s="3092" t="s">
        <v>2702</v>
      </c>
      <c r="G15" s="3208"/>
      <c r="H15" s="3185"/>
      <c r="I15" s="3186"/>
      <c r="J15" s="3560">
        <v>2</v>
      </c>
      <c r="K15" s="3561"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70" t="s">
        <v>2712</v>
      </c>
      <c r="C16" s="3571"/>
      <c r="D16" s="3158">
        <f>D6*E16</f>
        <v>0</v>
      </c>
      <c r="E16" s="3159"/>
      <c r="F16" s="3110" t="s">
        <v>2713</v>
      </c>
      <c r="G16" s="3208"/>
      <c r="H16" s="3185"/>
      <c r="I16" s="3186"/>
      <c r="J16" s="3560"/>
      <c r="K16" s="3562"/>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2" t="s">
        <v>2714</v>
      </c>
      <c r="C17" s="3573"/>
      <c r="D17" s="3119">
        <f>ROUND(D6*E17,0)</f>
        <v>0</v>
      </c>
      <c r="E17" s="3160"/>
      <c r="F17" s="3120" t="s">
        <v>2715</v>
      </c>
      <c r="G17" s="3261">
        <v>0.1</v>
      </c>
      <c r="H17" s="3185"/>
      <c r="I17" s="3186"/>
      <c r="J17" s="3560"/>
      <c r="K17" s="3562"/>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60"/>
      <c r="K18" s="3562"/>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60"/>
      <c r="K19" s="3563"/>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0">
        <v>3</v>
      </c>
      <c r="K20" s="3561"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60"/>
      <c r="K21" s="3562"/>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60"/>
      <c r="K22" s="3562"/>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60"/>
      <c r="K23" s="3562"/>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60"/>
      <c r="K24" s="3563"/>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4">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5"/>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6" t="s">
        <v>2751</v>
      </c>
      <c r="K32" s="3567"/>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8" t="s">
        <v>2755</v>
      </c>
      <c r="K33" s="3569"/>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8" t="s">
        <v>2757</v>
      </c>
      <c r="K34" s="3569"/>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60">
        <v>1</v>
      </c>
      <c r="K36" s="3561"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60"/>
      <c r="K37" s="3562"/>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0"/>
      <c r="K38" s="3562"/>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60"/>
      <c r="K39" s="3562"/>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60"/>
      <c r="K40" s="3563"/>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4">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5"/>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2" t="s">
        <v>1973</v>
      </c>
      <c r="D4" s="3583"/>
      <c r="E4" s="3583"/>
      <c r="F4" s="3583"/>
      <c r="G4" s="3583"/>
      <c r="H4" s="3583"/>
      <c r="I4" s="3583"/>
      <c r="J4" s="3583"/>
      <c r="K4" s="3583"/>
      <c r="L4" s="3583"/>
      <c r="M4" s="3583"/>
      <c r="N4" s="3583"/>
      <c r="O4" s="3583"/>
      <c r="P4" s="3583"/>
      <c r="Q4" s="3583"/>
      <c r="R4" s="3583"/>
      <c r="S4" s="358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9" t="s">
        <v>45</v>
      </c>
      <c r="D25" s="3580"/>
      <c r="E25" s="3580"/>
      <c r="F25" s="3580"/>
      <c r="G25" s="3580"/>
      <c r="H25" s="3580"/>
      <c r="I25" s="3580"/>
      <c r="J25" s="3580"/>
      <c r="K25" s="3580"/>
      <c r="L25" s="3580"/>
      <c r="M25" s="3580"/>
      <c r="N25" s="3580"/>
      <c r="O25" s="3580"/>
      <c r="P25" s="3580"/>
      <c r="Q25" s="358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134.34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8" t="s">
        <v>2007</v>
      </c>
      <c r="D4" s="3589"/>
      <c r="E4" s="3590" t="s">
        <v>2008</v>
      </c>
      <c r="F4" s="3591"/>
      <c r="G4" s="3588" t="s">
        <v>2009</v>
      </c>
      <c r="H4" s="3589"/>
      <c r="I4" s="3588" t="s">
        <v>2010</v>
      </c>
      <c r="J4" s="3589"/>
      <c r="K4" s="1593" t="s">
        <v>2011</v>
      </c>
      <c r="L4" s="2915"/>
      <c r="M4" s="2916"/>
      <c r="N4" s="2916"/>
      <c r="O4" s="2916"/>
      <c r="P4" s="3592" t="s">
        <v>2012</v>
      </c>
      <c r="Q4" s="3593"/>
      <c r="R4" s="3598" t="s">
        <v>2008</v>
      </c>
      <c r="S4" s="3599"/>
      <c r="T4" s="3598" t="s">
        <v>2009</v>
      </c>
      <c r="U4" s="3599"/>
      <c r="V4" s="3604" t="s">
        <v>2010</v>
      </c>
      <c r="W4" s="3604"/>
      <c r="X4" s="1594"/>
      <c r="Y4" s="3598" t="s">
        <v>2012</v>
      </c>
      <c r="Z4" s="3599"/>
      <c r="AA4" s="3585" t="s">
        <v>2008</v>
      </c>
      <c r="AB4" s="3585" t="s">
        <v>2009</v>
      </c>
      <c r="AC4" s="3585" t="s">
        <v>2010</v>
      </c>
    </row>
    <row r="5" spans="1:29" ht="15">
      <c r="A5" s="1596"/>
      <c r="B5" s="1597"/>
      <c r="C5" s="3607" t="s">
        <v>2013</v>
      </c>
      <c r="D5" s="3608"/>
      <c r="E5" s="3605" t="s">
        <v>2014</v>
      </c>
      <c r="F5" s="3606"/>
      <c r="G5" s="3607" t="s">
        <v>2015</v>
      </c>
      <c r="H5" s="3608"/>
      <c r="I5" s="3607" t="s">
        <v>2016</v>
      </c>
      <c r="J5" s="3608"/>
      <c r="K5" s="1598"/>
      <c r="L5" s="2915"/>
      <c r="M5" s="2916"/>
      <c r="N5" s="2916"/>
      <c r="O5" s="2916"/>
      <c r="P5" s="3594"/>
      <c r="Q5" s="3595"/>
      <c r="R5" s="3600"/>
      <c r="S5" s="3601"/>
      <c r="T5" s="3600"/>
      <c r="U5" s="3601"/>
      <c r="V5" s="3604"/>
      <c r="W5" s="3604"/>
      <c r="X5" s="1594"/>
      <c r="Y5" s="3600"/>
      <c r="Z5" s="3601"/>
      <c r="AA5" s="3586"/>
      <c r="AB5" s="3586"/>
      <c r="AC5" s="3586"/>
    </row>
    <row r="6" spans="1:29" ht="15.75" thickBot="1">
      <c r="A6" s="1599"/>
      <c r="B6" s="1600"/>
      <c r="C6" s="3609" t="s">
        <v>2017</v>
      </c>
      <c r="D6" s="3610"/>
      <c r="E6" s="3611" t="s">
        <v>2017</v>
      </c>
      <c r="F6" s="3612"/>
      <c r="G6" s="3609" t="s">
        <v>2017</v>
      </c>
      <c r="H6" s="3610"/>
      <c r="I6" s="3609" t="s">
        <v>2017</v>
      </c>
      <c r="J6" s="3610"/>
      <c r="K6" s="1598" t="s">
        <v>2018</v>
      </c>
      <c r="L6" s="2915"/>
      <c r="M6" s="2916"/>
      <c r="N6" s="2916"/>
      <c r="O6" s="2916"/>
      <c r="P6" s="3596"/>
      <c r="Q6" s="3597"/>
      <c r="R6" s="3600"/>
      <c r="S6" s="3601"/>
      <c r="T6" s="3602"/>
      <c r="U6" s="3603"/>
      <c r="V6" s="3604"/>
      <c r="W6" s="3604"/>
      <c r="X6" s="1594"/>
      <c r="Y6" s="3602"/>
      <c r="Z6" s="3603"/>
      <c r="AA6" s="3587"/>
      <c r="AB6" s="3587"/>
      <c r="AC6" s="3587"/>
    </row>
    <row r="7" spans="1:29" s="1613" customFormat="1" ht="15.75" thickBot="1">
      <c r="A7" s="1601" t="s">
        <v>2019</v>
      </c>
      <c r="B7" s="1602"/>
      <c r="C7" s="1603">
        <f>'数据-取费表'!B2</f>
        <v>44756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20" t="s">
        <v>2020</v>
      </c>
      <c r="Q7" s="3622"/>
      <c r="R7" s="1609" t="s">
        <v>34</v>
      </c>
      <c r="S7" s="1610">
        <f t="shared" ref="S7:S15" si="0">F7</f>
        <v>0</v>
      </c>
      <c r="T7" s="1609" t="s">
        <v>34</v>
      </c>
      <c r="U7" s="1610">
        <f t="shared" ref="U7:U15" si="1">H7</f>
        <v>0</v>
      </c>
      <c r="V7" s="1609" t="s">
        <v>34</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20" t="s">
        <v>2023</v>
      </c>
      <c r="Q8" s="3621"/>
      <c r="R8" s="1609" t="s">
        <v>34</v>
      </c>
      <c r="S8" s="1610">
        <f t="shared" si="0"/>
        <v>0</v>
      </c>
      <c r="T8" s="1609" t="s">
        <v>34</v>
      </c>
      <c r="U8" s="1610">
        <f t="shared" si="1"/>
        <v>0</v>
      </c>
      <c r="V8" s="1609" t="s">
        <v>34</v>
      </c>
      <c r="W8" s="1610">
        <f t="shared" si="2"/>
        <v>0</v>
      </c>
      <c r="X8" s="1611"/>
      <c r="Y8" s="3620" t="s">
        <v>2023</v>
      </c>
      <c r="Z8" s="3621"/>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3"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3"/>
      <c r="Q10" s="156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3"/>
      <c r="Q11" s="1563" t="str">
        <f t="shared" si="6"/>
        <v>容积率</v>
      </c>
      <c r="R11" s="1609" t="s">
        <v>28</v>
      </c>
      <c r="S11" s="1610" t="e">
        <f t="shared" si="0"/>
        <v>#N/A</v>
      </c>
      <c r="T11" s="1609" t="s">
        <v>28</v>
      </c>
      <c r="U11" s="1610" t="e">
        <f t="shared" si="1"/>
        <v>#N/A</v>
      </c>
      <c r="V11" s="1609" t="s">
        <v>28</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3"/>
      <c r="Q12" s="1563">
        <f t="shared" si="6"/>
        <v>111</v>
      </c>
      <c r="R12" s="1609" t="s">
        <v>28</v>
      </c>
      <c r="S12" s="1610">
        <f t="shared" si="0"/>
        <v>100</v>
      </c>
      <c r="T12" s="1609" t="s">
        <v>28</v>
      </c>
      <c r="U12" s="1610">
        <f t="shared" si="1"/>
        <v>100</v>
      </c>
      <c r="V12" s="1609" t="s">
        <v>28</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3"/>
      <c r="Q13" s="1563">
        <f t="shared" si="6"/>
        <v>111</v>
      </c>
      <c r="R13" s="1609" t="s">
        <v>28</v>
      </c>
      <c r="S13" s="1610">
        <f t="shared" si="0"/>
        <v>100</v>
      </c>
      <c r="T13" s="1609" t="s">
        <v>28</v>
      </c>
      <c r="U13" s="1610">
        <f t="shared" si="1"/>
        <v>100</v>
      </c>
      <c r="V13" s="1609" t="s">
        <v>28</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3"/>
      <c r="Q14" s="1563">
        <f t="shared" si="6"/>
        <v>111</v>
      </c>
      <c r="R14" s="1609" t="s">
        <v>28</v>
      </c>
      <c r="S14" s="1610">
        <f t="shared" si="0"/>
        <v>100</v>
      </c>
      <c r="T14" s="1609" t="s">
        <v>28</v>
      </c>
      <c r="U14" s="1610">
        <f t="shared" si="1"/>
        <v>100</v>
      </c>
      <c r="V14" s="1609" t="s">
        <v>28</v>
      </c>
      <c r="W14" s="1610">
        <f t="shared" si="2"/>
        <v>100</v>
      </c>
      <c r="X14" s="1611"/>
      <c r="Y14" s="348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6" t="s">
        <v>2031</v>
      </c>
      <c r="Q15" s="1544" t="str">
        <f t="shared" si="6"/>
        <v>居住社区成熟度</v>
      </c>
      <c r="R15" s="1654" t="s">
        <v>28</v>
      </c>
      <c r="S15" s="1655">
        <f t="shared" si="0"/>
        <v>100</v>
      </c>
      <c r="T15" s="1654" t="s">
        <v>28</v>
      </c>
      <c r="U15" s="1655">
        <f t="shared" si="1"/>
        <v>100</v>
      </c>
      <c r="V15" s="1654" t="s">
        <v>28</v>
      </c>
      <c r="W15" s="1655">
        <f t="shared" si="2"/>
        <v>100</v>
      </c>
      <c r="X15" s="1594"/>
      <c r="Y15" s="361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7"/>
      <c r="Q16" s="1544"/>
      <c r="R16" s="1654"/>
      <c r="S16" s="1655"/>
      <c r="T16" s="1654"/>
      <c r="U16" s="1655"/>
      <c r="V16" s="1654"/>
      <c r="W16" s="1655"/>
      <c r="X16" s="1594"/>
      <c r="Y16" s="361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7"/>
      <c r="Q17" s="1544" t="str">
        <f>B17</f>
        <v>交通便捷度</v>
      </c>
      <c r="R17" s="1654" t="s">
        <v>28</v>
      </c>
      <c r="S17" s="1655">
        <f>F17</f>
        <v>100</v>
      </c>
      <c r="T17" s="1654" t="s">
        <v>28</v>
      </c>
      <c r="U17" s="1655">
        <f>H17</f>
        <v>100</v>
      </c>
      <c r="V17" s="1654" t="s">
        <v>28</v>
      </c>
      <c r="W17" s="1655">
        <f>J17</f>
        <v>100</v>
      </c>
      <c r="X17" s="1594"/>
      <c r="Y17" s="361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7"/>
      <c r="Q18" s="1544"/>
      <c r="R18" s="1654"/>
      <c r="S18" s="1655"/>
      <c r="T18" s="1654"/>
      <c r="U18" s="1655"/>
      <c r="V18" s="1654"/>
      <c r="W18" s="1655"/>
      <c r="X18" s="1594"/>
      <c r="Y18" s="361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7"/>
      <c r="Q19" s="1544" t="str">
        <f>B19</f>
        <v>公共配套设施</v>
      </c>
      <c r="R19" s="1654" t="s">
        <v>28</v>
      </c>
      <c r="S19" s="1655">
        <f>F19</f>
        <v>100</v>
      </c>
      <c r="T19" s="1654" t="s">
        <v>28</v>
      </c>
      <c r="U19" s="1655">
        <f>H19</f>
        <v>100</v>
      </c>
      <c r="V19" s="1654" t="s">
        <v>28</v>
      </c>
      <c r="W19" s="1655">
        <f>J19</f>
        <v>100</v>
      </c>
      <c r="X19" s="1594"/>
      <c r="Y19" s="361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7"/>
      <c r="Q20" s="1544"/>
      <c r="R20" s="1654"/>
      <c r="S20" s="1655"/>
      <c r="T20" s="1654"/>
      <c r="U20" s="1655"/>
      <c r="V20" s="1654"/>
      <c r="W20" s="1655"/>
      <c r="X20" s="1594"/>
      <c r="Y20" s="361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7"/>
      <c r="Q21" s="1544" t="str">
        <f>B21</f>
        <v>基础设施水平</v>
      </c>
      <c r="R21" s="1654" t="s">
        <v>28</v>
      </c>
      <c r="S21" s="1655">
        <f>F21</f>
        <v>100</v>
      </c>
      <c r="T21" s="1654" t="s">
        <v>28</v>
      </c>
      <c r="U21" s="1655">
        <f>H21</f>
        <v>100</v>
      </c>
      <c r="V21" s="1654" t="s">
        <v>28</v>
      </c>
      <c r="W21" s="1655">
        <f>J21</f>
        <v>100</v>
      </c>
      <c r="X21" s="1594"/>
      <c r="Y21" s="361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7"/>
      <c r="Q22" s="1544"/>
      <c r="R22" s="1654"/>
      <c r="S22" s="1655"/>
      <c r="T22" s="1654"/>
      <c r="U22" s="1655"/>
      <c r="V22" s="1654"/>
      <c r="W22" s="1655"/>
      <c r="X22" s="1594"/>
      <c r="Y22" s="361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7"/>
      <c r="Q23" s="1544" t="str">
        <f>B23</f>
        <v>自然及人文环境</v>
      </c>
      <c r="R23" s="1654" t="s">
        <v>28</v>
      </c>
      <c r="S23" s="1655">
        <f>F23</f>
        <v>100</v>
      </c>
      <c r="T23" s="1654" t="s">
        <v>28</v>
      </c>
      <c r="U23" s="1655">
        <f>H23</f>
        <v>100</v>
      </c>
      <c r="V23" s="1654" t="s">
        <v>28</v>
      </c>
      <c r="W23" s="1655">
        <f>J23</f>
        <v>100</v>
      </c>
      <c r="X23" s="1594"/>
      <c r="Y23" s="361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7"/>
      <c r="Q24" s="1544"/>
      <c r="R24" s="1654"/>
      <c r="S24" s="1655"/>
      <c r="T24" s="1654"/>
      <c r="U24" s="1655"/>
      <c r="V24" s="1654"/>
      <c r="W24" s="1655"/>
      <c r="X24" s="1594"/>
      <c r="Y24" s="361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7"/>
      <c r="Q25" s="1544" t="str">
        <f t="shared" ref="Q25:Q46" si="11">B25</f>
        <v>楼层-1</v>
      </c>
      <c r="R25" s="1654" t="s">
        <v>28</v>
      </c>
      <c r="S25" s="1655">
        <f>F25</f>
        <v>100</v>
      </c>
      <c r="T25" s="1654" t="s">
        <v>28</v>
      </c>
      <c r="U25" s="1655">
        <f>H25</f>
        <v>100</v>
      </c>
      <c r="V25" s="1654" t="s">
        <v>28</v>
      </c>
      <c r="W25" s="1655">
        <f>J25</f>
        <v>100</v>
      </c>
      <c r="X25" s="1594"/>
      <c r="Y25" s="361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7"/>
      <c r="Q26" s="1544" t="str">
        <f t="shared" si="11"/>
        <v>朝向</v>
      </c>
      <c r="R26" s="1654" t="s">
        <v>28</v>
      </c>
      <c r="S26" s="1655">
        <f>F26</f>
        <v>100</v>
      </c>
      <c r="T26" s="1654" t="s">
        <v>28</v>
      </c>
      <c r="U26" s="1655">
        <f>H26</f>
        <v>100</v>
      </c>
      <c r="V26" s="1654" t="s">
        <v>28</v>
      </c>
      <c r="W26" s="1655">
        <f>J26</f>
        <v>100</v>
      </c>
      <c r="X26" s="1594"/>
      <c r="Y26" s="361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7"/>
      <c r="Q27" s="1563" t="str">
        <f t="shared" si="11"/>
        <v>道路级别</v>
      </c>
      <c r="R27" s="1609" t="s">
        <v>28</v>
      </c>
      <c r="S27" s="1610">
        <f>F27</f>
        <v>100</v>
      </c>
      <c r="T27" s="1609" t="s">
        <v>28</v>
      </c>
      <c r="U27" s="1610">
        <f>H27</f>
        <v>100</v>
      </c>
      <c r="V27" s="1609" t="s">
        <v>28</v>
      </c>
      <c r="W27" s="1610">
        <f>J27</f>
        <v>100</v>
      </c>
      <c r="X27" s="1611"/>
      <c r="Y27" s="361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7"/>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7"/>
      <c r="Q29" s="1544">
        <f t="shared" si="11"/>
        <v>111</v>
      </c>
      <c r="R29" s="1654" t="s">
        <v>28</v>
      </c>
      <c r="S29" s="1655">
        <f t="shared" si="12"/>
        <v>100</v>
      </c>
      <c r="T29" s="1654" t="s">
        <v>28</v>
      </c>
      <c r="U29" s="1655">
        <f t="shared" si="13"/>
        <v>100</v>
      </c>
      <c r="V29" s="1654" t="s">
        <v>28</v>
      </c>
      <c r="W29" s="1655">
        <f t="shared" si="14"/>
        <v>100</v>
      </c>
      <c r="X29" s="1594"/>
      <c r="Y29" s="361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7"/>
      <c r="Q30" s="1544">
        <f t="shared" si="11"/>
        <v>111</v>
      </c>
      <c r="R30" s="1654" t="s">
        <v>28</v>
      </c>
      <c r="S30" s="1655">
        <f t="shared" si="12"/>
        <v>100</v>
      </c>
      <c r="T30" s="1654" t="s">
        <v>28</v>
      </c>
      <c r="U30" s="1655">
        <f t="shared" si="13"/>
        <v>100</v>
      </c>
      <c r="V30" s="1654" t="s">
        <v>28</v>
      </c>
      <c r="W30" s="1655">
        <f t="shared" si="14"/>
        <v>100</v>
      </c>
      <c r="X30" s="1594"/>
      <c r="Y30" s="361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7"/>
      <c r="Q31" s="1544">
        <f t="shared" si="11"/>
        <v>111</v>
      </c>
      <c r="R31" s="1654" t="s">
        <v>28</v>
      </c>
      <c r="S31" s="1655">
        <f t="shared" si="12"/>
        <v>100</v>
      </c>
      <c r="T31" s="1654" t="s">
        <v>28</v>
      </c>
      <c r="U31" s="1655">
        <f t="shared" si="13"/>
        <v>100</v>
      </c>
      <c r="V31" s="1654" t="s">
        <v>28</v>
      </c>
      <c r="W31" s="1655">
        <f t="shared" si="14"/>
        <v>100</v>
      </c>
      <c r="X31" s="1594"/>
      <c r="Y31" s="361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5" t="s">
        <v>2037</v>
      </c>
      <c r="Q32" s="1544" t="str">
        <f t="shared" si="11"/>
        <v>建筑类型</v>
      </c>
      <c r="R32" s="1654" t="s">
        <v>28</v>
      </c>
      <c r="S32" s="1655">
        <f t="shared" si="12"/>
        <v>100</v>
      </c>
      <c r="T32" s="1654" t="s">
        <v>28</v>
      </c>
      <c r="U32" s="1655">
        <f t="shared" si="13"/>
        <v>100</v>
      </c>
      <c r="V32" s="1654" t="s">
        <v>28</v>
      </c>
      <c r="W32" s="1655">
        <f t="shared" si="14"/>
        <v>100</v>
      </c>
      <c r="X32" s="1594"/>
      <c r="Y32" s="361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6"/>
      <c r="Q33" s="1695" t="str">
        <f t="shared" si="11"/>
        <v>项目建筑规模</v>
      </c>
      <c r="R33" s="1696" t="s">
        <v>28</v>
      </c>
      <c r="S33" s="1697" t="e">
        <f t="shared" si="12"/>
        <v>#N/A</v>
      </c>
      <c r="T33" s="1696" t="s">
        <v>28</v>
      </c>
      <c r="U33" s="1697" t="e">
        <f t="shared" si="13"/>
        <v>#N/A</v>
      </c>
      <c r="V33" s="1696" t="s">
        <v>28</v>
      </c>
      <c r="W33" s="1697" t="e">
        <f t="shared" si="14"/>
        <v>#N/A</v>
      </c>
      <c r="X33" s="1698"/>
      <c r="Y33" s="361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6"/>
      <c r="Q34" s="1544" t="str">
        <f t="shared" si="11"/>
        <v>建筑结构</v>
      </c>
      <c r="R34" s="1654" t="s">
        <v>28</v>
      </c>
      <c r="S34" s="1655">
        <f t="shared" si="12"/>
        <v>100</v>
      </c>
      <c r="T34" s="1654" t="s">
        <v>28</v>
      </c>
      <c r="U34" s="1655">
        <f t="shared" si="13"/>
        <v>100</v>
      </c>
      <c r="V34" s="1654" t="s">
        <v>28</v>
      </c>
      <c r="W34" s="1655">
        <f t="shared" si="14"/>
        <v>100</v>
      </c>
      <c r="X34" s="1594"/>
      <c r="Y34" s="361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6"/>
      <c r="Q35" s="1544" t="str">
        <f t="shared" si="11"/>
        <v>建筑品质</v>
      </c>
      <c r="R35" s="1654" t="s">
        <v>28</v>
      </c>
      <c r="S35" s="1655">
        <f t="shared" si="12"/>
        <v>100</v>
      </c>
      <c r="T35" s="1654" t="s">
        <v>28</v>
      </c>
      <c r="U35" s="1655">
        <f t="shared" si="13"/>
        <v>100</v>
      </c>
      <c r="V35" s="1654" t="s">
        <v>28</v>
      </c>
      <c r="W35" s="1655">
        <f t="shared" si="14"/>
        <v>100</v>
      </c>
      <c r="X35" s="1594"/>
      <c r="Y35" s="361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6"/>
      <c r="Q36" s="1544" t="str">
        <f t="shared" si="11"/>
        <v>公共部分装修</v>
      </c>
      <c r="R36" s="1654" t="s">
        <v>28</v>
      </c>
      <c r="S36" s="1655">
        <f t="shared" si="12"/>
        <v>100</v>
      </c>
      <c r="T36" s="1654" t="s">
        <v>28</v>
      </c>
      <c r="U36" s="1655">
        <f t="shared" si="13"/>
        <v>100</v>
      </c>
      <c r="V36" s="1654" t="s">
        <v>28</v>
      </c>
      <c r="W36" s="1655">
        <f t="shared" si="14"/>
        <v>100</v>
      </c>
      <c r="X36" s="1594"/>
      <c r="Y36" s="361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6"/>
      <c r="Q37" s="1563" t="str">
        <f t="shared" si="11"/>
        <v>成新度</v>
      </c>
      <c r="R37" s="1609" t="s">
        <v>28</v>
      </c>
      <c r="S37" s="1610" t="e">
        <f t="shared" si="12"/>
        <v>#N/A</v>
      </c>
      <c r="T37" s="1609" t="s">
        <v>28</v>
      </c>
      <c r="U37" s="1610" t="e">
        <f t="shared" si="13"/>
        <v>#N/A</v>
      </c>
      <c r="V37" s="1609" t="s">
        <v>28</v>
      </c>
      <c r="W37" s="1610" t="e">
        <f t="shared" si="14"/>
        <v>#N/A</v>
      </c>
      <c r="X37" s="1611"/>
      <c r="Y37" s="361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6" t="s">
        <v>2037</v>
      </c>
      <c r="Q38" s="1544" t="str">
        <f t="shared" si="11"/>
        <v>物业管理</v>
      </c>
      <c r="R38" s="1654" t="s">
        <v>28</v>
      </c>
      <c r="S38" s="1655">
        <f t="shared" si="12"/>
        <v>100</v>
      </c>
      <c r="T38" s="1654" t="s">
        <v>28</v>
      </c>
      <c r="U38" s="1655">
        <f t="shared" si="13"/>
        <v>100</v>
      </c>
      <c r="V38" s="1654" t="s">
        <v>28</v>
      </c>
      <c r="W38" s="1655">
        <f t="shared" si="14"/>
        <v>100</v>
      </c>
      <c r="X38" s="1594"/>
      <c r="Y38" s="361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6"/>
      <c r="Q39" s="1544" t="str">
        <f t="shared" si="11"/>
        <v>市政基础设施</v>
      </c>
      <c r="R39" s="1654" t="s">
        <v>28</v>
      </c>
      <c r="S39" s="1655">
        <f t="shared" si="12"/>
        <v>100</v>
      </c>
      <c r="T39" s="1654" t="s">
        <v>28</v>
      </c>
      <c r="U39" s="1655">
        <f t="shared" si="13"/>
        <v>100</v>
      </c>
      <c r="V39" s="1654" t="s">
        <v>28</v>
      </c>
      <c r="W39" s="1655">
        <f t="shared" si="14"/>
        <v>100</v>
      </c>
      <c r="X39" s="1594"/>
      <c r="Y39" s="361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6"/>
      <c r="Q40" s="1544" t="str">
        <f t="shared" si="11"/>
        <v>房型</v>
      </c>
      <c r="R40" s="1654" t="s">
        <v>28</v>
      </c>
      <c r="S40" s="1655">
        <f t="shared" si="12"/>
        <v>100</v>
      </c>
      <c r="T40" s="1654" t="s">
        <v>28</v>
      </c>
      <c r="U40" s="1655">
        <f t="shared" si="13"/>
        <v>100</v>
      </c>
      <c r="V40" s="1654" t="s">
        <v>28</v>
      </c>
      <c r="W40" s="1655">
        <f t="shared" si="14"/>
        <v>100</v>
      </c>
      <c r="X40" s="1594"/>
      <c r="Y40" s="361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6"/>
      <c r="Q41" s="1695" t="str">
        <f t="shared" si="11"/>
        <v>单套/主力户型建筑面积</v>
      </c>
      <c r="R41" s="1696" t="s">
        <v>28</v>
      </c>
      <c r="S41" s="1697">
        <f t="shared" si="12"/>
        <v>100</v>
      </c>
      <c r="T41" s="1696" t="s">
        <v>28</v>
      </c>
      <c r="U41" s="1697">
        <f t="shared" si="13"/>
        <v>100</v>
      </c>
      <c r="V41" s="1696" t="s">
        <v>28</v>
      </c>
      <c r="W41" s="1697">
        <f t="shared" si="14"/>
        <v>100</v>
      </c>
      <c r="X41" s="1698"/>
      <c r="Y41" s="361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6"/>
      <c r="Q42" s="1544" t="str">
        <f t="shared" si="11"/>
        <v>内部装修</v>
      </c>
      <c r="R42" s="1654" t="s">
        <v>28</v>
      </c>
      <c r="S42" s="1655">
        <f t="shared" si="12"/>
        <v>100</v>
      </c>
      <c r="T42" s="1654" t="s">
        <v>28</v>
      </c>
      <c r="U42" s="1655">
        <f t="shared" si="13"/>
        <v>100</v>
      </c>
      <c r="V42" s="1654" t="s">
        <v>28</v>
      </c>
      <c r="W42" s="1655">
        <f t="shared" si="14"/>
        <v>100</v>
      </c>
      <c r="X42" s="1594"/>
      <c r="Y42" s="361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6"/>
      <c r="Q43" s="1544" t="str">
        <f t="shared" si="11"/>
        <v>内部装修维护情况</v>
      </c>
      <c r="R43" s="1654" t="s">
        <v>28</v>
      </c>
      <c r="S43" s="1655">
        <f t="shared" si="12"/>
        <v>100</v>
      </c>
      <c r="T43" s="1654" t="s">
        <v>28</v>
      </c>
      <c r="U43" s="1655">
        <f t="shared" si="13"/>
        <v>100</v>
      </c>
      <c r="V43" s="1654" t="s">
        <v>28</v>
      </c>
      <c r="W43" s="1655">
        <f t="shared" si="14"/>
        <v>100</v>
      </c>
      <c r="X43" s="1594"/>
      <c r="Y43" s="361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6"/>
      <c r="Q44" s="1563">
        <f t="shared" si="11"/>
        <v>111</v>
      </c>
      <c r="R44" s="1609" t="s">
        <v>28</v>
      </c>
      <c r="S44" s="1610">
        <f t="shared" si="12"/>
        <v>100</v>
      </c>
      <c r="T44" s="1609" t="s">
        <v>28</v>
      </c>
      <c r="U44" s="1610">
        <f t="shared" si="13"/>
        <v>100</v>
      </c>
      <c r="V44" s="1609" t="s">
        <v>28</v>
      </c>
      <c r="W44" s="1610">
        <f t="shared" si="14"/>
        <v>100</v>
      </c>
      <c r="X44" s="1611"/>
      <c r="Y44" s="361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6"/>
      <c r="Q45" s="1544">
        <f t="shared" si="11"/>
        <v>111</v>
      </c>
      <c r="R45" s="1654" t="s">
        <v>28</v>
      </c>
      <c r="S45" s="1655">
        <f t="shared" si="12"/>
        <v>100</v>
      </c>
      <c r="T45" s="1654" t="s">
        <v>28</v>
      </c>
      <c r="U45" s="1655">
        <f t="shared" si="13"/>
        <v>100</v>
      </c>
      <c r="V45" s="1654" t="s">
        <v>28</v>
      </c>
      <c r="W45" s="1655">
        <f t="shared" si="14"/>
        <v>100</v>
      </c>
      <c r="X45" s="1594"/>
      <c r="Y45" s="361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7"/>
      <c r="Q46" s="1544">
        <f t="shared" si="11"/>
        <v>111</v>
      </c>
      <c r="R46" s="1654" t="s">
        <v>27</v>
      </c>
      <c r="S46" s="1655">
        <f t="shared" si="12"/>
        <v>100</v>
      </c>
      <c r="T46" s="1654" t="s">
        <v>27</v>
      </c>
      <c r="U46" s="1655">
        <f t="shared" si="13"/>
        <v>100</v>
      </c>
      <c r="V46" s="1654" t="s">
        <v>27</v>
      </c>
      <c r="W46" s="1655">
        <f t="shared" si="14"/>
        <v>100</v>
      </c>
      <c r="X46" s="1594"/>
      <c r="Y46" s="361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4" t="str">
        <f>A47</f>
        <v>成交单价（元/平方米）</v>
      </c>
      <c r="Q47" s="3624"/>
      <c r="R47" s="3625">
        <f>E47</f>
        <v>0</v>
      </c>
      <c r="S47" s="3625"/>
      <c r="T47" s="3625">
        <f>G47</f>
        <v>0</v>
      </c>
      <c r="U47" s="3625"/>
      <c r="V47" s="3625">
        <f>I47</f>
        <v>0</v>
      </c>
      <c r="W47" s="3625"/>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4" t="str">
        <f>A48</f>
        <v>比较价值（元/平方米）</v>
      </c>
      <c r="Q48" s="3624"/>
      <c r="R48" s="3625" t="e">
        <f>IF(E1="售价",ROUND(PRODUCT(R47,AA7:AA46),0),ROUND(PRODUCT(R47,AA7:AA46),1))</f>
        <v>#DIV/0!</v>
      </c>
      <c r="S48" s="3625"/>
      <c r="T48" s="3628" t="e">
        <f>IF(E1="售价",ROUND(PRODUCT(T47,AB7:AB46),0),ROUND(PRODUCT(T47,AB7:AB46),1))</f>
        <v>#DIV/0!</v>
      </c>
      <c r="U48" s="3629"/>
      <c r="V48" s="3625" t="e">
        <f>IF(E1="售价",ROUND(PRODUCT(V47,AC7:AC46),0),ROUND(PRODUCT(V47,AC7:AC46),1))</f>
        <v>#DIV/0!</v>
      </c>
      <c r="W48" s="3625"/>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134.34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2003"/>
      <c r="Y4" s="3598" t="s">
        <v>2012</v>
      </c>
      <c r="Z4" s="3599"/>
      <c r="AA4" s="3585" t="s">
        <v>2008</v>
      </c>
      <c r="AB4" s="3604" t="s">
        <v>2009</v>
      </c>
      <c r="AC4" s="3585" t="s">
        <v>2010</v>
      </c>
    </row>
    <row r="5" spans="1:29"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2003"/>
      <c r="Y5" s="3600"/>
      <c r="Z5" s="3601"/>
      <c r="AA5" s="3586"/>
      <c r="AB5" s="3604"/>
      <c r="AC5" s="3586"/>
    </row>
    <row r="6" spans="1:29"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2003"/>
      <c r="Y6" s="3602"/>
      <c r="Z6" s="3603"/>
      <c r="AA6" s="3587"/>
      <c r="AB6" s="3604"/>
      <c r="AC6" s="3587"/>
    </row>
    <row r="7" spans="1:29" s="1613" customFormat="1" ht="15.75" thickBot="1">
      <c r="A7" s="1601" t="s">
        <v>2019</v>
      </c>
      <c r="B7" s="1602"/>
      <c r="C7" s="1603">
        <f>'数据-取费表'!B2</f>
        <v>44756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3" t="s">
        <v>2026</v>
      </c>
      <c r="Q9" s="1994"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3"/>
      <c r="Q10" s="1994"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3"/>
      <c r="Q11" s="1994"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3"/>
      <c r="Q12" s="1994">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3"/>
      <c r="Q13" s="1994">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3"/>
      <c r="Q14" s="1994">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6" t="s">
        <v>2031</v>
      </c>
      <c r="Q15" s="2000" t="str">
        <f t="shared" si="6"/>
        <v>商业繁华度</v>
      </c>
      <c r="R15" s="1654" t="s">
        <v>25</v>
      </c>
      <c r="S15" s="1655">
        <f t="shared" si="0"/>
        <v>100</v>
      </c>
      <c r="T15" s="1654" t="s">
        <v>25</v>
      </c>
      <c r="U15" s="1655">
        <f t="shared" si="1"/>
        <v>100</v>
      </c>
      <c r="V15" s="1654" t="s">
        <v>25</v>
      </c>
      <c r="W15" s="1655">
        <f t="shared" si="2"/>
        <v>100</v>
      </c>
      <c r="X15" s="2003"/>
      <c r="Y15" s="361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7"/>
      <c r="Q16" s="2000"/>
      <c r="R16" s="1654"/>
      <c r="S16" s="1655"/>
      <c r="T16" s="1654"/>
      <c r="U16" s="1655"/>
      <c r="V16" s="1654"/>
      <c r="W16" s="1655"/>
      <c r="X16" s="2003"/>
      <c r="Y16" s="361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7"/>
      <c r="Q17" s="2000" t="str">
        <f>B17</f>
        <v>交通便捷度</v>
      </c>
      <c r="R17" s="1654" t="s">
        <v>25</v>
      </c>
      <c r="S17" s="1655">
        <f>F17</f>
        <v>100</v>
      </c>
      <c r="T17" s="1654" t="s">
        <v>25</v>
      </c>
      <c r="U17" s="1655">
        <f>H17</f>
        <v>100</v>
      </c>
      <c r="V17" s="1654" t="s">
        <v>25</v>
      </c>
      <c r="W17" s="1655">
        <f>J17</f>
        <v>100</v>
      </c>
      <c r="X17" s="2003"/>
      <c r="Y17" s="361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7"/>
      <c r="Q18" s="2000"/>
      <c r="R18" s="1654"/>
      <c r="S18" s="1655"/>
      <c r="T18" s="1654"/>
      <c r="U18" s="1655"/>
      <c r="V18" s="1654"/>
      <c r="W18" s="1655"/>
      <c r="X18" s="2003"/>
      <c r="Y18" s="361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7"/>
      <c r="Q19" s="2000" t="str">
        <f>B19</f>
        <v>公共配套设施</v>
      </c>
      <c r="R19" s="1654" t="s">
        <v>25</v>
      </c>
      <c r="S19" s="1655">
        <f>F19</f>
        <v>100</v>
      </c>
      <c r="T19" s="1654" t="s">
        <v>25</v>
      </c>
      <c r="U19" s="1655">
        <f>H19</f>
        <v>100</v>
      </c>
      <c r="V19" s="1654" t="s">
        <v>25</v>
      </c>
      <c r="W19" s="1655">
        <f>J19</f>
        <v>100</v>
      </c>
      <c r="X19" s="2003"/>
      <c r="Y19" s="361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7"/>
      <c r="Q20" s="2000"/>
      <c r="R20" s="1654"/>
      <c r="S20" s="1655"/>
      <c r="T20" s="1654"/>
      <c r="U20" s="1655"/>
      <c r="V20" s="1654"/>
      <c r="W20" s="1655"/>
      <c r="X20" s="2003"/>
      <c r="Y20" s="361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7"/>
      <c r="Q21" s="2000" t="str">
        <f>B21</f>
        <v>基础设施水平</v>
      </c>
      <c r="R21" s="1654" t="s">
        <v>25</v>
      </c>
      <c r="S21" s="1655">
        <f>F21</f>
        <v>100</v>
      </c>
      <c r="T21" s="1654" t="s">
        <v>25</v>
      </c>
      <c r="U21" s="1655">
        <f>H21</f>
        <v>100</v>
      </c>
      <c r="V21" s="1654" t="s">
        <v>25</v>
      </c>
      <c r="W21" s="1655">
        <f>J21</f>
        <v>100</v>
      </c>
      <c r="X21" s="2003"/>
      <c r="Y21" s="361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7"/>
      <c r="Q22" s="2000"/>
      <c r="R22" s="1654"/>
      <c r="S22" s="1655"/>
      <c r="T22" s="1654"/>
      <c r="U22" s="1655"/>
      <c r="V22" s="1654"/>
      <c r="W22" s="1655"/>
      <c r="X22" s="2003"/>
      <c r="Y22" s="361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7"/>
      <c r="Q23" s="2000" t="str">
        <f>B23</f>
        <v>自然及人文环境</v>
      </c>
      <c r="R23" s="1654" t="s">
        <v>25</v>
      </c>
      <c r="S23" s="1655">
        <f>F23</f>
        <v>100</v>
      </c>
      <c r="T23" s="1654" t="s">
        <v>25</v>
      </c>
      <c r="U23" s="1655">
        <f>H23</f>
        <v>100</v>
      </c>
      <c r="V23" s="1654" t="s">
        <v>25</v>
      </c>
      <c r="W23" s="1655">
        <f>J23</f>
        <v>100</v>
      </c>
      <c r="X23" s="2003"/>
      <c r="Y23" s="361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7"/>
      <c r="Q24" s="2000"/>
      <c r="R24" s="1654"/>
      <c r="S24" s="1655"/>
      <c r="T24" s="1654"/>
      <c r="U24" s="1655"/>
      <c r="V24" s="1654"/>
      <c r="W24" s="1655"/>
      <c r="X24" s="2003"/>
      <c r="Y24" s="361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7"/>
      <c r="Q25" s="2000" t="str">
        <f t="shared" ref="Q25:Q46" si="11">B25</f>
        <v>临街状况</v>
      </c>
      <c r="R25" s="1654" t="s">
        <v>25</v>
      </c>
      <c r="S25" s="1655">
        <f>F25</f>
        <v>100</v>
      </c>
      <c r="T25" s="1654" t="s">
        <v>25</v>
      </c>
      <c r="U25" s="1655">
        <f>H25</f>
        <v>100</v>
      </c>
      <c r="V25" s="1654" t="s">
        <v>25</v>
      </c>
      <c r="W25" s="1655">
        <f>J25</f>
        <v>100</v>
      </c>
      <c r="X25" s="2003"/>
      <c r="Y25" s="361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7"/>
      <c r="Q26" s="2000" t="str">
        <f t="shared" si="11"/>
        <v>平面位置/可视性</v>
      </c>
      <c r="R26" s="1654" t="s">
        <v>25</v>
      </c>
      <c r="S26" s="1655">
        <f>F26</f>
        <v>100</v>
      </c>
      <c r="T26" s="1654" t="s">
        <v>25</v>
      </c>
      <c r="U26" s="1655">
        <f>H26</f>
        <v>100</v>
      </c>
      <c r="V26" s="1654" t="s">
        <v>25</v>
      </c>
      <c r="W26" s="1655">
        <f>J26</f>
        <v>100</v>
      </c>
      <c r="X26" s="2003"/>
      <c r="Y26" s="361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7"/>
      <c r="Q27" s="1994" t="str">
        <f t="shared" si="11"/>
        <v>人流量</v>
      </c>
      <c r="R27" s="1609" t="s">
        <v>25</v>
      </c>
      <c r="S27" s="1610">
        <f>F27</f>
        <v>100</v>
      </c>
      <c r="T27" s="1609" t="s">
        <v>25</v>
      </c>
      <c r="U27" s="1610">
        <f>H27</f>
        <v>100</v>
      </c>
      <c r="V27" s="1609" t="s">
        <v>25</v>
      </c>
      <c r="W27" s="1610">
        <f>J27</f>
        <v>100</v>
      </c>
      <c r="X27" s="1611"/>
      <c r="Y27" s="361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7"/>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7"/>
      <c r="Q29" s="2000">
        <f t="shared" si="11"/>
        <v>111</v>
      </c>
      <c r="R29" s="1654" t="s">
        <v>25</v>
      </c>
      <c r="S29" s="1655">
        <f t="shared" si="12"/>
        <v>100</v>
      </c>
      <c r="T29" s="1654" t="s">
        <v>25</v>
      </c>
      <c r="U29" s="1655">
        <f t="shared" si="13"/>
        <v>100</v>
      </c>
      <c r="V29" s="1654" t="s">
        <v>25</v>
      </c>
      <c r="W29" s="1655">
        <f t="shared" si="14"/>
        <v>100</v>
      </c>
      <c r="X29" s="2003"/>
      <c r="Y29" s="361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7"/>
      <c r="Q30" s="2000">
        <f t="shared" si="11"/>
        <v>111</v>
      </c>
      <c r="R30" s="1654" t="s">
        <v>25</v>
      </c>
      <c r="S30" s="1655">
        <f t="shared" si="12"/>
        <v>100</v>
      </c>
      <c r="T30" s="1654" t="s">
        <v>25</v>
      </c>
      <c r="U30" s="1655">
        <f t="shared" si="13"/>
        <v>100</v>
      </c>
      <c r="V30" s="1654" t="s">
        <v>25</v>
      </c>
      <c r="W30" s="1655">
        <f t="shared" si="14"/>
        <v>100</v>
      </c>
      <c r="X30" s="2003"/>
      <c r="Y30" s="361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7"/>
      <c r="Q31" s="2000">
        <f t="shared" si="11"/>
        <v>111</v>
      </c>
      <c r="R31" s="1654" t="s">
        <v>25</v>
      </c>
      <c r="S31" s="1655">
        <f t="shared" si="12"/>
        <v>100</v>
      </c>
      <c r="T31" s="1654" t="s">
        <v>25</v>
      </c>
      <c r="U31" s="1655">
        <f t="shared" si="13"/>
        <v>100</v>
      </c>
      <c r="V31" s="1654" t="s">
        <v>25</v>
      </c>
      <c r="W31" s="1655">
        <f t="shared" si="14"/>
        <v>100</v>
      </c>
      <c r="X31" s="2003"/>
      <c r="Y31" s="361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5" t="s">
        <v>2037</v>
      </c>
      <c r="Q32" s="2000" t="str">
        <f t="shared" si="11"/>
        <v>商业类型</v>
      </c>
      <c r="R32" s="1654" t="s">
        <v>25</v>
      </c>
      <c r="S32" s="1655">
        <f t="shared" si="12"/>
        <v>100</v>
      </c>
      <c r="T32" s="1654" t="s">
        <v>25</v>
      </c>
      <c r="U32" s="1655">
        <f t="shared" si="13"/>
        <v>100</v>
      </c>
      <c r="V32" s="1654" t="s">
        <v>25</v>
      </c>
      <c r="W32" s="1655">
        <f t="shared" si="14"/>
        <v>100</v>
      </c>
      <c r="X32" s="2003"/>
      <c r="Y32" s="361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6"/>
      <c r="Q33" s="1695" t="str">
        <f t="shared" si="11"/>
        <v>项目建筑规模</v>
      </c>
      <c r="R33" s="1696" t="s">
        <v>25</v>
      </c>
      <c r="S33" s="1697" t="e">
        <f t="shared" si="12"/>
        <v>#N/A</v>
      </c>
      <c r="T33" s="1696" t="s">
        <v>25</v>
      </c>
      <c r="U33" s="1697" t="e">
        <f t="shared" si="13"/>
        <v>#N/A</v>
      </c>
      <c r="V33" s="1696" t="s">
        <v>25</v>
      </c>
      <c r="W33" s="1697" t="e">
        <f t="shared" si="14"/>
        <v>#N/A</v>
      </c>
      <c r="X33" s="1698"/>
      <c r="Y33" s="361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6"/>
      <c r="Q34" s="2000" t="str">
        <f t="shared" si="11"/>
        <v>建筑结构</v>
      </c>
      <c r="R34" s="1654" t="s">
        <v>25</v>
      </c>
      <c r="S34" s="1655">
        <f t="shared" si="12"/>
        <v>100</v>
      </c>
      <c r="T34" s="1654" t="s">
        <v>25</v>
      </c>
      <c r="U34" s="1655">
        <f t="shared" si="13"/>
        <v>100</v>
      </c>
      <c r="V34" s="1654" t="s">
        <v>25</v>
      </c>
      <c r="W34" s="1655">
        <f t="shared" si="14"/>
        <v>100</v>
      </c>
      <c r="X34" s="2003"/>
      <c r="Y34" s="361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6"/>
      <c r="Q35" s="2000" t="str">
        <f t="shared" si="11"/>
        <v>公共部分装修</v>
      </c>
      <c r="R35" s="1654" t="s">
        <v>25</v>
      </c>
      <c r="S35" s="1655">
        <f t="shared" si="12"/>
        <v>100</v>
      </c>
      <c r="T35" s="1654" t="s">
        <v>25</v>
      </c>
      <c r="U35" s="1655">
        <f t="shared" si="13"/>
        <v>100</v>
      </c>
      <c r="V35" s="1654" t="s">
        <v>25</v>
      </c>
      <c r="W35" s="1655">
        <f t="shared" si="14"/>
        <v>100</v>
      </c>
      <c r="X35" s="2003"/>
      <c r="Y35" s="361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6"/>
      <c r="Q36" s="2000" t="str">
        <f t="shared" si="11"/>
        <v>成新度</v>
      </c>
      <c r="R36" s="1654" t="s">
        <v>25</v>
      </c>
      <c r="S36" s="1655" t="e">
        <f t="shared" si="12"/>
        <v>#N/A</v>
      </c>
      <c r="T36" s="1654" t="s">
        <v>25</v>
      </c>
      <c r="U36" s="1655" t="e">
        <f t="shared" si="13"/>
        <v>#N/A</v>
      </c>
      <c r="V36" s="1654" t="s">
        <v>25</v>
      </c>
      <c r="W36" s="1655" t="e">
        <f t="shared" si="14"/>
        <v>#N/A</v>
      </c>
      <c r="X36" s="2003"/>
      <c r="Y36" s="361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6"/>
      <c r="Q37" s="1994" t="str">
        <f t="shared" si="11"/>
        <v>市政基础设施</v>
      </c>
      <c r="R37" s="1609" t="s">
        <v>25</v>
      </c>
      <c r="S37" s="1610">
        <f t="shared" si="12"/>
        <v>100</v>
      </c>
      <c r="T37" s="1609" t="s">
        <v>25</v>
      </c>
      <c r="U37" s="1610">
        <f t="shared" si="13"/>
        <v>100</v>
      </c>
      <c r="V37" s="1609" t="s">
        <v>25</v>
      </c>
      <c r="W37" s="1610">
        <f t="shared" si="14"/>
        <v>100</v>
      </c>
      <c r="X37" s="1611"/>
      <c r="Y37" s="361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6" t="s">
        <v>2037</v>
      </c>
      <c r="Q38" s="2000" t="str">
        <f t="shared" si="11"/>
        <v>业态</v>
      </c>
      <c r="R38" s="1654" t="s">
        <v>25</v>
      </c>
      <c r="S38" s="1655">
        <f t="shared" si="12"/>
        <v>100</v>
      </c>
      <c r="T38" s="1654" t="s">
        <v>25</v>
      </c>
      <c r="U38" s="1655">
        <f t="shared" si="13"/>
        <v>100</v>
      </c>
      <c r="V38" s="1654" t="s">
        <v>25</v>
      </c>
      <c r="W38" s="1655">
        <f t="shared" si="14"/>
        <v>100</v>
      </c>
      <c r="X38" s="2003"/>
      <c r="Y38" s="361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6"/>
      <c r="Q39" s="2000" t="str">
        <f t="shared" si="11"/>
        <v>层高</v>
      </c>
      <c r="R39" s="1654" t="s">
        <v>25</v>
      </c>
      <c r="S39" s="1655">
        <f t="shared" si="12"/>
        <v>100</v>
      </c>
      <c r="T39" s="1654" t="s">
        <v>25</v>
      </c>
      <c r="U39" s="1655">
        <f t="shared" si="13"/>
        <v>100</v>
      </c>
      <c r="V39" s="1654" t="s">
        <v>25</v>
      </c>
      <c r="W39" s="1655">
        <f t="shared" si="14"/>
        <v>100</v>
      </c>
      <c r="X39" s="2003"/>
      <c r="Y39" s="361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6"/>
      <c r="Q40" s="2000" t="str">
        <f t="shared" si="11"/>
        <v>单套建筑面积</v>
      </c>
      <c r="R40" s="1654" t="s">
        <v>25</v>
      </c>
      <c r="S40" s="1655">
        <f t="shared" si="12"/>
        <v>100</v>
      </c>
      <c r="T40" s="1654" t="s">
        <v>25</v>
      </c>
      <c r="U40" s="1655">
        <f t="shared" si="13"/>
        <v>100</v>
      </c>
      <c r="V40" s="1654" t="s">
        <v>25</v>
      </c>
      <c r="W40" s="1655">
        <f t="shared" si="14"/>
        <v>100</v>
      </c>
      <c r="X40" s="2003"/>
      <c r="Y40" s="361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6"/>
      <c r="Q41" s="1695" t="str">
        <f t="shared" si="11"/>
        <v>进深比</v>
      </c>
      <c r="R41" s="1696" t="s">
        <v>25</v>
      </c>
      <c r="S41" s="1697">
        <f t="shared" si="12"/>
        <v>100</v>
      </c>
      <c r="T41" s="1696" t="s">
        <v>25</v>
      </c>
      <c r="U41" s="1697">
        <f t="shared" si="13"/>
        <v>100</v>
      </c>
      <c r="V41" s="1696" t="s">
        <v>25</v>
      </c>
      <c r="W41" s="1697">
        <f t="shared" si="14"/>
        <v>100</v>
      </c>
      <c r="X41" s="1698"/>
      <c r="Y41" s="361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6"/>
      <c r="Q42" s="2000" t="str">
        <f t="shared" si="11"/>
        <v>内部装修</v>
      </c>
      <c r="R42" s="1654" t="s">
        <v>25</v>
      </c>
      <c r="S42" s="1655">
        <f t="shared" si="12"/>
        <v>100</v>
      </c>
      <c r="T42" s="1654" t="s">
        <v>25</v>
      </c>
      <c r="U42" s="1655">
        <f t="shared" si="13"/>
        <v>100</v>
      </c>
      <c r="V42" s="1654" t="s">
        <v>25</v>
      </c>
      <c r="W42" s="1655">
        <f t="shared" si="14"/>
        <v>100</v>
      </c>
      <c r="X42" s="2003"/>
      <c r="Y42" s="361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6"/>
      <c r="Q43" s="2000" t="str">
        <f t="shared" si="11"/>
        <v>内部装修维护情况</v>
      </c>
      <c r="R43" s="1654" t="s">
        <v>25</v>
      </c>
      <c r="S43" s="1655">
        <f t="shared" si="12"/>
        <v>100</v>
      </c>
      <c r="T43" s="1654" t="s">
        <v>25</v>
      </c>
      <c r="U43" s="1655">
        <f t="shared" si="13"/>
        <v>100</v>
      </c>
      <c r="V43" s="1654" t="s">
        <v>25</v>
      </c>
      <c r="W43" s="1655">
        <f t="shared" si="14"/>
        <v>100</v>
      </c>
      <c r="X43" s="2003"/>
      <c r="Y43" s="361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6"/>
      <c r="Q44" s="1994">
        <f t="shared" si="11"/>
        <v>111</v>
      </c>
      <c r="R44" s="1609" t="s">
        <v>25</v>
      </c>
      <c r="S44" s="1610">
        <f t="shared" si="12"/>
        <v>100</v>
      </c>
      <c r="T44" s="1609" t="s">
        <v>25</v>
      </c>
      <c r="U44" s="1610">
        <f t="shared" si="13"/>
        <v>100</v>
      </c>
      <c r="V44" s="1609" t="s">
        <v>25</v>
      </c>
      <c r="W44" s="1610">
        <f t="shared" si="14"/>
        <v>100</v>
      </c>
      <c r="X44" s="1611"/>
      <c r="Y44" s="361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6"/>
      <c r="Q45" s="2000">
        <f t="shared" si="11"/>
        <v>111</v>
      </c>
      <c r="R45" s="1654" t="s">
        <v>25</v>
      </c>
      <c r="S45" s="1655">
        <f t="shared" si="12"/>
        <v>100</v>
      </c>
      <c r="T45" s="1654" t="s">
        <v>25</v>
      </c>
      <c r="U45" s="1655">
        <f t="shared" si="13"/>
        <v>100</v>
      </c>
      <c r="V45" s="1654" t="s">
        <v>25</v>
      </c>
      <c r="W45" s="1655">
        <f t="shared" si="14"/>
        <v>100</v>
      </c>
      <c r="X45" s="2003"/>
      <c r="Y45" s="361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7"/>
      <c r="Q46" s="2000">
        <f t="shared" si="11"/>
        <v>111</v>
      </c>
      <c r="R46" s="1654" t="s">
        <v>25</v>
      </c>
      <c r="S46" s="1655">
        <f t="shared" si="12"/>
        <v>100</v>
      </c>
      <c r="T46" s="1654" t="s">
        <v>25</v>
      </c>
      <c r="U46" s="1655">
        <f t="shared" si="13"/>
        <v>100</v>
      </c>
      <c r="V46" s="1654" t="s">
        <v>25</v>
      </c>
      <c r="W46" s="1655">
        <f t="shared" si="14"/>
        <v>100</v>
      </c>
      <c r="X46" s="2003"/>
      <c r="Y46" s="361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4" t="str">
        <f>A47</f>
        <v>成交单价（元/平方米）</v>
      </c>
      <c r="Q47" s="3624"/>
      <c r="R47" s="3625">
        <f>E47</f>
        <v>0</v>
      </c>
      <c r="S47" s="3625"/>
      <c r="T47" s="3625">
        <f>G47</f>
        <v>0</v>
      </c>
      <c r="U47" s="3625"/>
      <c r="V47" s="3625">
        <f>I47</f>
        <v>0</v>
      </c>
      <c r="W47" s="3625"/>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4" t="str">
        <f>A48</f>
        <v>比较价值（元/平方米）</v>
      </c>
      <c r="Q48" s="3624"/>
      <c r="R48" s="3625" t="e">
        <f>IF(E1="售价",ROUND(PRODUCT(R47,AA7:AA46),0),ROUND(PRODUCT(R47,AA7:AA46),1))</f>
        <v>#DIV/0!</v>
      </c>
      <c r="S48" s="3625"/>
      <c r="T48" s="3625" t="e">
        <f>IF(E1="售价",ROUND(PRODUCT(T47,AB7:AB46),0),ROUND(PRODUCT(T47,AB7:AB46),1))</f>
        <v>#DIV/0!</v>
      </c>
      <c r="U48" s="3625"/>
      <c r="V48" s="3625" t="e">
        <f>IF(E1="售价",ROUND(PRODUCT(V47,AC7:AC46),0),ROUND(PRODUCT(V47,AC7:AC46),1))</f>
        <v>#DIV/0!</v>
      </c>
      <c r="W48" s="3625"/>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30" t="str">
        <f>A49</f>
        <v>估价对象XX用房的比较价值（楼面单价，元/平方米）</v>
      </c>
      <c r="Q49" s="3631"/>
      <c r="R49" s="3632" t="e">
        <f>IF(E1="售价",ROUND(IF(D48="简单平均",AVERAGE(R48:V48),R48*F48+T48*H48+V48*J48),0),ROUND(IF(D48="简单平均",AVERAGE(R48:V48),R48*F48+T48*H48+V48*J48),1))</f>
        <v>#DIV/0!</v>
      </c>
      <c r="S49" s="3632"/>
      <c r="T49" s="3632"/>
      <c r="U49" s="3632"/>
      <c r="V49" s="3632"/>
      <c r="W49" s="3632"/>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134.34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2003"/>
      <c r="Y4" s="3598" t="s">
        <v>2012</v>
      </c>
      <c r="Z4" s="3599"/>
      <c r="AA4" s="3585" t="s">
        <v>2008</v>
      </c>
      <c r="AB4" s="3585" t="s">
        <v>2009</v>
      </c>
      <c r="AC4" s="3585" t="s">
        <v>2010</v>
      </c>
    </row>
    <row r="5" spans="1:29"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2003"/>
      <c r="Y5" s="3600"/>
      <c r="Z5" s="3601"/>
      <c r="AA5" s="3586"/>
      <c r="AB5" s="3586"/>
      <c r="AC5" s="3586"/>
    </row>
    <row r="6" spans="1:29"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2003"/>
      <c r="Y6" s="3602"/>
      <c r="Z6" s="3603"/>
      <c r="AA6" s="3587"/>
      <c r="AB6" s="3587"/>
      <c r="AC6" s="3587"/>
    </row>
    <row r="7" spans="1:29" s="1613" customFormat="1" ht="15.75" thickBot="1">
      <c r="A7" s="1601" t="s">
        <v>2019</v>
      </c>
      <c r="B7" s="1602"/>
      <c r="C7" s="1603">
        <f>'数据-取费表'!B2</f>
        <v>44756</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4" t="s">
        <v>2026</v>
      </c>
      <c r="Q9" s="283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4"/>
      <c r="Q10" s="283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24"/>
      <c r="Q11" s="283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4"/>
      <c r="Q12" s="2833">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4"/>
      <c r="Q13" s="2833">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4"/>
      <c r="Q14" s="2833">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3" t="s">
        <v>2031</v>
      </c>
      <c r="Q15" s="2834" t="str">
        <f t="shared" si="6"/>
        <v>办公集聚程度</v>
      </c>
      <c r="R15" s="1654" t="s">
        <v>25</v>
      </c>
      <c r="S15" s="1655">
        <f t="shared" si="0"/>
        <v>100</v>
      </c>
      <c r="T15" s="1654" t="s">
        <v>25</v>
      </c>
      <c r="U15" s="1655">
        <f t="shared" si="1"/>
        <v>100</v>
      </c>
      <c r="V15" s="1654" t="s">
        <v>25</v>
      </c>
      <c r="W15" s="1655">
        <f t="shared" si="2"/>
        <v>100</v>
      </c>
      <c r="X15" s="2003"/>
      <c r="Y15" s="361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4"/>
      <c r="Q16" s="2834"/>
      <c r="R16" s="1654"/>
      <c r="S16" s="1655"/>
      <c r="T16" s="1654"/>
      <c r="U16" s="1655"/>
      <c r="V16" s="1654"/>
      <c r="W16" s="1655"/>
      <c r="X16" s="2003"/>
      <c r="Y16" s="361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4"/>
      <c r="Q17" s="2834" t="str">
        <f>B17</f>
        <v>交通便捷度</v>
      </c>
      <c r="R17" s="1654" t="s">
        <v>25</v>
      </c>
      <c r="S17" s="1655">
        <f>F17</f>
        <v>100</v>
      </c>
      <c r="T17" s="1654" t="s">
        <v>25</v>
      </c>
      <c r="U17" s="1655">
        <f>H17</f>
        <v>100</v>
      </c>
      <c r="V17" s="1654" t="s">
        <v>25</v>
      </c>
      <c r="W17" s="1655">
        <f>J17</f>
        <v>100</v>
      </c>
      <c r="X17" s="2003"/>
      <c r="Y17" s="361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4"/>
      <c r="Q18" s="2834"/>
      <c r="R18" s="1654"/>
      <c r="S18" s="1655"/>
      <c r="T18" s="1654"/>
      <c r="U18" s="1655"/>
      <c r="V18" s="1654"/>
      <c r="W18" s="1655"/>
      <c r="X18" s="2003"/>
      <c r="Y18" s="361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4"/>
      <c r="Q19" s="2834" t="str">
        <f>B19</f>
        <v>公共配套设施</v>
      </c>
      <c r="R19" s="1654" t="s">
        <v>25</v>
      </c>
      <c r="S19" s="1655">
        <f>F19</f>
        <v>100</v>
      </c>
      <c r="T19" s="1654" t="s">
        <v>25</v>
      </c>
      <c r="U19" s="1655">
        <f>H19</f>
        <v>100</v>
      </c>
      <c r="V19" s="1654" t="s">
        <v>25</v>
      </c>
      <c r="W19" s="1655">
        <f>J19</f>
        <v>100</v>
      </c>
      <c r="X19" s="2003"/>
      <c r="Y19" s="361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4"/>
      <c r="Q20" s="2834"/>
      <c r="R20" s="1654"/>
      <c r="S20" s="1655"/>
      <c r="T20" s="1654"/>
      <c r="U20" s="1655"/>
      <c r="V20" s="1654"/>
      <c r="W20" s="1655"/>
      <c r="X20" s="2003"/>
      <c r="Y20" s="361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4"/>
      <c r="Q21" s="2834" t="str">
        <f>B21</f>
        <v>基础设施水平</v>
      </c>
      <c r="R21" s="1654" t="s">
        <v>25</v>
      </c>
      <c r="S21" s="1655">
        <f>F21</f>
        <v>100</v>
      </c>
      <c r="T21" s="1654" t="s">
        <v>25</v>
      </c>
      <c r="U21" s="1655">
        <f>H21</f>
        <v>100</v>
      </c>
      <c r="V21" s="1654" t="s">
        <v>25</v>
      </c>
      <c r="W21" s="1655">
        <f>J21</f>
        <v>100</v>
      </c>
      <c r="X21" s="2003"/>
      <c r="Y21" s="361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4"/>
      <c r="Q22" s="2834"/>
      <c r="R22" s="1654"/>
      <c r="S22" s="1655"/>
      <c r="T22" s="1654"/>
      <c r="U22" s="1655"/>
      <c r="V22" s="1654"/>
      <c r="W22" s="1655"/>
      <c r="X22" s="2003"/>
      <c r="Y22" s="361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4"/>
      <c r="Q23" s="2834" t="str">
        <f>B23</f>
        <v>环境质量</v>
      </c>
      <c r="R23" s="1654" t="s">
        <v>25</v>
      </c>
      <c r="S23" s="1655">
        <f>F23</f>
        <v>100</v>
      </c>
      <c r="T23" s="1654" t="s">
        <v>25</v>
      </c>
      <c r="U23" s="1655">
        <f>H23</f>
        <v>100</v>
      </c>
      <c r="V23" s="1654" t="s">
        <v>25</v>
      </c>
      <c r="W23" s="1655">
        <f>J23</f>
        <v>100</v>
      </c>
      <c r="X23" s="2003"/>
      <c r="Y23" s="361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4"/>
      <c r="Q24" s="2834"/>
      <c r="R24" s="1654"/>
      <c r="S24" s="1655"/>
      <c r="T24" s="1654"/>
      <c r="U24" s="1655"/>
      <c r="V24" s="1654"/>
      <c r="W24" s="1655"/>
      <c r="X24" s="2003"/>
      <c r="Y24" s="361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4"/>
      <c r="Q25" s="2834" t="str">
        <f>B25</f>
        <v>毗邻道路的类型与等级</v>
      </c>
      <c r="R25" s="1654" t="s">
        <v>25</v>
      </c>
      <c r="S25" s="1655">
        <f>F25</f>
        <v>100</v>
      </c>
      <c r="T25" s="1654" t="s">
        <v>25</v>
      </c>
      <c r="U25" s="1655">
        <f>H25</f>
        <v>100</v>
      </c>
      <c r="V25" s="1654" t="s">
        <v>25</v>
      </c>
      <c r="W25" s="1655">
        <f>J25</f>
        <v>100</v>
      </c>
      <c r="X25" s="2003"/>
      <c r="Y25" s="361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4"/>
      <c r="Q26" s="2834"/>
      <c r="R26" s="1654"/>
      <c r="S26" s="1655"/>
      <c r="T26" s="1654"/>
      <c r="U26" s="1655"/>
      <c r="V26" s="1654"/>
      <c r="W26" s="1655"/>
      <c r="X26" s="2003"/>
      <c r="Y26" s="361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14"/>
      <c r="Q27" s="2834" t="str">
        <f t="shared" ref="Q27:Q47" si="11">B27</f>
        <v>楼层</v>
      </c>
      <c r="R27" s="1654" t="s">
        <v>25</v>
      </c>
      <c r="S27" s="1655">
        <f>F27</f>
        <v>100</v>
      </c>
      <c r="T27" s="1654" t="s">
        <v>25</v>
      </c>
      <c r="U27" s="1655">
        <f>H27</f>
        <v>100</v>
      </c>
      <c r="V27" s="1654" t="s">
        <v>25</v>
      </c>
      <c r="W27" s="1655">
        <f>J27</f>
        <v>100</v>
      </c>
      <c r="X27" s="2003"/>
      <c r="Y27" s="361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4"/>
      <c r="Q28" s="2833" t="str">
        <f t="shared" si="11"/>
        <v>朝向</v>
      </c>
      <c r="R28" s="1609" t="s">
        <v>25</v>
      </c>
      <c r="S28" s="1610">
        <f>F28</f>
        <v>100</v>
      </c>
      <c r="T28" s="1609" t="s">
        <v>25</v>
      </c>
      <c r="U28" s="1610">
        <f>H28</f>
        <v>100</v>
      </c>
      <c r="V28" s="1609" t="s">
        <v>25</v>
      </c>
      <c r="W28" s="1610">
        <f>J28</f>
        <v>100</v>
      </c>
      <c r="X28" s="1611"/>
      <c r="Y28" s="361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4"/>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4"/>
      <c r="Q30" s="2834">
        <f t="shared" si="11"/>
        <v>111</v>
      </c>
      <c r="R30" s="1654" t="s">
        <v>25</v>
      </c>
      <c r="S30" s="1655">
        <f t="shared" si="12"/>
        <v>100</v>
      </c>
      <c r="T30" s="1654" t="s">
        <v>25</v>
      </c>
      <c r="U30" s="1655">
        <f t="shared" si="13"/>
        <v>100</v>
      </c>
      <c r="V30" s="1654" t="s">
        <v>25</v>
      </c>
      <c r="W30" s="1655">
        <f t="shared" si="14"/>
        <v>100</v>
      </c>
      <c r="X30" s="2003"/>
      <c r="Y30" s="361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4"/>
      <c r="Q31" s="2834">
        <f t="shared" si="11"/>
        <v>111</v>
      </c>
      <c r="R31" s="1654" t="s">
        <v>25</v>
      </c>
      <c r="S31" s="1655">
        <f t="shared" si="12"/>
        <v>100</v>
      </c>
      <c r="T31" s="1654" t="s">
        <v>25</v>
      </c>
      <c r="U31" s="1655">
        <f t="shared" si="13"/>
        <v>100</v>
      </c>
      <c r="V31" s="1654" t="s">
        <v>25</v>
      </c>
      <c r="W31" s="1655">
        <f t="shared" si="14"/>
        <v>100</v>
      </c>
      <c r="X31" s="2003"/>
      <c r="Y31" s="361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4"/>
      <c r="Q32" s="2834">
        <f t="shared" si="11"/>
        <v>111</v>
      </c>
      <c r="R32" s="1654" t="s">
        <v>25</v>
      </c>
      <c r="S32" s="1655">
        <f t="shared" si="12"/>
        <v>100</v>
      </c>
      <c r="T32" s="1654" t="s">
        <v>25</v>
      </c>
      <c r="U32" s="1655">
        <f t="shared" si="13"/>
        <v>100</v>
      </c>
      <c r="V32" s="1654" t="s">
        <v>25</v>
      </c>
      <c r="W32" s="1655">
        <f t="shared" si="14"/>
        <v>100</v>
      </c>
      <c r="X32" s="2003"/>
      <c r="Y32" s="361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3" t="s">
        <v>2037</v>
      </c>
      <c r="Q33" s="2834" t="str">
        <f t="shared" si="11"/>
        <v>建筑类型</v>
      </c>
      <c r="R33" s="1654" t="s">
        <v>25</v>
      </c>
      <c r="S33" s="1655">
        <f t="shared" si="12"/>
        <v>100</v>
      </c>
      <c r="T33" s="1654" t="s">
        <v>25</v>
      </c>
      <c r="U33" s="1655">
        <f t="shared" si="13"/>
        <v>100</v>
      </c>
      <c r="V33" s="1654" t="s">
        <v>25</v>
      </c>
      <c r="W33" s="1655">
        <f t="shared" si="14"/>
        <v>100</v>
      </c>
      <c r="X33" s="2003"/>
      <c r="Y33" s="361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8"/>
      <c r="Q34" s="1695" t="str">
        <f t="shared" si="11"/>
        <v>项目建筑规模</v>
      </c>
      <c r="R34" s="1696" t="s">
        <v>25</v>
      </c>
      <c r="S34" s="1697" t="e">
        <f t="shared" si="12"/>
        <v>#N/A</v>
      </c>
      <c r="T34" s="1696" t="s">
        <v>25</v>
      </c>
      <c r="U34" s="1697" t="e">
        <f t="shared" si="13"/>
        <v>#N/A</v>
      </c>
      <c r="V34" s="1696" t="s">
        <v>25</v>
      </c>
      <c r="W34" s="1697" t="e">
        <f t="shared" si="14"/>
        <v>#N/A</v>
      </c>
      <c r="X34" s="1698"/>
      <c r="Y34" s="361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8"/>
      <c r="Q35" s="2834" t="str">
        <f t="shared" si="11"/>
        <v>建筑结构</v>
      </c>
      <c r="R35" s="1654" t="s">
        <v>25</v>
      </c>
      <c r="S35" s="1655">
        <f t="shared" si="12"/>
        <v>100</v>
      </c>
      <c r="T35" s="1654" t="s">
        <v>25</v>
      </c>
      <c r="U35" s="1655">
        <f t="shared" si="13"/>
        <v>100</v>
      </c>
      <c r="V35" s="1654" t="s">
        <v>25</v>
      </c>
      <c r="W35" s="1655">
        <f t="shared" si="14"/>
        <v>100</v>
      </c>
      <c r="X35" s="2003"/>
      <c r="Y35" s="361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8"/>
      <c r="Q36" s="2834" t="str">
        <f t="shared" si="11"/>
        <v>公共部分装修</v>
      </c>
      <c r="R36" s="1654" t="s">
        <v>25</v>
      </c>
      <c r="S36" s="1655">
        <f t="shared" si="12"/>
        <v>100</v>
      </c>
      <c r="T36" s="1654" t="s">
        <v>25</v>
      </c>
      <c r="U36" s="1655">
        <f t="shared" si="13"/>
        <v>100</v>
      </c>
      <c r="V36" s="1654" t="s">
        <v>25</v>
      </c>
      <c r="W36" s="1655">
        <f t="shared" si="14"/>
        <v>100</v>
      </c>
      <c r="X36" s="2003"/>
      <c r="Y36" s="361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8"/>
      <c r="Q37" s="2834" t="str">
        <f t="shared" si="11"/>
        <v>成新度</v>
      </c>
      <c r="R37" s="1654" t="s">
        <v>25</v>
      </c>
      <c r="S37" s="1655" t="e">
        <f t="shared" si="12"/>
        <v>#N/A</v>
      </c>
      <c r="T37" s="1654" t="s">
        <v>25</v>
      </c>
      <c r="U37" s="1655" t="e">
        <f t="shared" si="13"/>
        <v>#N/A</v>
      </c>
      <c r="V37" s="1654" t="s">
        <v>25</v>
      </c>
      <c r="W37" s="1655" t="e">
        <f t="shared" si="14"/>
        <v>#N/A</v>
      </c>
      <c r="X37" s="2003"/>
      <c r="Y37" s="361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8"/>
      <c r="Q38" s="2833" t="str">
        <f t="shared" si="11"/>
        <v>写字楼等级</v>
      </c>
      <c r="R38" s="1609" t="s">
        <v>25</v>
      </c>
      <c r="S38" s="1610">
        <f t="shared" si="12"/>
        <v>100</v>
      </c>
      <c r="T38" s="1609" t="s">
        <v>25</v>
      </c>
      <c r="U38" s="1610">
        <f t="shared" si="13"/>
        <v>100</v>
      </c>
      <c r="V38" s="1609" t="s">
        <v>25</v>
      </c>
      <c r="W38" s="1610">
        <f t="shared" si="14"/>
        <v>100</v>
      </c>
      <c r="X38" s="1611"/>
      <c r="Y38" s="361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8" t="s">
        <v>2037</v>
      </c>
      <c r="Q39" s="2834" t="str">
        <f t="shared" si="11"/>
        <v>物业管理</v>
      </c>
      <c r="R39" s="1654" t="s">
        <v>25</v>
      </c>
      <c r="S39" s="1655">
        <f t="shared" si="12"/>
        <v>100</v>
      </c>
      <c r="T39" s="1654" t="s">
        <v>25</v>
      </c>
      <c r="U39" s="1655">
        <f t="shared" si="13"/>
        <v>100</v>
      </c>
      <c r="V39" s="1654" t="s">
        <v>25</v>
      </c>
      <c r="W39" s="1655">
        <f t="shared" si="14"/>
        <v>100</v>
      </c>
      <c r="X39" s="2003"/>
      <c r="Y39" s="361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8"/>
      <c r="Q40" s="2834" t="str">
        <f t="shared" si="11"/>
        <v>市政基础设施</v>
      </c>
      <c r="R40" s="1654" t="s">
        <v>25</v>
      </c>
      <c r="S40" s="1655">
        <f t="shared" si="12"/>
        <v>100</v>
      </c>
      <c r="T40" s="1654" t="s">
        <v>25</v>
      </c>
      <c r="U40" s="1655">
        <f t="shared" si="13"/>
        <v>100</v>
      </c>
      <c r="V40" s="1654" t="s">
        <v>25</v>
      </c>
      <c r="W40" s="1655">
        <f t="shared" si="14"/>
        <v>100</v>
      </c>
      <c r="X40" s="2003"/>
      <c r="Y40" s="361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8"/>
      <c r="Q41" s="2834" t="str">
        <f t="shared" si="11"/>
        <v>层高</v>
      </c>
      <c r="R41" s="1654" t="s">
        <v>25</v>
      </c>
      <c r="S41" s="1655">
        <f t="shared" si="12"/>
        <v>100</v>
      </c>
      <c r="T41" s="1654" t="s">
        <v>25</v>
      </c>
      <c r="U41" s="1655">
        <f t="shared" si="13"/>
        <v>100</v>
      </c>
      <c r="V41" s="1654" t="s">
        <v>25</v>
      </c>
      <c r="W41" s="1655">
        <f t="shared" si="14"/>
        <v>100</v>
      </c>
      <c r="X41" s="2003"/>
      <c r="Y41" s="361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8"/>
      <c r="Q42" s="1695" t="str">
        <f t="shared" si="11"/>
        <v>单套建筑面积</v>
      </c>
      <c r="R42" s="1696" t="s">
        <v>25</v>
      </c>
      <c r="S42" s="1697">
        <f t="shared" si="12"/>
        <v>100</v>
      </c>
      <c r="T42" s="1696" t="s">
        <v>25</v>
      </c>
      <c r="U42" s="1697">
        <f t="shared" si="13"/>
        <v>100</v>
      </c>
      <c r="V42" s="1696" t="s">
        <v>25</v>
      </c>
      <c r="W42" s="1697">
        <f t="shared" si="14"/>
        <v>100</v>
      </c>
      <c r="X42" s="1698"/>
      <c r="Y42" s="361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8"/>
      <c r="Q43" s="2834" t="str">
        <f t="shared" si="11"/>
        <v>内部装修</v>
      </c>
      <c r="R43" s="1654" t="s">
        <v>25</v>
      </c>
      <c r="S43" s="1655">
        <f t="shared" si="12"/>
        <v>100</v>
      </c>
      <c r="T43" s="1654" t="s">
        <v>25</v>
      </c>
      <c r="U43" s="1655">
        <f t="shared" si="13"/>
        <v>100</v>
      </c>
      <c r="V43" s="1654" t="s">
        <v>25</v>
      </c>
      <c r="W43" s="1655">
        <f t="shared" si="14"/>
        <v>100</v>
      </c>
      <c r="X43" s="2003"/>
      <c r="Y43" s="361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8"/>
      <c r="Q44" s="2834" t="str">
        <f t="shared" si="11"/>
        <v>内部装修维护情况</v>
      </c>
      <c r="R44" s="1654" t="s">
        <v>25</v>
      </c>
      <c r="S44" s="1655">
        <f t="shared" si="12"/>
        <v>100</v>
      </c>
      <c r="T44" s="1654" t="s">
        <v>25</v>
      </c>
      <c r="U44" s="1655">
        <f t="shared" si="13"/>
        <v>100</v>
      </c>
      <c r="V44" s="1654" t="s">
        <v>25</v>
      </c>
      <c r="W44" s="1655">
        <f t="shared" si="14"/>
        <v>100</v>
      </c>
      <c r="X44" s="2003"/>
      <c r="Y44" s="361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8"/>
      <c r="Q45" s="2833">
        <f t="shared" si="11"/>
        <v>111</v>
      </c>
      <c r="R45" s="1609" t="s">
        <v>25</v>
      </c>
      <c r="S45" s="1610">
        <f t="shared" si="12"/>
        <v>100</v>
      </c>
      <c r="T45" s="1609" t="s">
        <v>25</v>
      </c>
      <c r="U45" s="1610">
        <f t="shared" si="13"/>
        <v>100</v>
      </c>
      <c r="V45" s="1609" t="s">
        <v>25</v>
      </c>
      <c r="W45" s="1610">
        <f t="shared" si="14"/>
        <v>100</v>
      </c>
      <c r="X45" s="1611"/>
      <c r="Y45" s="361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8"/>
      <c r="Q46" s="2834">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9"/>
      <c r="Q47" s="2834">
        <f t="shared" si="11"/>
        <v>111</v>
      </c>
      <c r="R47" s="1654" t="s">
        <v>25</v>
      </c>
      <c r="S47" s="1655">
        <f t="shared" si="12"/>
        <v>100</v>
      </c>
      <c r="T47" s="1654" t="s">
        <v>25</v>
      </c>
      <c r="U47" s="1655">
        <f t="shared" si="13"/>
        <v>100</v>
      </c>
      <c r="V47" s="1654" t="s">
        <v>25</v>
      </c>
      <c r="W47" s="1655">
        <f t="shared" si="14"/>
        <v>100</v>
      </c>
      <c r="X47" s="2003"/>
      <c r="Y47" s="361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24" t="str">
        <f>A48</f>
        <v>成交单价（元/平方米）</v>
      </c>
      <c r="Q48" s="3624"/>
      <c r="R48" s="3625">
        <f>E48</f>
        <v>0</v>
      </c>
      <c r="S48" s="3625"/>
      <c r="T48" s="3625">
        <f>G48</f>
        <v>0</v>
      </c>
      <c r="U48" s="3625"/>
      <c r="V48" s="3625">
        <f>I48</f>
        <v>0</v>
      </c>
      <c r="W48" s="3625"/>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24" t="str">
        <f>A49</f>
        <v>比较价值（元/平方米）</v>
      </c>
      <c r="Q49" s="3624"/>
      <c r="R49" s="3625" t="e">
        <f>IF(E1="售价",ROUND(PRODUCT(R48,AA7:AA47),0),ROUND(PRODUCT(R48,AA7:AA47),1))</f>
        <v>#DIV/0!</v>
      </c>
      <c r="S49" s="3625"/>
      <c r="T49" s="3625" t="e">
        <f>IF(E1="售价",ROUND(PRODUCT(T48,AB7:AB47),0),ROUND(PRODUCT(T48,AB7:AB47),1))</f>
        <v>#DIV/0!</v>
      </c>
      <c r="U49" s="3625"/>
      <c r="V49" s="3625" t="e">
        <f>IF(E1="售价",ROUND(PRODUCT(V48,AC7:AC47),0),ROUND(PRODUCT(V48,AC7:AC47),1))</f>
        <v>#DIV/0!</v>
      </c>
      <c r="W49" s="3625"/>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30" t="str">
        <f>A50</f>
        <v>估价对象XX用房的比较价值（楼面单价，元/平方米）</v>
      </c>
      <c r="Q50" s="3631"/>
      <c r="R50" s="3632" t="e">
        <f>IF(E1="售价",ROUND(IF(D49="简单平均",AVERAGE(R49:V49),R49*F49+T49*H49+V49*J49),0),ROUND(IF(D49="简单平均",AVERAGE(R49:V49),R49*F49+T49*H49+V49*J49),1))</f>
        <v>#DIV/0!</v>
      </c>
      <c r="S50" s="3632"/>
      <c r="T50" s="3632"/>
      <c r="U50" s="3632"/>
      <c r="V50" s="3632"/>
      <c r="W50" s="3632"/>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2022-7</v>
      </c>
      <c r="D59" s="1754">
        <f>EDATE(C59,-1)</f>
        <v>44713</v>
      </c>
      <c r="E59" s="1754">
        <f t="shared" ref="E59:O59" si="16">EDATE(D59,-1)</f>
        <v>44682</v>
      </c>
      <c r="F59" s="1754">
        <f t="shared" si="16"/>
        <v>44652</v>
      </c>
      <c r="G59" s="1754">
        <f t="shared" si="16"/>
        <v>44621</v>
      </c>
      <c r="H59" s="1754">
        <f t="shared" si="16"/>
        <v>44593</v>
      </c>
      <c r="I59" s="1754">
        <f t="shared" si="16"/>
        <v>44562</v>
      </c>
      <c r="J59" s="1754">
        <f t="shared" si="16"/>
        <v>44531</v>
      </c>
      <c r="K59" s="1754">
        <f t="shared" si="16"/>
        <v>44501</v>
      </c>
      <c r="L59" s="1754">
        <f t="shared" si="16"/>
        <v>44470</v>
      </c>
      <c r="M59" s="1754">
        <f t="shared" si="16"/>
        <v>44440</v>
      </c>
      <c r="N59" s="1754">
        <f t="shared" si="16"/>
        <v>44409</v>
      </c>
      <c r="O59" s="1754">
        <f t="shared" si="16"/>
        <v>44378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134.34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44756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7"/>
      <c r="Q18" s="1262"/>
      <c r="R18" s="631"/>
      <c r="S18" s="632"/>
      <c r="T18" s="631"/>
      <c r="U18" s="632"/>
      <c r="V18" s="631"/>
      <c r="W18" s="632"/>
      <c r="X18" s="1263"/>
      <c r="Y18" s="3667"/>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7"/>
      <c r="Q19" s="1262" t="str">
        <f>B19</f>
        <v>公共配套设施</v>
      </c>
      <c r="R19" s="631" t="s">
        <v>25</v>
      </c>
      <c r="S19" s="632">
        <f>F19</f>
        <v>100</v>
      </c>
      <c r="T19" s="631" t="s">
        <v>25</v>
      </c>
      <c r="U19" s="632">
        <f>H19</f>
        <v>100</v>
      </c>
      <c r="V19" s="631" t="s">
        <v>25</v>
      </c>
      <c r="W19" s="632">
        <f>J19</f>
        <v>100</v>
      </c>
      <c r="X19" s="1263"/>
      <c r="Y19" s="366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7"/>
      <c r="Q20" s="1262"/>
      <c r="R20" s="631"/>
      <c r="S20" s="632"/>
      <c r="T20" s="631"/>
      <c r="U20" s="632"/>
      <c r="V20" s="631"/>
      <c r="W20" s="632"/>
      <c r="X20" s="1263"/>
      <c r="Y20" s="3667"/>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7"/>
      <c r="Q21" s="1262" t="str">
        <f>B21</f>
        <v>基础设施水平</v>
      </c>
      <c r="R21" s="631" t="s">
        <v>25</v>
      </c>
      <c r="S21" s="632">
        <f>F21</f>
        <v>100</v>
      </c>
      <c r="T21" s="631" t="s">
        <v>25</v>
      </c>
      <c r="U21" s="632">
        <f>H21</f>
        <v>100</v>
      </c>
      <c r="V21" s="631" t="s">
        <v>25</v>
      </c>
      <c r="W21" s="632">
        <f>J21</f>
        <v>100</v>
      </c>
      <c r="X21" s="1263"/>
      <c r="Y21" s="366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7"/>
      <c r="Q22" s="1262"/>
      <c r="R22" s="631"/>
      <c r="S22" s="632"/>
      <c r="T22" s="631"/>
      <c r="U22" s="632"/>
      <c r="V22" s="631"/>
      <c r="W22" s="632"/>
      <c r="X22" s="1263"/>
      <c r="Y22" s="3667"/>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7"/>
      <c r="Q23" s="1262" t="str">
        <f>B23</f>
        <v>环境质量</v>
      </c>
      <c r="R23" s="631" t="s">
        <v>25</v>
      </c>
      <c r="S23" s="632">
        <f>F23</f>
        <v>100</v>
      </c>
      <c r="T23" s="631" t="s">
        <v>25</v>
      </c>
      <c r="U23" s="632">
        <f>H23</f>
        <v>100</v>
      </c>
      <c r="V23" s="631" t="s">
        <v>25</v>
      </c>
      <c r="W23" s="632">
        <f>J23</f>
        <v>100</v>
      </c>
      <c r="X23" s="1263"/>
      <c r="Y23" s="366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7"/>
      <c r="Q24" s="1262"/>
      <c r="R24" s="631"/>
      <c r="S24" s="632"/>
      <c r="T24" s="631"/>
      <c r="U24" s="632"/>
      <c r="V24" s="631"/>
      <c r="W24" s="632"/>
      <c r="X24" s="1263"/>
      <c r="Y24" s="366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7"/>
      <c r="Q25" s="1262">
        <f>B25</f>
        <v>111</v>
      </c>
      <c r="R25" s="631" t="s">
        <v>25</v>
      </c>
      <c r="S25" s="632">
        <f>F25</f>
        <v>100</v>
      </c>
      <c r="T25" s="631" t="s">
        <v>25</v>
      </c>
      <c r="U25" s="632">
        <f>H25</f>
        <v>100</v>
      </c>
      <c r="V25" s="631" t="s">
        <v>25</v>
      </c>
      <c r="W25" s="632">
        <f>J25</f>
        <v>100</v>
      </c>
      <c r="X25" s="1263"/>
      <c r="Y25" s="366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7"/>
      <c r="Q26" s="1262">
        <f t="shared" ref="Q26:Q40" si="11">B26</f>
        <v>111</v>
      </c>
      <c r="R26" s="631" t="s">
        <v>25</v>
      </c>
      <c r="S26" s="632">
        <f>F26</f>
        <v>100</v>
      </c>
      <c r="T26" s="631" t="s">
        <v>25</v>
      </c>
      <c r="U26" s="632">
        <f>H26</f>
        <v>100</v>
      </c>
      <c r="V26" s="631" t="s">
        <v>25</v>
      </c>
      <c r="W26" s="632">
        <f>J26</f>
        <v>100</v>
      </c>
      <c r="X26" s="1263"/>
      <c r="Y26" s="366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7"/>
      <c r="Q27" s="1255">
        <f t="shared" si="11"/>
        <v>111</v>
      </c>
      <c r="R27" s="627" t="s">
        <v>25</v>
      </c>
      <c r="S27" s="628">
        <f>F27</f>
        <v>100</v>
      </c>
      <c r="T27" s="627" t="s">
        <v>25</v>
      </c>
      <c r="U27" s="628">
        <f>H27</f>
        <v>100</v>
      </c>
      <c r="V27" s="627" t="s">
        <v>25</v>
      </c>
      <c r="W27" s="628">
        <f>J27</f>
        <v>100</v>
      </c>
      <c r="X27" s="629"/>
      <c r="Y27" s="366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7"/>
      <c r="Q28" s="1262">
        <f t="shared" si="11"/>
        <v>111</v>
      </c>
      <c r="R28" s="631" t="s">
        <v>25</v>
      </c>
      <c r="S28" s="632">
        <f t="shared" ref="S28:S40" si="12">F28</f>
        <v>100</v>
      </c>
      <c r="T28" s="631" t="s">
        <v>25</v>
      </c>
      <c r="U28" s="632">
        <f t="shared" ref="U28:U40" si="13">H28</f>
        <v>100</v>
      </c>
      <c r="V28" s="631" t="s">
        <v>25</v>
      </c>
      <c r="W28" s="632">
        <f t="shared" ref="W28:W40" si="14">J28</f>
        <v>100</v>
      </c>
      <c r="X28" s="1263"/>
      <c r="Y28" s="3667"/>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9" t="s">
        <v>2037</v>
      </c>
      <c r="Q29" s="1262" t="str">
        <f t="shared" si="11"/>
        <v>建筑类型</v>
      </c>
      <c r="R29" s="631" t="s">
        <v>25</v>
      </c>
      <c r="S29" s="632">
        <f t="shared" si="12"/>
        <v>100</v>
      </c>
      <c r="T29" s="631" t="s">
        <v>25</v>
      </c>
      <c r="U29" s="632">
        <f t="shared" si="13"/>
        <v>100</v>
      </c>
      <c r="V29" s="631" t="s">
        <v>25</v>
      </c>
      <c r="W29" s="632">
        <f t="shared" si="14"/>
        <v>100</v>
      </c>
      <c r="X29" s="1263"/>
      <c r="Y29" s="367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70"/>
      <c r="Q30" s="633" t="str">
        <f t="shared" si="11"/>
        <v>项目建筑规模</v>
      </c>
      <c r="R30" s="634" t="s">
        <v>25</v>
      </c>
      <c r="S30" s="635" t="e">
        <f t="shared" si="12"/>
        <v>#N/A</v>
      </c>
      <c r="T30" s="634" t="s">
        <v>25</v>
      </c>
      <c r="U30" s="635" t="e">
        <f t="shared" si="13"/>
        <v>#N/A</v>
      </c>
      <c r="V30" s="634" t="s">
        <v>25</v>
      </c>
      <c r="W30" s="635" t="e">
        <f t="shared" si="14"/>
        <v>#N/A</v>
      </c>
      <c r="X30" s="636"/>
      <c r="Y30" s="367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70"/>
      <c r="Q31" s="1262" t="str">
        <f t="shared" si="11"/>
        <v>建筑结构</v>
      </c>
      <c r="R31" s="631" t="s">
        <v>25</v>
      </c>
      <c r="S31" s="632">
        <f t="shared" si="12"/>
        <v>100</v>
      </c>
      <c r="T31" s="631" t="s">
        <v>25</v>
      </c>
      <c r="U31" s="632">
        <f t="shared" si="13"/>
        <v>100</v>
      </c>
      <c r="V31" s="631" t="s">
        <v>25</v>
      </c>
      <c r="W31" s="632">
        <f t="shared" si="14"/>
        <v>100</v>
      </c>
      <c r="X31" s="1263"/>
      <c r="Y31" s="367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70"/>
      <c r="Q32" s="1262" t="str">
        <f t="shared" si="11"/>
        <v>公共部分装修</v>
      </c>
      <c r="R32" s="631" t="s">
        <v>25</v>
      </c>
      <c r="S32" s="632">
        <f t="shared" si="12"/>
        <v>100</v>
      </c>
      <c r="T32" s="631" t="s">
        <v>25</v>
      </c>
      <c r="U32" s="632">
        <f t="shared" si="13"/>
        <v>100</v>
      </c>
      <c r="V32" s="631" t="s">
        <v>25</v>
      </c>
      <c r="W32" s="632">
        <f t="shared" si="14"/>
        <v>100</v>
      </c>
      <c r="X32" s="1263"/>
      <c r="Y32" s="367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70"/>
      <c r="Q33" s="1262" t="str">
        <f t="shared" si="11"/>
        <v>成新度</v>
      </c>
      <c r="R33" s="631" t="s">
        <v>25</v>
      </c>
      <c r="S33" s="632" t="e">
        <f t="shared" si="12"/>
        <v>#N/A</v>
      </c>
      <c r="T33" s="631" t="s">
        <v>25</v>
      </c>
      <c r="U33" s="632" t="e">
        <f t="shared" si="13"/>
        <v>#N/A</v>
      </c>
      <c r="V33" s="631" t="s">
        <v>25</v>
      </c>
      <c r="W33" s="632" t="e">
        <f t="shared" si="14"/>
        <v>#N/A</v>
      </c>
      <c r="X33" s="1263"/>
      <c r="Y33" s="367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70"/>
      <c r="Q34" s="1255" t="str">
        <f t="shared" si="11"/>
        <v>物业管理</v>
      </c>
      <c r="R34" s="627" t="s">
        <v>25</v>
      </c>
      <c r="S34" s="628">
        <f t="shared" si="12"/>
        <v>100</v>
      </c>
      <c r="T34" s="627" t="s">
        <v>25</v>
      </c>
      <c r="U34" s="628">
        <f t="shared" si="13"/>
        <v>100</v>
      </c>
      <c r="V34" s="627" t="s">
        <v>25</v>
      </c>
      <c r="W34" s="628">
        <f t="shared" si="14"/>
        <v>100</v>
      </c>
      <c r="X34" s="629"/>
      <c r="Y34" s="367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70" t="s">
        <v>2037</v>
      </c>
      <c r="Q35" s="1262" t="str">
        <f t="shared" si="11"/>
        <v>市政基础设施</v>
      </c>
      <c r="R35" s="631" t="s">
        <v>25</v>
      </c>
      <c r="S35" s="632">
        <f t="shared" si="12"/>
        <v>100</v>
      </c>
      <c r="T35" s="631" t="s">
        <v>25</v>
      </c>
      <c r="U35" s="632">
        <f t="shared" si="13"/>
        <v>100</v>
      </c>
      <c r="V35" s="631" t="s">
        <v>25</v>
      </c>
      <c r="W35" s="632">
        <f t="shared" si="14"/>
        <v>100</v>
      </c>
      <c r="X35" s="1263"/>
      <c r="Y35" s="367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70"/>
      <c r="Q36" s="1262" t="str">
        <f t="shared" si="11"/>
        <v>内部装修</v>
      </c>
      <c r="R36" s="631" t="s">
        <v>25</v>
      </c>
      <c r="S36" s="632">
        <f t="shared" si="12"/>
        <v>100</v>
      </c>
      <c r="T36" s="631" t="s">
        <v>25</v>
      </c>
      <c r="U36" s="632">
        <f t="shared" si="13"/>
        <v>100</v>
      </c>
      <c r="V36" s="631" t="s">
        <v>25</v>
      </c>
      <c r="W36" s="632">
        <f t="shared" si="14"/>
        <v>100</v>
      </c>
      <c r="X36" s="1263"/>
      <c r="Y36" s="367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70"/>
      <c r="Q37" s="1262" t="str">
        <f t="shared" si="11"/>
        <v>内部装修状况</v>
      </c>
      <c r="R37" s="631" t="s">
        <v>25</v>
      </c>
      <c r="S37" s="632">
        <f t="shared" si="12"/>
        <v>100</v>
      </c>
      <c r="T37" s="631" t="s">
        <v>25</v>
      </c>
      <c r="U37" s="632">
        <f t="shared" si="13"/>
        <v>100</v>
      </c>
      <c r="V37" s="631" t="s">
        <v>25</v>
      </c>
      <c r="W37" s="632">
        <f t="shared" si="14"/>
        <v>100</v>
      </c>
      <c r="X37" s="1263"/>
      <c r="Y37" s="367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70"/>
      <c r="Q38" s="633">
        <f t="shared" si="11"/>
        <v>111</v>
      </c>
      <c r="R38" s="634" t="s">
        <v>25</v>
      </c>
      <c r="S38" s="635">
        <f t="shared" si="12"/>
        <v>100</v>
      </c>
      <c r="T38" s="634" t="s">
        <v>25</v>
      </c>
      <c r="U38" s="635">
        <f t="shared" si="13"/>
        <v>100</v>
      </c>
      <c r="V38" s="634" t="s">
        <v>25</v>
      </c>
      <c r="W38" s="635">
        <f t="shared" si="14"/>
        <v>100</v>
      </c>
      <c r="X38" s="636"/>
      <c r="Y38" s="367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70"/>
      <c r="Q39" s="1262">
        <f t="shared" si="11"/>
        <v>111</v>
      </c>
      <c r="R39" s="631" t="s">
        <v>25</v>
      </c>
      <c r="S39" s="632">
        <f t="shared" si="12"/>
        <v>100</v>
      </c>
      <c r="T39" s="631" t="s">
        <v>25</v>
      </c>
      <c r="U39" s="632">
        <f t="shared" si="13"/>
        <v>100</v>
      </c>
      <c r="V39" s="631" t="s">
        <v>25</v>
      </c>
      <c r="W39" s="632">
        <f t="shared" si="14"/>
        <v>100</v>
      </c>
      <c r="X39" s="1263"/>
      <c r="Y39" s="367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1"/>
      <c r="Q40" s="1262">
        <f t="shared" si="11"/>
        <v>111</v>
      </c>
      <c r="R40" s="631" t="s">
        <v>25</v>
      </c>
      <c r="S40" s="632">
        <f t="shared" si="12"/>
        <v>100</v>
      </c>
      <c r="T40" s="631" t="s">
        <v>25</v>
      </c>
      <c r="U40" s="632">
        <f t="shared" si="13"/>
        <v>100</v>
      </c>
      <c r="V40" s="631" t="s">
        <v>25</v>
      </c>
      <c r="W40" s="632">
        <f t="shared" si="14"/>
        <v>100</v>
      </c>
      <c r="X40" s="1263"/>
      <c r="Y40" s="3671"/>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8" t="str">
        <f>A41</f>
        <v>成交单价（元/平方米）</v>
      </c>
      <c r="Q41" s="3638"/>
      <c r="R41" s="3672">
        <f>E41</f>
        <v>0</v>
      </c>
      <c r="S41" s="3672"/>
      <c r="T41" s="3672">
        <f>G41</f>
        <v>0</v>
      </c>
      <c r="U41" s="3672"/>
      <c r="V41" s="3672">
        <f>I41</f>
        <v>0</v>
      </c>
      <c r="W41" s="3672"/>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8" t="str">
        <f>A42</f>
        <v>比较价值（元/平方米）</v>
      </c>
      <c r="Q42" s="3638"/>
      <c r="R42" s="3672" t="e">
        <f>IF(E1="售价",ROUND(PRODUCT(R41,AA7:AA40),0),ROUND(PRODUCT(R41,AA7:AA40),1))</f>
        <v>#DIV/0!</v>
      </c>
      <c r="S42" s="3672"/>
      <c r="T42" s="3672" t="e">
        <f>IF(E1="售价",ROUND(PRODUCT(T41,AB7:AB40),0),ROUND(PRODUCT(T41,AB7:AB40),1))</f>
        <v>#DIV/0!</v>
      </c>
      <c r="U42" s="3672"/>
      <c r="V42" s="3672" t="e">
        <f>IF(E1="售价",ROUND(PRODUCT(V41,AC7:AC40),0),ROUND(PRODUCT(V41,AC7:AC40),1))</f>
        <v>#DIV/0!</v>
      </c>
      <c r="W42" s="367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3" t="str">
        <f>A43</f>
        <v>估价对象XX用房的比较价值（楼面单价，元/平方米）</v>
      </c>
      <c r="Q43" s="3674"/>
      <c r="R43" s="3675" t="e">
        <f>IF(E1="售价",ROUND(IF(D42="简单平均",AVERAGE(R42:V42),R42*F42+T42*H42+V42*J42),0),ROUND(IF(D42="简单平均",AVERAGE(R42:V42),R42*F42+T42*H42+V42*J42),1))</f>
        <v>#DIV/0!</v>
      </c>
      <c r="S43" s="3675"/>
      <c r="T43" s="3675"/>
      <c r="U43" s="3675"/>
      <c r="V43" s="3675"/>
      <c r="W43" s="3675"/>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134.34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44756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7"/>
      <c r="Q24" s="1262">
        <f t="shared" ref="Q24:Q36"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70"/>
      <c r="Q27" s="633" t="str">
        <f t="shared" si="11"/>
        <v>项目停车位配比</v>
      </c>
      <c r="R27" s="634" t="s">
        <v>25</v>
      </c>
      <c r="S27" s="635">
        <f t="shared" si="12"/>
        <v>100</v>
      </c>
      <c r="T27" s="634" t="s">
        <v>25</v>
      </c>
      <c r="U27" s="635">
        <f t="shared" si="13"/>
        <v>100</v>
      </c>
      <c r="V27" s="634" t="s">
        <v>25</v>
      </c>
      <c r="W27" s="635">
        <f t="shared" si="14"/>
        <v>100</v>
      </c>
      <c r="X27" s="636"/>
      <c r="Y27" s="367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70"/>
      <c r="Q28" s="1262" t="str">
        <f t="shared" si="11"/>
        <v>公共部分装修</v>
      </c>
      <c r="R28" s="631" t="s">
        <v>25</v>
      </c>
      <c r="S28" s="632">
        <f t="shared" si="12"/>
        <v>100</v>
      </c>
      <c r="T28" s="631" t="s">
        <v>25</v>
      </c>
      <c r="U28" s="632">
        <f t="shared" si="13"/>
        <v>100</v>
      </c>
      <c r="V28" s="631" t="s">
        <v>25</v>
      </c>
      <c r="W28" s="632">
        <f t="shared" si="14"/>
        <v>100</v>
      </c>
      <c r="X28" s="1263"/>
      <c r="Y28" s="367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70"/>
      <c r="Q29" s="1262" t="str">
        <f t="shared" si="11"/>
        <v>成新率</v>
      </c>
      <c r="R29" s="631" t="s">
        <v>25</v>
      </c>
      <c r="S29" s="632" t="e">
        <f t="shared" si="12"/>
        <v>#N/A</v>
      </c>
      <c r="T29" s="631" t="s">
        <v>25</v>
      </c>
      <c r="U29" s="632" t="e">
        <f t="shared" si="13"/>
        <v>#N/A</v>
      </c>
      <c r="V29" s="631" t="s">
        <v>25</v>
      </c>
      <c r="W29" s="632" t="e">
        <f t="shared" si="14"/>
        <v>#N/A</v>
      </c>
      <c r="X29" s="1263"/>
      <c r="Y29" s="367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70"/>
      <c r="Q30" s="1262" t="str">
        <f t="shared" si="11"/>
        <v>物业等级</v>
      </c>
      <c r="R30" s="631" t="s">
        <v>25</v>
      </c>
      <c r="S30" s="632">
        <f t="shared" si="12"/>
        <v>100</v>
      </c>
      <c r="T30" s="631" t="s">
        <v>25</v>
      </c>
      <c r="U30" s="632">
        <f t="shared" si="13"/>
        <v>100</v>
      </c>
      <c r="V30" s="631" t="s">
        <v>25</v>
      </c>
      <c r="W30" s="632">
        <f t="shared" si="14"/>
        <v>100</v>
      </c>
      <c r="X30" s="1263"/>
      <c r="Y30" s="367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70"/>
      <c r="Q31" s="1255" t="str">
        <f t="shared" si="11"/>
        <v>停车位面积</v>
      </c>
      <c r="R31" s="627" t="s">
        <v>25</v>
      </c>
      <c r="S31" s="628" t="e">
        <f t="shared" si="12"/>
        <v>#N/A</v>
      </c>
      <c r="T31" s="627" t="s">
        <v>25</v>
      </c>
      <c r="U31" s="628" t="e">
        <f t="shared" si="13"/>
        <v>#N/A</v>
      </c>
      <c r="V31" s="627" t="s">
        <v>25</v>
      </c>
      <c r="W31" s="628" t="e">
        <f t="shared" si="14"/>
        <v>#N/A</v>
      </c>
      <c r="X31" s="629"/>
      <c r="Y31" s="367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70" t="s">
        <v>2037</v>
      </c>
      <c r="Q32" s="1262" t="str">
        <f t="shared" si="11"/>
        <v>车位类型</v>
      </c>
      <c r="R32" s="631" t="s">
        <v>25</v>
      </c>
      <c r="S32" s="632">
        <f t="shared" si="12"/>
        <v>100</v>
      </c>
      <c r="T32" s="631" t="s">
        <v>25</v>
      </c>
      <c r="U32" s="632">
        <f t="shared" si="13"/>
        <v>100</v>
      </c>
      <c r="V32" s="631" t="s">
        <v>25</v>
      </c>
      <c r="W32" s="632">
        <f t="shared" si="14"/>
        <v>100</v>
      </c>
      <c r="X32" s="1263"/>
      <c r="Y32" s="367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70"/>
      <c r="Q33" s="1262" t="str">
        <f t="shared" si="11"/>
        <v>是否直接入户</v>
      </c>
      <c r="R33" s="631" t="s">
        <v>25</v>
      </c>
      <c r="S33" s="632">
        <f t="shared" si="12"/>
        <v>100</v>
      </c>
      <c r="T33" s="631" t="s">
        <v>25</v>
      </c>
      <c r="U33" s="632">
        <f t="shared" si="13"/>
        <v>100</v>
      </c>
      <c r="V33" s="631" t="s">
        <v>25</v>
      </c>
      <c r="W33" s="632">
        <f t="shared" si="14"/>
        <v>100</v>
      </c>
      <c r="X33" s="1263"/>
      <c r="Y33" s="367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70"/>
      <c r="Q35" s="633">
        <f t="shared" si="11"/>
        <v>111</v>
      </c>
      <c r="R35" s="634" t="s">
        <v>25</v>
      </c>
      <c r="S35" s="635">
        <f t="shared" si="12"/>
        <v>100</v>
      </c>
      <c r="T35" s="634" t="s">
        <v>25</v>
      </c>
      <c r="U35" s="635">
        <f t="shared" si="13"/>
        <v>100</v>
      </c>
      <c r="V35" s="634" t="s">
        <v>25</v>
      </c>
      <c r="W35" s="635">
        <f t="shared" si="14"/>
        <v>100</v>
      </c>
      <c r="X35" s="636"/>
      <c r="Y35" s="367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70"/>
      <c r="Q36" s="1262">
        <f t="shared" si="11"/>
        <v>111</v>
      </c>
      <c r="R36" s="631" t="s">
        <v>25</v>
      </c>
      <c r="S36" s="632">
        <f t="shared" si="12"/>
        <v>100</v>
      </c>
      <c r="T36" s="631" t="s">
        <v>25</v>
      </c>
      <c r="U36" s="632">
        <f t="shared" si="13"/>
        <v>100</v>
      </c>
      <c r="V36" s="631" t="s">
        <v>25</v>
      </c>
      <c r="W36" s="632">
        <f t="shared" si="14"/>
        <v>100</v>
      </c>
      <c r="X36" s="1263"/>
      <c r="Y36" s="3670"/>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8" t="str">
        <f>A37</f>
        <v>成交单价</v>
      </c>
      <c r="Q37" s="3638"/>
      <c r="R37" s="3672">
        <f>E37</f>
        <v>0</v>
      </c>
      <c r="S37" s="3672"/>
      <c r="T37" s="3672">
        <f>G37</f>
        <v>0</v>
      </c>
      <c r="U37" s="3672"/>
      <c r="V37" s="3672">
        <f>I37</f>
        <v>0</v>
      </c>
      <c r="W37" s="3672"/>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8" t="str">
        <f>A38</f>
        <v>比较价值</v>
      </c>
      <c r="Q38" s="3638"/>
      <c r="R38" s="3672" t="e">
        <f>IF(E1="售价",ROUND(PRODUCT(R37,AA7:AA36),0),ROUND(PRODUCT(R37,AA7:AA36),1))</f>
        <v>#DIV/0!</v>
      </c>
      <c r="S38" s="3672"/>
      <c r="T38" s="3672" t="e">
        <f>IF(E1="售价",ROUND(PRODUCT(T37,AB7:AB36),0),ROUND(PRODUCT(T37,AB7:AB36),1))</f>
        <v>#DIV/0!</v>
      </c>
      <c r="U38" s="3672"/>
      <c r="V38" s="3672" t="e">
        <f>IF(E1="售价",ROUND(PRODUCT(V37,AC7:AC36),0),ROUND(PRODUCT(V37,AC7:AC36),1))</f>
        <v>#DIV/0!</v>
      </c>
      <c r="W38" s="367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3" t="str">
        <f>A39</f>
        <v>估价对象XX用房的比较价值（楼面单价，元/平方米）</v>
      </c>
      <c r="Q39" s="3674"/>
      <c r="R39" s="3675" t="e">
        <f>IF(E1="售价",ROUND(IF(D38="简单平均",AVERAGE(R38:W38),R38*F38+T38*H38+V38*J38),0),ROUND(IF(D38="简单平均",AVERAGE(R38:V38),R38*F38+T38*H38+V38*J38),1))</f>
        <v>#DIV/0!</v>
      </c>
      <c r="S39" s="3675"/>
      <c r="T39" s="3675"/>
      <c r="U39" s="3675"/>
      <c r="V39" s="3675"/>
      <c r="W39" s="3675"/>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134.34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44756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65"/>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8" t="s">
        <v>2026</v>
      </c>
      <c r="Q9" s="1255" t="str">
        <f t="shared" ref="Q9:Q14" si="6">B9</f>
        <v>用途</v>
      </c>
      <c r="R9" s="627" t="s">
        <v>25</v>
      </c>
      <c r="S9" s="628">
        <f t="shared" si="0"/>
        <v>100</v>
      </c>
      <c r="T9" s="627" t="s">
        <v>25</v>
      </c>
      <c r="U9" s="628">
        <f t="shared" si="1"/>
        <v>100</v>
      </c>
      <c r="V9" s="627" t="s">
        <v>25</v>
      </c>
      <c r="W9" s="628">
        <f t="shared" si="2"/>
        <v>100</v>
      </c>
      <c r="X9" s="629"/>
      <c r="Y9" s="366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8"/>
      <c r="Q10" s="1255" t="str">
        <f t="shared" si="6"/>
        <v>土地使用年限（年）</v>
      </c>
      <c r="R10" s="627" t="s">
        <v>25</v>
      </c>
      <c r="S10" s="628">
        <f t="shared" si="0"/>
        <v>100</v>
      </c>
      <c r="T10" s="627" t="s">
        <v>25</v>
      </c>
      <c r="U10" s="628">
        <f t="shared" si="1"/>
        <v>100</v>
      </c>
      <c r="V10" s="627" t="s">
        <v>25</v>
      </c>
      <c r="W10" s="628">
        <f t="shared" si="2"/>
        <v>100</v>
      </c>
      <c r="X10" s="629"/>
      <c r="Y10" s="366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8"/>
      <c r="Q11" s="1255">
        <f t="shared" si="6"/>
        <v>111</v>
      </c>
      <c r="R11" s="627" t="s">
        <v>25</v>
      </c>
      <c r="S11" s="628">
        <f t="shared" si="0"/>
        <v>100</v>
      </c>
      <c r="T11" s="627" t="s">
        <v>25</v>
      </c>
      <c r="U11" s="628">
        <f t="shared" si="1"/>
        <v>100</v>
      </c>
      <c r="V11" s="627" t="s">
        <v>25</v>
      </c>
      <c r="W11" s="628">
        <f t="shared" si="2"/>
        <v>100</v>
      </c>
      <c r="X11" s="629"/>
      <c r="Y11" s="366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6" t="s">
        <v>2031</v>
      </c>
      <c r="Q14" s="1262" t="str">
        <f t="shared" si="6"/>
        <v>交通便捷度</v>
      </c>
      <c r="R14" s="631" t="s">
        <v>25</v>
      </c>
      <c r="S14" s="632">
        <f t="shared" si="0"/>
        <v>100</v>
      </c>
      <c r="T14" s="631" t="s">
        <v>25</v>
      </c>
      <c r="U14" s="632">
        <f t="shared" si="1"/>
        <v>100</v>
      </c>
      <c r="V14" s="631" t="s">
        <v>25</v>
      </c>
      <c r="W14" s="632">
        <f t="shared" si="2"/>
        <v>100</v>
      </c>
      <c r="X14" s="1263"/>
      <c r="Y14" s="366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7"/>
      <c r="Q15" s="1262"/>
      <c r="R15" s="631"/>
      <c r="S15" s="632"/>
      <c r="T15" s="631"/>
      <c r="U15" s="632"/>
      <c r="V15" s="631"/>
      <c r="W15" s="632"/>
      <c r="X15" s="1263"/>
      <c r="Y15" s="3667"/>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7"/>
      <c r="Q16" s="1262" t="str">
        <f>B16</f>
        <v>公共配套设施</v>
      </c>
      <c r="R16" s="631" t="s">
        <v>25</v>
      </c>
      <c r="S16" s="632">
        <f>F16</f>
        <v>100</v>
      </c>
      <c r="T16" s="631" t="s">
        <v>25</v>
      </c>
      <c r="U16" s="632">
        <f>H16</f>
        <v>100</v>
      </c>
      <c r="V16" s="631" t="s">
        <v>25</v>
      </c>
      <c r="W16" s="632">
        <f>J16</f>
        <v>100</v>
      </c>
      <c r="X16" s="1263"/>
      <c r="Y16" s="366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7"/>
      <c r="Q17" s="1262"/>
      <c r="R17" s="631"/>
      <c r="S17" s="632"/>
      <c r="T17" s="631"/>
      <c r="U17" s="632"/>
      <c r="V17" s="631"/>
      <c r="W17" s="632"/>
      <c r="X17" s="1263"/>
      <c r="Y17" s="3667"/>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7"/>
      <c r="Q18" s="1262" t="str">
        <f>B18</f>
        <v>基础设施水平</v>
      </c>
      <c r="R18" s="631" t="s">
        <v>25</v>
      </c>
      <c r="S18" s="632">
        <f>F18</f>
        <v>100</v>
      </c>
      <c r="T18" s="631" t="s">
        <v>25</v>
      </c>
      <c r="U18" s="632">
        <f>H18</f>
        <v>100</v>
      </c>
      <c r="V18" s="631" t="s">
        <v>25</v>
      </c>
      <c r="W18" s="632">
        <f>J18</f>
        <v>100</v>
      </c>
      <c r="X18" s="1263"/>
      <c r="Y18" s="366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7"/>
      <c r="Q19" s="1262"/>
      <c r="R19" s="631"/>
      <c r="S19" s="632"/>
      <c r="T19" s="631"/>
      <c r="U19" s="632"/>
      <c r="V19" s="631"/>
      <c r="W19" s="632"/>
      <c r="X19" s="1263"/>
      <c r="Y19" s="3667"/>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7"/>
      <c r="Q20" s="1262" t="str">
        <f>B20</f>
        <v>自然及人文环境</v>
      </c>
      <c r="R20" s="631" t="s">
        <v>25</v>
      </c>
      <c r="S20" s="632">
        <f>F20</f>
        <v>100</v>
      </c>
      <c r="T20" s="631" t="s">
        <v>25</v>
      </c>
      <c r="U20" s="632">
        <f>H20</f>
        <v>100</v>
      </c>
      <c r="V20" s="631" t="s">
        <v>25</v>
      </c>
      <c r="W20" s="632">
        <f>J20</f>
        <v>100</v>
      </c>
      <c r="X20" s="1263"/>
      <c r="Y20" s="366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7"/>
      <c r="Q21" s="1262"/>
      <c r="R21" s="631"/>
      <c r="S21" s="632"/>
      <c r="T21" s="631"/>
      <c r="U21" s="632"/>
      <c r="V21" s="631"/>
      <c r="W21" s="632"/>
      <c r="X21" s="1263"/>
      <c r="Y21" s="366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7"/>
      <c r="Q22" s="1262" t="str">
        <f>B22</f>
        <v>楼层</v>
      </c>
      <c r="R22" s="631" t="s">
        <v>25</v>
      </c>
      <c r="S22" s="632">
        <f>F22</f>
        <v>100</v>
      </c>
      <c r="T22" s="631" t="s">
        <v>25</v>
      </c>
      <c r="U22" s="632">
        <f>H22</f>
        <v>100</v>
      </c>
      <c r="V22" s="631" t="s">
        <v>25</v>
      </c>
      <c r="W22" s="632">
        <f>J22</f>
        <v>100</v>
      </c>
      <c r="X22" s="1263"/>
      <c r="Y22" s="366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7"/>
      <c r="Q23" s="1262">
        <f>B23</f>
        <v>111</v>
      </c>
      <c r="R23" s="631" t="s">
        <v>25</v>
      </c>
      <c r="S23" s="632">
        <f>F23</f>
        <v>100</v>
      </c>
      <c r="T23" s="631" t="s">
        <v>25</v>
      </c>
      <c r="U23" s="632">
        <f>H23</f>
        <v>100</v>
      </c>
      <c r="V23" s="631" t="s">
        <v>25</v>
      </c>
      <c r="W23" s="632">
        <f>J23</f>
        <v>100</v>
      </c>
      <c r="X23" s="1263"/>
      <c r="Y23" s="366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7"/>
      <c r="Q24" s="1262">
        <f t="shared" ref="Q24:Q34" si="11">B24</f>
        <v>111</v>
      </c>
      <c r="R24" s="631" t="s">
        <v>25</v>
      </c>
      <c r="S24" s="632">
        <f>F24</f>
        <v>100</v>
      </c>
      <c r="T24" s="631" t="s">
        <v>25</v>
      </c>
      <c r="U24" s="632">
        <f>H24</f>
        <v>100</v>
      </c>
      <c r="V24" s="631" t="s">
        <v>25</v>
      </c>
      <c r="W24" s="632">
        <f>J24</f>
        <v>100</v>
      </c>
      <c r="X24" s="1263"/>
      <c r="Y24" s="366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7"/>
      <c r="Q25" s="1255">
        <f t="shared" si="11"/>
        <v>111</v>
      </c>
      <c r="R25" s="627" t="s">
        <v>25</v>
      </c>
      <c r="S25" s="628">
        <f>F25</f>
        <v>100</v>
      </c>
      <c r="T25" s="627" t="s">
        <v>25</v>
      </c>
      <c r="U25" s="628">
        <f>H25</f>
        <v>100</v>
      </c>
      <c r="V25" s="627" t="s">
        <v>25</v>
      </c>
      <c r="W25" s="628">
        <f>J25</f>
        <v>100</v>
      </c>
      <c r="X25" s="629"/>
      <c r="Y25" s="3667"/>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70"/>
      <c r="Q27" s="633" t="str">
        <f t="shared" si="11"/>
        <v>成新率</v>
      </c>
      <c r="R27" s="634" t="s">
        <v>25</v>
      </c>
      <c r="S27" s="635" t="e">
        <f t="shared" si="12"/>
        <v>#N/A</v>
      </c>
      <c r="T27" s="634" t="s">
        <v>25</v>
      </c>
      <c r="U27" s="635" t="e">
        <f t="shared" si="13"/>
        <v>#N/A</v>
      </c>
      <c r="V27" s="634" t="s">
        <v>25</v>
      </c>
      <c r="W27" s="635" t="e">
        <f t="shared" si="14"/>
        <v>#N/A</v>
      </c>
      <c r="X27" s="636"/>
      <c r="Y27" s="367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70"/>
      <c r="Q28" s="1262" t="str">
        <f t="shared" si="11"/>
        <v>物业等级</v>
      </c>
      <c r="R28" s="631" t="s">
        <v>25</v>
      </c>
      <c r="S28" s="632">
        <f t="shared" si="12"/>
        <v>100</v>
      </c>
      <c r="T28" s="631" t="s">
        <v>25</v>
      </c>
      <c r="U28" s="632">
        <f t="shared" si="13"/>
        <v>100</v>
      </c>
      <c r="V28" s="631" t="s">
        <v>25</v>
      </c>
      <c r="W28" s="632">
        <f t="shared" si="14"/>
        <v>100</v>
      </c>
      <c r="X28" s="1263"/>
      <c r="Y28" s="367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70"/>
      <c r="Q29" s="1262" t="str">
        <f t="shared" si="11"/>
        <v>有无电梯</v>
      </c>
      <c r="R29" s="631" t="s">
        <v>25</v>
      </c>
      <c r="S29" s="632">
        <f t="shared" si="12"/>
        <v>100</v>
      </c>
      <c r="T29" s="631" t="s">
        <v>25</v>
      </c>
      <c r="U29" s="632">
        <f t="shared" si="13"/>
        <v>100</v>
      </c>
      <c r="V29" s="631" t="s">
        <v>25</v>
      </c>
      <c r="W29" s="632">
        <f t="shared" si="14"/>
        <v>100</v>
      </c>
      <c r="X29" s="1263"/>
      <c r="Y29" s="367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70"/>
      <c r="Q30" s="1262" t="str">
        <f t="shared" si="11"/>
        <v>建筑面积</v>
      </c>
      <c r="R30" s="631" t="s">
        <v>25</v>
      </c>
      <c r="S30" s="632" t="e">
        <f t="shared" si="12"/>
        <v>#N/A</v>
      </c>
      <c r="T30" s="631" t="s">
        <v>25</v>
      </c>
      <c r="U30" s="632" t="e">
        <f t="shared" si="13"/>
        <v>#N/A</v>
      </c>
      <c r="V30" s="631" t="s">
        <v>25</v>
      </c>
      <c r="W30" s="632" t="e">
        <f t="shared" si="14"/>
        <v>#N/A</v>
      </c>
      <c r="X30" s="1263"/>
      <c r="Y30" s="367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70"/>
      <c r="Q31" s="1255" t="str">
        <f t="shared" si="11"/>
        <v>是否封闭</v>
      </c>
      <c r="R31" s="627" t="s">
        <v>25</v>
      </c>
      <c r="S31" s="628">
        <f t="shared" si="12"/>
        <v>100</v>
      </c>
      <c r="T31" s="627" t="s">
        <v>25</v>
      </c>
      <c r="U31" s="628">
        <f t="shared" si="13"/>
        <v>100</v>
      </c>
      <c r="V31" s="627" t="s">
        <v>25</v>
      </c>
      <c r="W31" s="628">
        <f t="shared" si="14"/>
        <v>100</v>
      </c>
      <c r="X31" s="629"/>
      <c r="Y31" s="367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70" t="s">
        <v>2037</v>
      </c>
      <c r="Q32" s="1262">
        <f t="shared" si="11"/>
        <v>111</v>
      </c>
      <c r="R32" s="631" t="s">
        <v>25</v>
      </c>
      <c r="S32" s="632">
        <f t="shared" si="12"/>
        <v>100</v>
      </c>
      <c r="T32" s="631" t="s">
        <v>25</v>
      </c>
      <c r="U32" s="632">
        <f t="shared" si="13"/>
        <v>100</v>
      </c>
      <c r="V32" s="631" t="s">
        <v>25</v>
      </c>
      <c r="W32" s="632">
        <f t="shared" si="14"/>
        <v>100</v>
      </c>
      <c r="X32" s="1263"/>
      <c r="Y32" s="3670"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70"/>
      <c r="Q33" s="1262">
        <f t="shared" si="11"/>
        <v>111</v>
      </c>
      <c r="R33" s="631" t="s">
        <v>25</v>
      </c>
      <c r="S33" s="632">
        <f t="shared" si="12"/>
        <v>100</v>
      </c>
      <c r="T33" s="631" t="s">
        <v>25</v>
      </c>
      <c r="U33" s="632">
        <f t="shared" si="13"/>
        <v>100</v>
      </c>
      <c r="V33" s="631" t="s">
        <v>25</v>
      </c>
      <c r="W33" s="632">
        <f t="shared" si="14"/>
        <v>100</v>
      </c>
      <c r="X33" s="1263"/>
      <c r="Y33" s="367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70"/>
      <c r="Q34" s="1262">
        <f t="shared" si="11"/>
        <v>111</v>
      </c>
      <c r="R34" s="631" t="s">
        <v>25</v>
      </c>
      <c r="S34" s="632">
        <f t="shared" si="12"/>
        <v>100</v>
      </c>
      <c r="T34" s="631" t="s">
        <v>25</v>
      </c>
      <c r="U34" s="632">
        <f t="shared" si="13"/>
        <v>100</v>
      </c>
      <c r="V34" s="631" t="s">
        <v>25</v>
      </c>
      <c r="W34" s="632">
        <f t="shared" si="14"/>
        <v>100</v>
      </c>
      <c r="X34" s="1263"/>
      <c r="Y34" s="3670"/>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8" t="str">
        <f>A35</f>
        <v>成交单价（元/平方米）</v>
      </c>
      <c r="Q35" s="3638"/>
      <c r="R35" s="3672">
        <f>E35</f>
        <v>0</v>
      </c>
      <c r="S35" s="3672"/>
      <c r="T35" s="3672">
        <f>G35</f>
        <v>0</v>
      </c>
      <c r="U35" s="3672"/>
      <c r="V35" s="3672">
        <f>I35</f>
        <v>0</v>
      </c>
      <c r="W35" s="3672"/>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8" t="str">
        <f>A36</f>
        <v>比较价值（元/平方米）</v>
      </c>
      <c r="Q36" s="3638"/>
      <c r="R36" s="3672" t="e">
        <f>IF(E1="售价",ROUND(PRODUCT(R35,AA7:AA34),0),ROUND(PRODUCT(R35,AA7:AA34),1))</f>
        <v>#DIV/0!</v>
      </c>
      <c r="S36" s="3672"/>
      <c r="T36" s="3672" t="e">
        <f>IF(E1="售价",ROUND(PRODUCT(T35,AB7:AB34),0),ROUND(PRODUCT(T35,AB7:AB34),1))</f>
        <v>#DIV/0!</v>
      </c>
      <c r="U36" s="3672"/>
      <c r="V36" s="3672" t="e">
        <f>IF(E1="售价",ROUND(PRODUCT(V35,AC7:AC34),0),ROUND(PRODUCT(V35,AC7:AC34),1))</f>
        <v>#DIV/0!</v>
      </c>
      <c r="W36" s="367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3" t="str">
        <f>A37</f>
        <v>估价对象XX用房的比较价值（楼面单价，元/平方米）</v>
      </c>
      <c r="Q37" s="3674"/>
      <c r="R37" s="3675" t="e">
        <f>IF(E1="售价",ROUND(IF(D36="简单平均",AVERAGE(R36:W36),R36*F36+T36*H36+V36*J36),0),ROUND(IF(D36="简单平均",AVERAGE(R36:V36),R36*F36+T36*H36+V36*J36),1))</f>
        <v>#DIV/0!</v>
      </c>
      <c r="S37" s="3675"/>
      <c r="T37" s="3675"/>
      <c r="U37" s="3675"/>
      <c r="V37" s="3675"/>
      <c r="W37" s="3675"/>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8" t="s">
        <v>2007</v>
      </c>
      <c r="D4" s="3589"/>
      <c r="E4" s="3590" t="s">
        <v>2008</v>
      </c>
      <c r="F4" s="3591"/>
      <c r="G4" s="3588" t="s">
        <v>2009</v>
      </c>
      <c r="H4" s="3589"/>
      <c r="I4" s="3588" t="s">
        <v>2010</v>
      </c>
      <c r="J4" s="3589"/>
      <c r="K4" s="1894" t="s">
        <v>2011</v>
      </c>
      <c r="L4" s="2915"/>
      <c r="M4" s="2916"/>
      <c r="N4" s="2916"/>
      <c r="O4" s="2916"/>
      <c r="P4" s="3592" t="s">
        <v>2012</v>
      </c>
      <c r="Q4" s="3593"/>
      <c r="R4" s="3598" t="s">
        <v>2008</v>
      </c>
      <c r="S4" s="3599"/>
      <c r="T4" s="3598" t="s">
        <v>2009</v>
      </c>
      <c r="U4" s="3599"/>
      <c r="V4" s="3604" t="s">
        <v>2010</v>
      </c>
      <c r="W4" s="3604"/>
      <c r="X4" s="1594"/>
      <c r="Y4" s="3598" t="s">
        <v>2012</v>
      </c>
      <c r="Z4" s="3599"/>
      <c r="AA4" s="3585" t="s">
        <v>2008</v>
      </c>
      <c r="AB4" s="3586" t="s">
        <v>2009</v>
      </c>
      <c r="AC4" s="3585" t="s">
        <v>2010</v>
      </c>
    </row>
    <row r="5" spans="1:30" ht="15">
      <c r="A5" s="1596"/>
      <c r="B5" s="1597"/>
      <c r="C5" s="3607" t="s">
        <v>2013</v>
      </c>
      <c r="D5" s="3608"/>
      <c r="E5" s="3605" t="s">
        <v>2014</v>
      </c>
      <c r="F5" s="3606"/>
      <c r="G5" s="3607" t="s">
        <v>2015</v>
      </c>
      <c r="H5" s="3608"/>
      <c r="I5" s="3607" t="s">
        <v>2016</v>
      </c>
      <c r="J5" s="3608"/>
      <c r="K5" s="1894"/>
      <c r="L5" s="2915"/>
      <c r="M5" s="2916"/>
      <c r="N5" s="2916"/>
      <c r="O5" s="2916"/>
      <c r="P5" s="3594"/>
      <c r="Q5" s="3595"/>
      <c r="R5" s="3600"/>
      <c r="S5" s="3601"/>
      <c r="T5" s="3600"/>
      <c r="U5" s="3601"/>
      <c r="V5" s="3604"/>
      <c r="W5" s="3604"/>
      <c r="X5" s="1594"/>
      <c r="Y5" s="3600"/>
      <c r="Z5" s="3601"/>
      <c r="AA5" s="3586"/>
      <c r="AB5" s="3586"/>
      <c r="AC5" s="3586"/>
    </row>
    <row r="6" spans="1:30" ht="15.75" thickBot="1">
      <c r="A6" s="1599"/>
      <c r="B6" s="1600"/>
      <c r="C6" s="3609" t="s">
        <v>2017</v>
      </c>
      <c r="D6" s="3610"/>
      <c r="E6" s="3611" t="s">
        <v>2017</v>
      </c>
      <c r="F6" s="3612"/>
      <c r="G6" s="3609" t="s">
        <v>2017</v>
      </c>
      <c r="H6" s="3610"/>
      <c r="I6" s="3609" t="s">
        <v>2017</v>
      </c>
      <c r="J6" s="3610"/>
      <c r="K6" s="1894" t="s">
        <v>2018</v>
      </c>
      <c r="L6" s="2915"/>
      <c r="M6" s="2916"/>
      <c r="N6" s="2916"/>
      <c r="O6" s="2916"/>
      <c r="P6" s="3596"/>
      <c r="Q6" s="3597"/>
      <c r="R6" s="3600"/>
      <c r="S6" s="3601"/>
      <c r="T6" s="3602"/>
      <c r="U6" s="3603"/>
      <c r="V6" s="3604"/>
      <c r="W6" s="3604"/>
      <c r="X6" s="1594"/>
      <c r="Y6" s="3602"/>
      <c r="Z6" s="3603"/>
      <c r="AA6" s="3587"/>
      <c r="AB6" s="3587"/>
      <c r="AC6" s="3587"/>
    </row>
    <row r="7" spans="1:30" s="1613" customFormat="1" ht="15.75" thickBot="1">
      <c r="A7" s="1601" t="s">
        <v>2019</v>
      </c>
      <c r="B7" s="1602"/>
      <c r="C7" s="1603">
        <f>'数据-取费表'!B2</f>
        <v>44756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20" t="s">
        <v>2020</v>
      </c>
      <c r="Q7" s="3622"/>
      <c r="R7" s="1609" t="s">
        <v>25</v>
      </c>
      <c r="S7" s="1610">
        <f t="shared" ref="S7:S15" si="0">F7</f>
        <v>0</v>
      </c>
      <c r="T7" s="1609" t="s">
        <v>25</v>
      </c>
      <c r="U7" s="1610">
        <f t="shared" ref="U7:U15" si="1">H7</f>
        <v>0</v>
      </c>
      <c r="V7" s="1609" t="s">
        <v>25</v>
      </c>
      <c r="W7" s="1610">
        <f t="shared" ref="W7:W15" si="2">J7</f>
        <v>0</v>
      </c>
      <c r="X7" s="1611"/>
      <c r="Y7" s="3620" t="s">
        <v>2020</v>
      </c>
      <c r="Z7" s="3621"/>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20" t="s">
        <v>2023</v>
      </c>
      <c r="Q8" s="3621"/>
      <c r="R8" s="1609" t="s">
        <v>25</v>
      </c>
      <c r="S8" s="1610">
        <f t="shared" si="0"/>
        <v>0</v>
      </c>
      <c r="T8" s="1609" t="s">
        <v>25</v>
      </c>
      <c r="U8" s="1610">
        <f t="shared" si="1"/>
        <v>0</v>
      </c>
      <c r="V8" s="1609" t="s">
        <v>25</v>
      </c>
      <c r="W8" s="1610">
        <f t="shared" si="2"/>
        <v>0</v>
      </c>
      <c r="X8" s="1611"/>
      <c r="Y8" s="3620" t="s">
        <v>2023</v>
      </c>
      <c r="Z8" s="3621"/>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4"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8"/>
      <c r="L10" s="2917"/>
      <c r="M10" s="2918"/>
      <c r="N10" s="2918"/>
      <c r="O10" s="2963"/>
      <c r="P10" s="3624"/>
      <c r="Q10" s="1563" t="str">
        <f t="shared" si="6"/>
        <v>土地使用年限（年）</v>
      </c>
      <c r="R10" s="1609" t="s">
        <v>25</v>
      </c>
      <c r="S10" s="1610">
        <f t="shared" si="0"/>
        <v>108</v>
      </c>
      <c r="T10" s="1609" t="s">
        <v>25</v>
      </c>
      <c r="U10" s="1610">
        <f t="shared" si="1"/>
        <v>108</v>
      </c>
      <c r="V10" s="1609" t="s">
        <v>25</v>
      </c>
      <c r="W10" s="1610">
        <f t="shared" si="2"/>
        <v>108</v>
      </c>
      <c r="X10" s="1611"/>
      <c r="Y10" s="3488"/>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4"/>
      <c r="Q11" s="156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4"/>
      <c r="Q12" s="1563" t="str">
        <f t="shared" si="6"/>
        <v>配建</v>
      </c>
      <c r="R12" s="1609" t="s">
        <v>25</v>
      </c>
      <c r="S12" s="1610">
        <f t="shared" si="0"/>
        <v>100</v>
      </c>
      <c r="T12" s="1609" t="s">
        <v>25</v>
      </c>
      <c r="U12" s="1610">
        <f t="shared" si="1"/>
        <v>100</v>
      </c>
      <c r="V12" s="1609" t="s">
        <v>25</v>
      </c>
      <c r="W12" s="1610">
        <f t="shared" si="2"/>
        <v>100</v>
      </c>
      <c r="X12" s="1611"/>
      <c r="Y12" s="348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4"/>
      <c r="Q13" s="1563">
        <f t="shared" si="6"/>
        <v>111</v>
      </c>
      <c r="R13" s="1609" t="s">
        <v>25</v>
      </c>
      <c r="S13" s="1610">
        <f t="shared" si="0"/>
        <v>100</v>
      </c>
      <c r="T13" s="1609" t="s">
        <v>25</v>
      </c>
      <c r="U13" s="1610">
        <f t="shared" si="1"/>
        <v>100</v>
      </c>
      <c r="V13" s="1609" t="s">
        <v>25</v>
      </c>
      <c r="W13" s="1610">
        <f t="shared" si="2"/>
        <v>100</v>
      </c>
      <c r="X13" s="1611"/>
      <c r="Y13" s="348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4"/>
      <c r="Q14" s="1563">
        <f t="shared" si="6"/>
        <v>111</v>
      </c>
      <c r="R14" s="1609" t="s">
        <v>25</v>
      </c>
      <c r="S14" s="1610">
        <f t="shared" si="0"/>
        <v>100</v>
      </c>
      <c r="T14" s="1609" t="s">
        <v>25</v>
      </c>
      <c r="U14" s="1610">
        <f t="shared" si="1"/>
        <v>100</v>
      </c>
      <c r="V14" s="1609" t="s">
        <v>25</v>
      </c>
      <c r="W14" s="1610">
        <f t="shared" si="2"/>
        <v>100</v>
      </c>
      <c r="X14" s="1611"/>
      <c r="Y14" s="348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3" t="s">
        <v>2031</v>
      </c>
      <c r="Q15" s="1544" t="str">
        <f t="shared" si="6"/>
        <v>居住社区成熟度</v>
      </c>
      <c r="R15" s="1654" t="s">
        <v>25</v>
      </c>
      <c r="S15" s="1655">
        <f t="shared" si="0"/>
        <v>100</v>
      </c>
      <c r="T15" s="1654" t="s">
        <v>25</v>
      </c>
      <c r="U15" s="1655">
        <f t="shared" si="1"/>
        <v>100</v>
      </c>
      <c r="V15" s="1654" t="s">
        <v>25</v>
      </c>
      <c r="W15" s="1655">
        <f t="shared" si="2"/>
        <v>100</v>
      </c>
      <c r="X15" s="1594"/>
      <c r="Y15" s="361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4"/>
      <c r="Q16" s="1544"/>
      <c r="R16" s="1654"/>
      <c r="S16" s="1655"/>
      <c r="T16" s="1654"/>
      <c r="U16" s="1655"/>
      <c r="V16" s="1654"/>
      <c r="W16" s="1655"/>
      <c r="X16" s="1594"/>
      <c r="Y16" s="361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4"/>
      <c r="Q17" s="1544" t="str">
        <f>B17</f>
        <v>商业繁华度</v>
      </c>
      <c r="R17" s="1654" t="s">
        <v>25</v>
      </c>
      <c r="S17" s="1655">
        <f>F17</f>
        <v>100</v>
      </c>
      <c r="T17" s="1654" t="s">
        <v>25</v>
      </c>
      <c r="U17" s="1655">
        <f>H17</f>
        <v>100</v>
      </c>
      <c r="V17" s="1654" t="s">
        <v>25</v>
      </c>
      <c r="W17" s="1655">
        <f>J17</f>
        <v>100</v>
      </c>
      <c r="X17" s="1594"/>
      <c r="Y17" s="361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4"/>
      <c r="Q18" s="1544"/>
      <c r="R18" s="1654"/>
      <c r="S18" s="1655"/>
      <c r="T18" s="1654"/>
      <c r="U18" s="1655"/>
      <c r="V18" s="1654"/>
      <c r="W18" s="1655"/>
      <c r="X18" s="1594"/>
      <c r="Y18" s="361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4"/>
      <c r="Q19" s="1544" t="str">
        <f>B19</f>
        <v>办公集聚程度</v>
      </c>
      <c r="R19" s="1654" t="s">
        <v>25</v>
      </c>
      <c r="S19" s="1655">
        <f>F19</f>
        <v>100</v>
      </c>
      <c r="T19" s="1654" t="s">
        <v>25</v>
      </c>
      <c r="U19" s="1655">
        <f>H19</f>
        <v>100</v>
      </c>
      <c r="V19" s="1654" t="s">
        <v>25</v>
      </c>
      <c r="W19" s="1655">
        <f>J19</f>
        <v>100</v>
      </c>
      <c r="X19" s="1594"/>
      <c r="Y19" s="361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4"/>
      <c r="Q20" s="1544"/>
      <c r="R20" s="1654"/>
      <c r="S20" s="1655"/>
      <c r="T20" s="1654"/>
      <c r="U20" s="1655"/>
      <c r="V20" s="1654"/>
      <c r="W20" s="1655"/>
      <c r="X20" s="1594"/>
      <c r="Y20" s="361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4"/>
      <c r="Q21" s="1544" t="str">
        <f>B21</f>
        <v>交通便捷度</v>
      </c>
      <c r="R21" s="1654" t="s">
        <v>25</v>
      </c>
      <c r="S21" s="1655">
        <f>F21</f>
        <v>100</v>
      </c>
      <c r="T21" s="1654" t="s">
        <v>25</v>
      </c>
      <c r="U21" s="1655">
        <f>H21</f>
        <v>100</v>
      </c>
      <c r="V21" s="1654" t="s">
        <v>25</v>
      </c>
      <c r="W21" s="1655">
        <f>J21</f>
        <v>100</v>
      </c>
      <c r="X21" s="1594"/>
      <c r="Y21" s="361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4"/>
      <c r="Q22" s="1544"/>
      <c r="R22" s="1654"/>
      <c r="S22" s="1655"/>
      <c r="T22" s="1654"/>
      <c r="U22" s="1655"/>
      <c r="V22" s="1654"/>
      <c r="W22" s="1655"/>
      <c r="X22" s="1594"/>
      <c r="Y22" s="361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4"/>
      <c r="Q23" s="1544" t="str">
        <f t="shared" ref="Q23:Q37" si="8">B23</f>
        <v>区域土地利用方向</v>
      </c>
      <c r="R23" s="1654" t="s">
        <v>25</v>
      </c>
      <c r="S23" s="1655">
        <f>F23</f>
        <v>100</v>
      </c>
      <c r="T23" s="1654" t="s">
        <v>25</v>
      </c>
      <c r="U23" s="1655">
        <f>H23</f>
        <v>100</v>
      </c>
      <c r="V23" s="1654" t="s">
        <v>25</v>
      </c>
      <c r="W23" s="1655">
        <f>J23</f>
        <v>100</v>
      </c>
      <c r="X23" s="1594"/>
      <c r="Y23" s="361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4"/>
      <c r="Q24" s="1544"/>
      <c r="R24" s="1654"/>
      <c r="S24" s="1655"/>
      <c r="T24" s="1654"/>
      <c r="U24" s="1655"/>
      <c r="V24" s="1654"/>
      <c r="W24" s="1655"/>
      <c r="X24" s="1594"/>
      <c r="Y24" s="361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4"/>
      <c r="Q25" s="1544" t="str">
        <f t="shared" si="8"/>
        <v>自然及人文环境状况</v>
      </c>
      <c r="R25" s="1654" t="s">
        <v>25</v>
      </c>
      <c r="S25" s="1655">
        <f>F25</f>
        <v>100</v>
      </c>
      <c r="T25" s="1654" t="s">
        <v>25</v>
      </c>
      <c r="U25" s="1655">
        <f>H25</f>
        <v>100</v>
      </c>
      <c r="V25" s="1654" t="s">
        <v>25</v>
      </c>
      <c r="W25" s="1655">
        <f>J25</f>
        <v>100</v>
      </c>
      <c r="X25" s="1594"/>
      <c r="Y25" s="361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4"/>
      <c r="Q26" s="1544"/>
      <c r="R26" s="1654"/>
      <c r="S26" s="1655"/>
      <c r="T26" s="1654"/>
      <c r="U26" s="1655"/>
      <c r="V26" s="1654"/>
      <c r="W26" s="1655"/>
      <c r="X26" s="1594"/>
      <c r="Y26" s="361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4"/>
      <c r="Q27" s="1563" t="str">
        <f t="shared" ref="Q27" si="9">B27</f>
        <v>公共配套设施</v>
      </c>
      <c r="R27" s="1609" t="s">
        <v>25</v>
      </c>
      <c r="S27" s="1610">
        <f>F27</f>
        <v>100</v>
      </c>
      <c r="T27" s="1609" t="s">
        <v>25</v>
      </c>
      <c r="U27" s="1610">
        <f>H27</f>
        <v>100</v>
      </c>
      <c r="V27" s="1609" t="s">
        <v>25</v>
      </c>
      <c r="W27" s="1610">
        <f>J27</f>
        <v>100</v>
      </c>
      <c r="X27" s="1594"/>
      <c r="Y27" s="361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4"/>
      <c r="Q28" s="1544"/>
      <c r="R28" s="1654"/>
      <c r="S28" s="1655"/>
      <c r="T28" s="1654"/>
      <c r="U28" s="1655"/>
      <c r="V28" s="1654"/>
      <c r="W28" s="1655"/>
      <c r="X28" s="1594"/>
      <c r="Y28" s="361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4"/>
      <c r="Q29" s="1563" t="str">
        <f t="shared" si="8"/>
        <v>基础设施水平</v>
      </c>
      <c r="R29" s="1609" t="s">
        <v>25</v>
      </c>
      <c r="S29" s="1610">
        <f>F29</f>
        <v>100</v>
      </c>
      <c r="T29" s="1609" t="s">
        <v>25</v>
      </c>
      <c r="U29" s="1610">
        <f>H29</f>
        <v>100</v>
      </c>
      <c r="V29" s="1609" t="s">
        <v>25</v>
      </c>
      <c r="W29" s="1610">
        <f>J29</f>
        <v>100</v>
      </c>
      <c r="X29" s="1611"/>
      <c r="Y29" s="361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4"/>
      <c r="Q30" s="1563"/>
      <c r="R30" s="1609"/>
      <c r="S30" s="1610"/>
      <c r="T30" s="1609"/>
      <c r="U30" s="1610"/>
      <c r="V30" s="1609"/>
      <c r="W30" s="1610"/>
      <c r="X30" s="1611"/>
      <c r="Y30" s="361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4"/>
      <c r="Q32" s="1544" t="str">
        <f t="shared" si="8"/>
        <v>毗邻道路的类型与等级</v>
      </c>
      <c r="R32" s="1654" t="s">
        <v>25</v>
      </c>
      <c r="S32" s="1655">
        <f t="shared" si="10"/>
        <v>100</v>
      </c>
      <c r="T32" s="1654" t="s">
        <v>25</v>
      </c>
      <c r="U32" s="1655">
        <f t="shared" si="11"/>
        <v>100</v>
      </c>
      <c r="V32" s="1654" t="s">
        <v>25</v>
      </c>
      <c r="W32" s="1655">
        <f t="shared" si="12"/>
        <v>100</v>
      </c>
      <c r="X32" s="1594"/>
      <c r="Y32" s="361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4"/>
      <c r="Q33" s="1544"/>
      <c r="R33" s="1654"/>
      <c r="S33" s="1655"/>
      <c r="T33" s="1654"/>
      <c r="U33" s="1655"/>
      <c r="V33" s="1654"/>
      <c r="W33" s="1655"/>
      <c r="X33" s="1594"/>
      <c r="Y33" s="361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4"/>
      <c r="Q34" s="1544" t="str">
        <f t="shared" si="8"/>
        <v>土地级别</v>
      </c>
      <c r="R34" s="1654" t="s">
        <v>25</v>
      </c>
      <c r="S34" s="1655">
        <f t="shared" si="10"/>
        <v>100</v>
      </c>
      <c r="T34" s="1654" t="s">
        <v>25</v>
      </c>
      <c r="U34" s="1655">
        <f t="shared" si="11"/>
        <v>100</v>
      </c>
      <c r="V34" s="1654" t="s">
        <v>25</v>
      </c>
      <c r="W34" s="1655">
        <f t="shared" si="12"/>
        <v>100</v>
      </c>
      <c r="X34" s="1594"/>
      <c r="Y34" s="361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4"/>
      <c r="Q35" s="1544">
        <f t="shared" si="8"/>
        <v>111</v>
      </c>
      <c r="R35" s="1654" t="s">
        <v>25</v>
      </c>
      <c r="S35" s="1655">
        <f t="shared" si="10"/>
        <v>100</v>
      </c>
      <c r="T35" s="1654" t="s">
        <v>25</v>
      </c>
      <c r="U35" s="1655">
        <f t="shared" si="11"/>
        <v>100</v>
      </c>
      <c r="V35" s="1654" t="s">
        <v>25</v>
      </c>
      <c r="W35" s="1655">
        <f t="shared" si="12"/>
        <v>100</v>
      </c>
      <c r="X35" s="1594"/>
      <c r="Y35" s="361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3" t="s">
        <v>2037</v>
      </c>
      <c r="Q36" s="1544">
        <f t="shared" si="8"/>
        <v>111</v>
      </c>
      <c r="R36" s="1654" t="s">
        <v>25</v>
      </c>
      <c r="S36" s="1655">
        <f t="shared" si="10"/>
        <v>100</v>
      </c>
      <c r="T36" s="1654" t="s">
        <v>25</v>
      </c>
      <c r="U36" s="1655">
        <f t="shared" si="11"/>
        <v>100</v>
      </c>
      <c r="V36" s="1654" t="s">
        <v>25</v>
      </c>
      <c r="W36" s="1655">
        <f t="shared" si="12"/>
        <v>100</v>
      </c>
      <c r="X36" s="1594"/>
      <c r="Y36" s="361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8"/>
      <c r="Q37" s="1544">
        <f t="shared" si="8"/>
        <v>111</v>
      </c>
      <c r="R37" s="1696" t="s">
        <v>25</v>
      </c>
      <c r="S37" s="1697">
        <f t="shared" si="10"/>
        <v>100</v>
      </c>
      <c r="T37" s="1696" t="s">
        <v>25</v>
      </c>
      <c r="U37" s="1697">
        <f t="shared" si="11"/>
        <v>100</v>
      </c>
      <c r="V37" s="1696" t="s">
        <v>25</v>
      </c>
      <c r="W37" s="1697">
        <f t="shared" si="12"/>
        <v>100</v>
      </c>
      <c r="X37" s="1698"/>
      <c r="Y37" s="361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8"/>
      <c r="Q38" s="1544" t="str">
        <f>B38</f>
        <v>宗地面积</v>
      </c>
      <c r="R38" s="1654" t="s">
        <v>25</v>
      </c>
      <c r="S38" s="1655" t="e">
        <f t="shared" si="10"/>
        <v>#N/A</v>
      </c>
      <c r="T38" s="1654" t="s">
        <v>25</v>
      </c>
      <c r="U38" s="1655" t="e">
        <f t="shared" si="11"/>
        <v>#N/A</v>
      </c>
      <c r="V38" s="1654" t="s">
        <v>25</v>
      </c>
      <c r="W38" s="1655" t="e">
        <f t="shared" si="12"/>
        <v>#N/A</v>
      </c>
      <c r="X38" s="1594"/>
      <c r="Y38" s="361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8"/>
      <c r="Q39" s="1544" t="str">
        <f t="shared" ref="Q39:Q45" si="14">B39</f>
        <v>宗地形状</v>
      </c>
      <c r="R39" s="1654" t="s">
        <v>25</v>
      </c>
      <c r="S39" s="1655">
        <f t="shared" si="10"/>
        <v>100</v>
      </c>
      <c r="T39" s="1654" t="s">
        <v>25</v>
      </c>
      <c r="U39" s="1655">
        <f t="shared" si="11"/>
        <v>100</v>
      </c>
      <c r="V39" s="1654" t="s">
        <v>25</v>
      </c>
      <c r="W39" s="1655">
        <f t="shared" si="12"/>
        <v>100</v>
      </c>
      <c r="X39" s="1594"/>
      <c r="Y39" s="361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8"/>
      <c r="Q40" s="1544" t="str">
        <f t="shared" si="14"/>
        <v>临街宽度及深度</v>
      </c>
      <c r="R40" s="1654" t="s">
        <v>25</v>
      </c>
      <c r="S40" s="1655">
        <f t="shared" si="10"/>
        <v>100</v>
      </c>
      <c r="T40" s="1654" t="s">
        <v>25</v>
      </c>
      <c r="U40" s="1655">
        <f t="shared" si="11"/>
        <v>100</v>
      </c>
      <c r="V40" s="1654" t="s">
        <v>25</v>
      </c>
      <c r="W40" s="1655">
        <f t="shared" si="12"/>
        <v>100</v>
      </c>
      <c r="X40" s="1594"/>
      <c r="Y40" s="361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8"/>
      <c r="Q41" s="1544" t="str">
        <f t="shared" si="14"/>
        <v>宗地开发程度</v>
      </c>
      <c r="R41" s="1609" t="s">
        <v>25</v>
      </c>
      <c r="S41" s="1610">
        <f t="shared" si="10"/>
        <v>100</v>
      </c>
      <c r="T41" s="1609" t="s">
        <v>25</v>
      </c>
      <c r="U41" s="1610">
        <f t="shared" si="11"/>
        <v>100</v>
      </c>
      <c r="V41" s="1609" t="s">
        <v>25</v>
      </c>
      <c r="W41" s="1610">
        <f t="shared" si="12"/>
        <v>100</v>
      </c>
      <c r="X41" s="1611"/>
      <c r="Y41" s="361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8" t="s">
        <v>2037</v>
      </c>
      <c r="Q42" s="1544" t="str">
        <f t="shared" si="14"/>
        <v>工程地质条件</v>
      </c>
      <c r="R42" s="1654" t="s">
        <v>25</v>
      </c>
      <c r="S42" s="1655">
        <f t="shared" si="10"/>
        <v>100</v>
      </c>
      <c r="T42" s="1654" t="s">
        <v>25</v>
      </c>
      <c r="U42" s="1655">
        <f t="shared" si="11"/>
        <v>100</v>
      </c>
      <c r="V42" s="1654" t="s">
        <v>25</v>
      </c>
      <c r="W42" s="1655">
        <f t="shared" si="12"/>
        <v>100</v>
      </c>
      <c r="X42" s="1594"/>
      <c r="Y42" s="361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8"/>
      <c r="Q43" s="1544">
        <f t="shared" si="14"/>
        <v>111</v>
      </c>
      <c r="R43" s="1654" t="s">
        <v>25</v>
      </c>
      <c r="S43" s="1655">
        <f t="shared" si="10"/>
        <v>100</v>
      </c>
      <c r="T43" s="1654" t="s">
        <v>25</v>
      </c>
      <c r="U43" s="1655">
        <f t="shared" si="11"/>
        <v>100</v>
      </c>
      <c r="V43" s="1654" t="s">
        <v>25</v>
      </c>
      <c r="W43" s="1655">
        <f t="shared" si="12"/>
        <v>100</v>
      </c>
      <c r="X43" s="1594"/>
      <c r="Y43" s="361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8"/>
      <c r="Q44" s="1544">
        <f t="shared" si="14"/>
        <v>111</v>
      </c>
      <c r="R44" s="1654" t="s">
        <v>25</v>
      </c>
      <c r="S44" s="1655">
        <f t="shared" si="10"/>
        <v>100</v>
      </c>
      <c r="T44" s="1654" t="s">
        <v>25</v>
      </c>
      <c r="U44" s="1655">
        <f t="shared" si="11"/>
        <v>100</v>
      </c>
      <c r="V44" s="1654" t="s">
        <v>25</v>
      </c>
      <c r="W44" s="1655">
        <f t="shared" si="12"/>
        <v>100</v>
      </c>
      <c r="X44" s="1594"/>
      <c r="Y44" s="361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8"/>
      <c r="Q45" s="1544">
        <f t="shared" si="14"/>
        <v>111</v>
      </c>
      <c r="R45" s="1696" t="s">
        <v>25</v>
      </c>
      <c r="S45" s="1697">
        <f t="shared" si="10"/>
        <v>100</v>
      </c>
      <c r="T45" s="1696" t="s">
        <v>25</v>
      </c>
      <c r="U45" s="1697">
        <f t="shared" si="11"/>
        <v>100</v>
      </c>
      <c r="V45" s="1696" t="s">
        <v>25</v>
      </c>
      <c r="W45" s="1697">
        <f t="shared" si="12"/>
        <v>100</v>
      </c>
      <c r="X45" s="1698"/>
      <c r="Y45" s="361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4" t="str">
        <f>A46</f>
        <v>成交单价</v>
      </c>
      <c r="Q46" s="3624"/>
      <c r="R46" s="3604">
        <f>E46</f>
        <v>0</v>
      </c>
      <c r="S46" s="3604"/>
      <c r="T46" s="3604">
        <f>G46</f>
        <v>0</v>
      </c>
      <c r="U46" s="3604"/>
      <c r="V46" s="3604">
        <f>I46</f>
        <v>0</v>
      </c>
      <c r="W46" s="3604"/>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4" t="str">
        <f>A47</f>
        <v>比较价值（元/平方米）</v>
      </c>
      <c r="Q47" s="3624"/>
      <c r="R47" s="3676" t="e">
        <f>ROUND(PRODUCT(R46,AA7:AA45),0)</f>
        <v>#DIV/0!</v>
      </c>
      <c r="S47" s="3676"/>
      <c r="T47" s="3676" t="e">
        <f>ROUND(PRODUCT(T46,AB7:AB45),0)</f>
        <v>#DIV/0!</v>
      </c>
      <c r="U47" s="3676"/>
      <c r="V47" s="3676" t="e">
        <f>ROUND(PRODUCT(V46,AC7:AC45),0)</f>
        <v>#DIV/0!</v>
      </c>
      <c r="W47" s="3676"/>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30" t="str">
        <f>A48</f>
        <v>估价对象XX用房的比较价值（楼面单价，元/平方米）</v>
      </c>
      <c r="Q48" s="3631"/>
      <c r="R48" s="3677" t="e">
        <f>ROUND(IF(D47="简单平均",AVERAGE(R47:W47),R47*F47+T47*H47+V47*J47),0)</f>
        <v>#DIV/0!</v>
      </c>
      <c r="S48" s="3677"/>
      <c r="T48" s="3677"/>
      <c r="U48" s="3677"/>
      <c r="V48" s="3677"/>
      <c r="W48" s="3677"/>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2022-7-1</v>
      </c>
      <c r="D67" s="1969">
        <f>EDATE(C67,-3)</f>
        <v>44652</v>
      </c>
      <c r="E67" s="1969">
        <f t="shared" ref="E67:O67" si="18">EDATE(D67,-3)</f>
        <v>44562</v>
      </c>
      <c r="F67" s="1969">
        <f t="shared" si="18"/>
        <v>44470</v>
      </c>
      <c r="G67" s="1969">
        <f t="shared" si="18"/>
        <v>44378</v>
      </c>
      <c r="H67" s="1969">
        <f t="shared" si="18"/>
        <v>44287</v>
      </c>
      <c r="I67" s="1969">
        <f t="shared" si="18"/>
        <v>44197</v>
      </c>
      <c r="J67" s="1969">
        <f t="shared" si="18"/>
        <v>44105</v>
      </c>
      <c r="K67" s="1969">
        <f t="shared" si="18"/>
        <v>44013</v>
      </c>
      <c r="L67" s="1969">
        <f t="shared" si="18"/>
        <v>43922</v>
      </c>
      <c r="M67" s="1969">
        <f t="shared" si="18"/>
        <v>43831</v>
      </c>
      <c r="N67" s="1969">
        <f t="shared" si="18"/>
        <v>43739</v>
      </c>
      <c r="O67" s="1969">
        <f t="shared" si="18"/>
        <v>43647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6" t="s">
        <v>2007</v>
      </c>
      <c r="D4" s="3647"/>
      <c r="E4" s="3648" t="s">
        <v>2008</v>
      </c>
      <c r="F4" s="3649"/>
      <c r="G4" s="3646" t="s">
        <v>2009</v>
      </c>
      <c r="H4" s="3647"/>
      <c r="I4" s="3646" t="s">
        <v>2010</v>
      </c>
      <c r="J4" s="3647"/>
      <c r="K4" s="496" t="s">
        <v>2011</v>
      </c>
      <c r="L4" s="2943"/>
      <c r="M4" s="2944"/>
      <c r="N4" s="2944"/>
      <c r="O4" s="2944"/>
      <c r="P4" s="3650" t="s">
        <v>2012</v>
      </c>
      <c r="Q4" s="3651"/>
      <c r="R4" s="3656" t="s">
        <v>2008</v>
      </c>
      <c r="S4" s="3657"/>
      <c r="T4" s="3656" t="s">
        <v>2009</v>
      </c>
      <c r="U4" s="3657"/>
      <c r="V4" s="3662" t="s">
        <v>2010</v>
      </c>
      <c r="W4" s="3662"/>
      <c r="X4" s="1263"/>
      <c r="Y4" s="3656" t="s">
        <v>2012</v>
      </c>
      <c r="Z4" s="3657"/>
      <c r="AA4" s="3643" t="s">
        <v>2008</v>
      </c>
      <c r="AB4" s="3644" t="s">
        <v>2009</v>
      </c>
      <c r="AC4" s="3643" t="s">
        <v>2010</v>
      </c>
    </row>
    <row r="5" spans="1:29" ht="15">
      <c r="A5" s="297"/>
      <c r="B5" s="298"/>
      <c r="C5" s="3639" t="s">
        <v>2013</v>
      </c>
      <c r="D5" s="3640"/>
      <c r="E5" s="3663" t="s">
        <v>2014</v>
      </c>
      <c r="F5" s="3664"/>
      <c r="G5" s="3639" t="s">
        <v>2015</v>
      </c>
      <c r="H5" s="3640"/>
      <c r="I5" s="3639" t="s">
        <v>2016</v>
      </c>
      <c r="J5" s="3640"/>
      <c r="K5" s="496"/>
      <c r="L5" s="2943"/>
      <c r="M5" s="2944"/>
      <c r="N5" s="2944"/>
      <c r="O5" s="2944"/>
      <c r="P5" s="3652"/>
      <c r="Q5" s="3653"/>
      <c r="R5" s="3658"/>
      <c r="S5" s="3659"/>
      <c r="T5" s="3658"/>
      <c r="U5" s="3659"/>
      <c r="V5" s="3662"/>
      <c r="W5" s="3662"/>
      <c r="X5" s="1263"/>
      <c r="Y5" s="3658"/>
      <c r="Z5" s="3659"/>
      <c r="AA5" s="3644"/>
      <c r="AB5" s="3644"/>
      <c r="AC5" s="3644"/>
    </row>
    <row r="6" spans="1:29" ht="15.75" thickBot="1">
      <c r="A6" s="299"/>
      <c r="B6" s="300"/>
      <c r="C6" s="3636" t="s">
        <v>2017</v>
      </c>
      <c r="D6" s="3637"/>
      <c r="E6" s="3634" t="s">
        <v>2017</v>
      </c>
      <c r="F6" s="3635"/>
      <c r="G6" s="3636" t="s">
        <v>2017</v>
      </c>
      <c r="H6" s="3637"/>
      <c r="I6" s="3636" t="s">
        <v>2017</v>
      </c>
      <c r="J6" s="3637"/>
      <c r="K6" s="496" t="s">
        <v>2018</v>
      </c>
      <c r="L6" s="2943"/>
      <c r="M6" s="2944"/>
      <c r="N6" s="2944"/>
      <c r="O6" s="2944"/>
      <c r="P6" s="3654"/>
      <c r="Q6" s="3655"/>
      <c r="R6" s="3658"/>
      <c r="S6" s="3659"/>
      <c r="T6" s="3660"/>
      <c r="U6" s="3661"/>
      <c r="V6" s="3662"/>
      <c r="W6" s="3662"/>
      <c r="X6" s="1263"/>
      <c r="Y6" s="3660"/>
      <c r="Z6" s="3661"/>
      <c r="AA6" s="3645"/>
      <c r="AB6" s="3645"/>
      <c r="AC6" s="3645"/>
    </row>
    <row r="7" spans="1:29" s="25" customFormat="1" ht="15.75" thickBot="1">
      <c r="A7" s="301" t="s">
        <v>2019</v>
      </c>
      <c r="B7" s="302"/>
      <c r="C7" s="303">
        <f>'数据-取费表'!B2</f>
        <v>44756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65"/>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8" t="s">
        <v>2026</v>
      </c>
      <c r="Q9" s="1255" t="str">
        <f t="shared" ref="Q9:Q15" si="6">B9</f>
        <v>用途</v>
      </c>
      <c r="R9" s="627" t="s">
        <v>25</v>
      </c>
      <c r="S9" s="628">
        <f t="shared" si="0"/>
        <v>100</v>
      </c>
      <c r="T9" s="627" t="s">
        <v>25</v>
      </c>
      <c r="U9" s="628">
        <f t="shared" si="1"/>
        <v>100</v>
      </c>
      <c r="V9" s="627" t="s">
        <v>25</v>
      </c>
      <c r="W9" s="628">
        <f t="shared" si="2"/>
        <v>100</v>
      </c>
      <c r="X9" s="629"/>
      <c r="Y9" s="366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8"/>
      <c r="M10" s="2949"/>
      <c r="N10" s="2949"/>
      <c r="O10" s="2950"/>
      <c r="P10" s="3638"/>
      <c r="Q10" s="1255" t="str">
        <f t="shared" si="6"/>
        <v>土地使用年限（年）</v>
      </c>
      <c r="R10" s="627" t="s">
        <v>25</v>
      </c>
      <c r="S10" s="628">
        <f t="shared" si="0"/>
        <v>108</v>
      </c>
      <c r="T10" s="627" t="s">
        <v>25</v>
      </c>
      <c r="U10" s="628">
        <f t="shared" si="1"/>
        <v>108</v>
      </c>
      <c r="V10" s="627" t="s">
        <v>25</v>
      </c>
      <c r="W10" s="628">
        <f t="shared" si="2"/>
        <v>108</v>
      </c>
      <c r="X10" s="629"/>
      <c r="Y10" s="3668"/>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8"/>
      <c r="Q11" s="1255" t="str">
        <f t="shared" si="6"/>
        <v>容积率</v>
      </c>
      <c r="R11" s="627" t="s">
        <v>25</v>
      </c>
      <c r="S11" s="628" t="e">
        <f t="shared" si="0"/>
        <v>#N/A</v>
      </c>
      <c r="T11" s="627" t="s">
        <v>25</v>
      </c>
      <c r="U11" s="628" t="e">
        <f t="shared" si="1"/>
        <v>#N/A</v>
      </c>
      <c r="V11" s="627" t="s">
        <v>25</v>
      </c>
      <c r="W11" s="628" t="e">
        <f t="shared" si="2"/>
        <v>#N/A</v>
      </c>
      <c r="X11" s="629"/>
      <c r="Y11" s="366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8"/>
      <c r="Q12" s="1255">
        <f t="shared" si="6"/>
        <v>111</v>
      </c>
      <c r="R12" s="627" t="s">
        <v>25</v>
      </c>
      <c r="S12" s="628">
        <f t="shared" si="0"/>
        <v>100</v>
      </c>
      <c r="T12" s="627" t="s">
        <v>25</v>
      </c>
      <c r="U12" s="628">
        <f t="shared" si="1"/>
        <v>100</v>
      </c>
      <c r="V12" s="627" t="s">
        <v>25</v>
      </c>
      <c r="W12" s="628">
        <f t="shared" si="2"/>
        <v>100</v>
      </c>
      <c r="X12" s="629"/>
      <c r="Y12" s="366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8"/>
      <c r="Q13" s="1255">
        <f t="shared" si="6"/>
        <v>111</v>
      </c>
      <c r="R13" s="627" t="s">
        <v>25</v>
      </c>
      <c r="S13" s="628">
        <f t="shared" si="0"/>
        <v>100</v>
      </c>
      <c r="T13" s="627" t="s">
        <v>25</v>
      </c>
      <c r="U13" s="628">
        <f t="shared" si="1"/>
        <v>100</v>
      </c>
      <c r="V13" s="627" t="s">
        <v>25</v>
      </c>
      <c r="W13" s="628">
        <f t="shared" si="2"/>
        <v>100</v>
      </c>
      <c r="X13" s="629"/>
      <c r="Y13" s="366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8"/>
      <c r="Q14" s="1255">
        <f t="shared" si="6"/>
        <v>111</v>
      </c>
      <c r="R14" s="627" t="s">
        <v>25</v>
      </c>
      <c r="S14" s="628">
        <f t="shared" si="0"/>
        <v>100</v>
      </c>
      <c r="T14" s="627" t="s">
        <v>25</v>
      </c>
      <c r="U14" s="628">
        <f t="shared" si="1"/>
        <v>100</v>
      </c>
      <c r="V14" s="627" t="s">
        <v>25</v>
      </c>
      <c r="W14" s="628">
        <f t="shared" si="2"/>
        <v>100</v>
      </c>
      <c r="X14" s="629"/>
      <c r="Y14" s="3668"/>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6" t="s">
        <v>2031</v>
      </c>
      <c r="Q15" s="1262" t="str">
        <f t="shared" si="6"/>
        <v>产业集聚程度</v>
      </c>
      <c r="R15" s="631" t="s">
        <v>25</v>
      </c>
      <c r="S15" s="632">
        <f t="shared" si="0"/>
        <v>100</v>
      </c>
      <c r="T15" s="631" t="s">
        <v>25</v>
      </c>
      <c r="U15" s="632">
        <f t="shared" si="1"/>
        <v>100</v>
      </c>
      <c r="V15" s="631" t="s">
        <v>25</v>
      </c>
      <c r="W15" s="632">
        <f t="shared" si="2"/>
        <v>100</v>
      </c>
      <c r="X15" s="1263"/>
      <c r="Y15" s="366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7"/>
      <c r="Q16" s="1262"/>
      <c r="R16" s="631"/>
      <c r="S16" s="632"/>
      <c r="T16" s="631"/>
      <c r="U16" s="632"/>
      <c r="V16" s="631"/>
      <c r="W16" s="632"/>
      <c r="X16" s="1263"/>
      <c r="Y16" s="3667"/>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7"/>
      <c r="Q17" s="1262" t="str">
        <f>B17</f>
        <v>交通便捷度</v>
      </c>
      <c r="R17" s="631" t="s">
        <v>25</v>
      </c>
      <c r="S17" s="632">
        <f>F17</f>
        <v>100</v>
      </c>
      <c r="T17" s="631" t="s">
        <v>25</v>
      </c>
      <c r="U17" s="632">
        <f>H17</f>
        <v>100</v>
      </c>
      <c r="V17" s="631" t="s">
        <v>25</v>
      </c>
      <c r="W17" s="632">
        <f>J17</f>
        <v>100</v>
      </c>
      <c r="X17" s="1263"/>
      <c r="Y17" s="366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7"/>
      <c r="Q18" s="1262"/>
      <c r="R18" s="631"/>
      <c r="S18" s="632"/>
      <c r="T18" s="631"/>
      <c r="U18" s="632"/>
      <c r="V18" s="631"/>
      <c r="W18" s="632"/>
      <c r="X18" s="1263"/>
      <c r="Y18" s="3667"/>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7"/>
      <c r="Q19" s="1262" t="str">
        <f t="shared" ref="Q19:Q33" si="8">B19</f>
        <v>区域土地利用方向</v>
      </c>
      <c r="R19" s="631" t="s">
        <v>25</v>
      </c>
      <c r="S19" s="632">
        <f>F19</f>
        <v>100</v>
      </c>
      <c r="T19" s="631" t="s">
        <v>25</v>
      </c>
      <c r="U19" s="632">
        <f>H19</f>
        <v>100</v>
      </c>
      <c r="V19" s="631" t="s">
        <v>25</v>
      </c>
      <c r="W19" s="632">
        <f>J19</f>
        <v>100</v>
      </c>
      <c r="X19" s="1263"/>
      <c r="Y19" s="366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7"/>
      <c r="Q20" s="1262"/>
      <c r="R20" s="631"/>
      <c r="S20" s="632"/>
      <c r="T20" s="631"/>
      <c r="U20" s="632"/>
      <c r="V20" s="631"/>
      <c r="W20" s="632"/>
      <c r="X20" s="1263"/>
      <c r="Y20" s="3667"/>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7"/>
      <c r="Q21" s="1262" t="str">
        <f t="shared" si="8"/>
        <v>环境状况</v>
      </c>
      <c r="R21" s="631" t="s">
        <v>25</v>
      </c>
      <c r="S21" s="632">
        <f>F21</f>
        <v>100</v>
      </c>
      <c r="T21" s="631" t="s">
        <v>25</v>
      </c>
      <c r="U21" s="632">
        <f>H21</f>
        <v>100</v>
      </c>
      <c r="V21" s="631" t="s">
        <v>25</v>
      </c>
      <c r="W21" s="632">
        <f>J21</f>
        <v>100</v>
      </c>
      <c r="X21" s="1263"/>
      <c r="Y21" s="366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7"/>
      <c r="Q22" s="1262"/>
      <c r="R22" s="631"/>
      <c r="S22" s="632"/>
      <c r="T22" s="631"/>
      <c r="U22" s="632"/>
      <c r="V22" s="631"/>
      <c r="W22" s="632"/>
      <c r="X22" s="1263"/>
      <c r="Y22" s="3667"/>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7"/>
      <c r="Q23" s="1255" t="str">
        <f t="shared" si="8"/>
        <v>公共配套设施</v>
      </c>
      <c r="R23" s="627" t="s">
        <v>25</v>
      </c>
      <c r="S23" s="628">
        <f>F23</f>
        <v>100</v>
      </c>
      <c r="T23" s="627" t="s">
        <v>25</v>
      </c>
      <c r="U23" s="628">
        <f>H23</f>
        <v>100</v>
      </c>
      <c r="V23" s="627" t="s">
        <v>25</v>
      </c>
      <c r="W23" s="628">
        <f>J23</f>
        <v>100</v>
      </c>
      <c r="X23" s="629"/>
      <c r="Y23" s="366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7"/>
      <c r="Q24" s="1255"/>
      <c r="R24" s="627"/>
      <c r="S24" s="628"/>
      <c r="T24" s="627"/>
      <c r="U24" s="628"/>
      <c r="V24" s="627"/>
      <c r="W24" s="628"/>
      <c r="X24" s="629"/>
      <c r="Y24" s="3667"/>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7"/>
      <c r="Q25" s="1255" t="str">
        <f t="shared" ref="Q25" si="9">B25</f>
        <v>基础设施水平</v>
      </c>
      <c r="R25" s="627" t="s">
        <v>25</v>
      </c>
      <c r="S25" s="628">
        <f>F25</f>
        <v>100</v>
      </c>
      <c r="T25" s="627" t="s">
        <v>25</v>
      </c>
      <c r="U25" s="628">
        <f>H25</f>
        <v>100</v>
      </c>
      <c r="V25" s="627" t="s">
        <v>25</v>
      </c>
      <c r="W25" s="628">
        <f>J25</f>
        <v>100</v>
      </c>
      <c r="X25" s="629"/>
      <c r="Y25" s="366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7"/>
      <c r="Q26" s="1255"/>
      <c r="R26" s="627"/>
      <c r="S26" s="628"/>
      <c r="T26" s="627"/>
      <c r="U26" s="628"/>
      <c r="V26" s="627"/>
      <c r="W26" s="628"/>
      <c r="X26" s="629"/>
      <c r="Y26" s="366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7"/>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7"/>
      <c r="Q28" s="1262" t="str">
        <f t="shared" si="8"/>
        <v>毗邻道路的类型与等级</v>
      </c>
      <c r="R28" s="631" t="s">
        <v>25</v>
      </c>
      <c r="S28" s="632">
        <f t="shared" si="10"/>
        <v>100</v>
      </c>
      <c r="T28" s="631" t="s">
        <v>25</v>
      </c>
      <c r="U28" s="632">
        <f t="shared" si="11"/>
        <v>100</v>
      </c>
      <c r="V28" s="631" t="s">
        <v>25</v>
      </c>
      <c r="W28" s="632">
        <f t="shared" si="12"/>
        <v>100</v>
      </c>
      <c r="X28" s="1263"/>
      <c r="Y28" s="366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7"/>
      <c r="Q29" s="1262"/>
      <c r="R29" s="631"/>
      <c r="S29" s="632"/>
      <c r="T29" s="631"/>
      <c r="U29" s="632"/>
      <c r="V29" s="631"/>
      <c r="W29" s="632"/>
      <c r="X29" s="1263"/>
      <c r="Y29" s="366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7"/>
      <c r="Q30" s="1262" t="str">
        <f t="shared" si="8"/>
        <v>土地级别</v>
      </c>
      <c r="R30" s="631" t="s">
        <v>25</v>
      </c>
      <c r="S30" s="632">
        <f t="shared" si="10"/>
        <v>100</v>
      </c>
      <c r="T30" s="631" t="s">
        <v>25</v>
      </c>
      <c r="U30" s="632">
        <f t="shared" si="11"/>
        <v>100</v>
      </c>
      <c r="V30" s="631" t="s">
        <v>25</v>
      </c>
      <c r="W30" s="632">
        <f t="shared" si="12"/>
        <v>100</v>
      </c>
      <c r="X30" s="1263"/>
      <c r="Y30" s="366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7"/>
      <c r="Q31" s="1262">
        <f t="shared" si="8"/>
        <v>111</v>
      </c>
      <c r="R31" s="631" t="s">
        <v>25</v>
      </c>
      <c r="S31" s="632">
        <f t="shared" si="10"/>
        <v>100</v>
      </c>
      <c r="T31" s="631" t="s">
        <v>25</v>
      </c>
      <c r="U31" s="632">
        <f t="shared" si="11"/>
        <v>100</v>
      </c>
      <c r="V31" s="631" t="s">
        <v>25</v>
      </c>
      <c r="W31" s="632">
        <f t="shared" si="12"/>
        <v>100</v>
      </c>
      <c r="X31" s="1263"/>
      <c r="Y31" s="366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9" t="s">
        <v>2037</v>
      </c>
      <c r="Q32" s="1262">
        <f t="shared" si="8"/>
        <v>111</v>
      </c>
      <c r="R32" s="631" t="s">
        <v>25</v>
      </c>
      <c r="S32" s="632">
        <f t="shared" si="10"/>
        <v>100</v>
      </c>
      <c r="T32" s="631" t="s">
        <v>25</v>
      </c>
      <c r="U32" s="632">
        <f t="shared" si="11"/>
        <v>100</v>
      </c>
      <c r="V32" s="631" t="s">
        <v>25</v>
      </c>
      <c r="W32" s="632">
        <f t="shared" si="12"/>
        <v>100</v>
      </c>
      <c r="X32" s="1263"/>
      <c r="Y32" s="3670"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70"/>
      <c r="Q33" s="1262">
        <f t="shared" si="8"/>
        <v>111</v>
      </c>
      <c r="R33" s="634" t="s">
        <v>25</v>
      </c>
      <c r="S33" s="635">
        <f t="shared" si="10"/>
        <v>100</v>
      </c>
      <c r="T33" s="634" t="s">
        <v>25</v>
      </c>
      <c r="U33" s="635">
        <f t="shared" si="11"/>
        <v>100</v>
      </c>
      <c r="V33" s="634" t="s">
        <v>25</v>
      </c>
      <c r="W33" s="635">
        <f t="shared" si="12"/>
        <v>100</v>
      </c>
      <c r="X33" s="636"/>
      <c r="Y33" s="3670"/>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70"/>
      <c r="Q34" s="1262" t="str">
        <f>B34</f>
        <v>宗地面积</v>
      </c>
      <c r="R34" s="631" t="s">
        <v>25</v>
      </c>
      <c r="S34" s="632" t="e">
        <f t="shared" si="10"/>
        <v>#N/A</v>
      </c>
      <c r="T34" s="631" t="s">
        <v>25</v>
      </c>
      <c r="U34" s="632" t="e">
        <f t="shared" si="11"/>
        <v>#N/A</v>
      </c>
      <c r="V34" s="631" t="s">
        <v>25</v>
      </c>
      <c r="W34" s="632" t="e">
        <f t="shared" si="12"/>
        <v>#N/A</v>
      </c>
      <c r="X34" s="1263"/>
      <c r="Y34" s="3670"/>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70"/>
      <c r="Q35" s="1262" t="str">
        <f t="shared" ref="Q35:Q40" si="14">B35</f>
        <v>宗地形状</v>
      </c>
      <c r="R35" s="631" t="s">
        <v>25</v>
      </c>
      <c r="S35" s="632">
        <f t="shared" si="10"/>
        <v>100</v>
      </c>
      <c r="T35" s="631" t="s">
        <v>25</v>
      </c>
      <c r="U35" s="632">
        <f t="shared" si="11"/>
        <v>100</v>
      </c>
      <c r="V35" s="631" t="s">
        <v>25</v>
      </c>
      <c r="W35" s="632">
        <f t="shared" si="12"/>
        <v>100</v>
      </c>
      <c r="X35" s="1263"/>
      <c r="Y35" s="3670"/>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70"/>
      <c r="Q36" s="1262" t="str">
        <f t="shared" si="14"/>
        <v>宗地开发程度</v>
      </c>
      <c r="R36" s="627" t="s">
        <v>25</v>
      </c>
      <c r="S36" s="628">
        <f t="shared" si="10"/>
        <v>100</v>
      </c>
      <c r="T36" s="627" t="s">
        <v>25</v>
      </c>
      <c r="U36" s="628">
        <f t="shared" si="11"/>
        <v>100</v>
      </c>
      <c r="V36" s="627" t="s">
        <v>25</v>
      </c>
      <c r="W36" s="628">
        <f t="shared" si="12"/>
        <v>100</v>
      </c>
      <c r="X36" s="629"/>
      <c r="Y36" s="3670"/>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70" t="s">
        <v>2037</v>
      </c>
      <c r="Q37" s="1262" t="str">
        <f t="shared" si="14"/>
        <v>工程地质条件</v>
      </c>
      <c r="R37" s="631" t="s">
        <v>25</v>
      </c>
      <c r="S37" s="632">
        <f t="shared" si="10"/>
        <v>100</v>
      </c>
      <c r="T37" s="631" t="s">
        <v>25</v>
      </c>
      <c r="U37" s="632">
        <f t="shared" si="11"/>
        <v>100</v>
      </c>
      <c r="V37" s="631" t="s">
        <v>25</v>
      </c>
      <c r="W37" s="632">
        <f t="shared" si="12"/>
        <v>100</v>
      </c>
      <c r="X37" s="1263"/>
      <c r="Y37" s="3670"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70"/>
      <c r="Q38" s="1262">
        <f t="shared" si="14"/>
        <v>111</v>
      </c>
      <c r="R38" s="631" t="s">
        <v>25</v>
      </c>
      <c r="S38" s="632">
        <f t="shared" si="10"/>
        <v>100</v>
      </c>
      <c r="T38" s="631" t="s">
        <v>25</v>
      </c>
      <c r="U38" s="632">
        <f t="shared" si="11"/>
        <v>100</v>
      </c>
      <c r="V38" s="631" t="s">
        <v>25</v>
      </c>
      <c r="W38" s="632">
        <f t="shared" si="12"/>
        <v>100</v>
      </c>
      <c r="X38" s="1263"/>
      <c r="Y38" s="367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70"/>
      <c r="Q39" s="1262">
        <f t="shared" si="14"/>
        <v>111</v>
      </c>
      <c r="R39" s="631" t="s">
        <v>25</v>
      </c>
      <c r="S39" s="632">
        <f t="shared" si="10"/>
        <v>100</v>
      </c>
      <c r="T39" s="631" t="s">
        <v>25</v>
      </c>
      <c r="U39" s="632">
        <f t="shared" si="11"/>
        <v>100</v>
      </c>
      <c r="V39" s="631" t="s">
        <v>25</v>
      </c>
      <c r="W39" s="632">
        <f t="shared" si="12"/>
        <v>100</v>
      </c>
      <c r="X39" s="1263"/>
      <c r="Y39" s="367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70"/>
      <c r="Q40" s="1262">
        <f t="shared" si="14"/>
        <v>111</v>
      </c>
      <c r="R40" s="634" t="s">
        <v>25</v>
      </c>
      <c r="S40" s="635">
        <f t="shared" si="10"/>
        <v>100</v>
      </c>
      <c r="T40" s="634" t="s">
        <v>25</v>
      </c>
      <c r="U40" s="635">
        <f t="shared" si="11"/>
        <v>100</v>
      </c>
      <c r="V40" s="634" t="s">
        <v>25</v>
      </c>
      <c r="W40" s="635">
        <f t="shared" si="12"/>
        <v>100</v>
      </c>
      <c r="X40" s="636"/>
      <c r="Y40" s="3670"/>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8" t="str">
        <f>A41</f>
        <v>成交单价</v>
      </c>
      <c r="Q41" s="3638"/>
      <c r="R41" s="3662">
        <f>E41</f>
        <v>0</v>
      </c>
      <c r="S41" s="3662"/>
      <c r="T41" s="3662">
        <f>G41</f>
        <v>0</v>
      </c>
      <c r="U41" s="3662"/>
      <c r="V41" s="3662">
        <f>I41</f>
        <v>0</v>
      </c>
      <c r="W41" s="3662"/>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8" t="str">
        <f>A42</f>
        <v>比较价值（元/平方米）</v>
      </c>
      <c r="Q42" s="3638"/>
      <c r="R42" s="3679" t="e">
        <f>ROUND(PRODUCT(R41,AA7:AA40),0)</f>
        <v>#DIV/0!</v>
      </c>
      <c r="S42" s="3679"/>
      <c r="T42" s="3679" t="e">
        <f>ROUND(PRODUCT(T41,AB7:AB40),0)</f>
        <v>#DIV/0!</v>
      </c>
      <c r="U42" s="3679"/>
      <c r="V42" s="3679" t="e">
        <f>ROUND(PRODUCT(V41,AC7:AC40),0)</f>
        <v>#DIV/0!</v>
      </c>
      <c r="W42" s="3679"/>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3" t="str">
        <f>A43</f>
        <v>估价对象XX用房的比较价值（楼面单价，元/平方米）</v>
      </c>
      <c r="Q43" s="3674"/>
      <c r="R43" s="3678" t="e">
        <f>ROUND(IF(D42="简单平均",AVERAGE(R42:W42),R42*F42+T42*H42+V42*J42),0)</f>
        <v>#DIV/0!</v>
      </c>
      <c r="S43" s="3678"/>
      <c r="T43" s="3678"/>
      <c r="U43" s="3678"/>
      <c r="V43" s="3678"/>
      <c r="W43" s="3678"/>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估价对象为北京市房地产，为XX所有。根据《》[]，估价对象建筑面积为134.34平方米。根据《》[]，估价对象（分摊）出让国有建设用地使用权面积为平方米。估价对象用途为。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2022年7月14日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134.34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7"/>
      <c r="B4" s="3698"/>
      <c r="C4" s="3698"/>
      <c r="D4" s="3699"/>
      <c r="E4" s="3699"/>
      <c r="F4" s="3699"/>
      <c r="G4" s="3699"/>
      <c r="H4" s="3699"/>
      <c r="I4" s="3699"/>
      <c r="J4" s="3700"/>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1"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2"/>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5" t="s">
        <v>2292</v>
      </c>
      <c r="X8" s="3696"/>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2"/>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6"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2"/>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6"/>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2"/>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6"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1">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6"/>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3"/>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6"/>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3"/>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4"/>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0">
        <f>IF(E2="办公",2,IF(E2="工业",2,IF(E2="住宅",3,IF(E2="商业",IF(C8="不临58条商业街",2,3)))))</f>
        <v>3</v>
      </c>
      <c r="B16" s="1559" t="s">
        <v>2338</v>
      </c>
      <c r="C16" s="1535">
        <f>ROUND(IF(F17="与级别开发程度一致",0,(G17-E17)/C17),0)</f>
        <v>0</v>
      </c>
      <c r="D16" s="3693" t="s">
        <v>2342</v>
      </c>
      <c r="E16" s="3694"/>
      <c r="F16" s="3693" t="s">
        <v>2339</v>
      </c>
      <c r="G16" s="3694"/>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1"/>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44756</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0.87549999999999994</v>
      </c>
      <c r="D20" s="2130" t="s">
        <v>2354</v>
      </c>
      <c r="E20" s="3072">
        <f>存贷款利率!E21/100</f>
        <v>4.3499999999999997E-2</v>
      </c>
      <c r="F20" s="2130" t="s">
        <v>2343</v>
      </c>
      <c r="G20" s="3073">
        <f>SUMIF(M26:P26,E2,M28:P28)</f>
        <v>0.05</v>
      </c>
      <c r="H20" s="2130" t="s">
        <v>2355</v>
      </c>
      <c r="I20" s="2131">
        <f>'数据-取费表'!B13</f>
        <v>38.44</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134.34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0"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1"/>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1"/>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2"/>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2" t="s">
        <v>2437</v>
      </c>
      <c r="B90" s="3682"/>
      <c r="C90" s="3682"/>
      <c r="D90" s="3682"/>
      <c r="E90" s="3682"/>
      <c r="F90" s="3682"/>
      <c r="G90" s="3682"/>
      <c r="H90" s="3682"/>
      <c r="I90" s="3682"/>
      <c r="J90" s="3682"/>
      <c r="K90" s="2234"/>
      <c r="L90" s="2234"/>
      <c r="M90" s="2234"/>
      <c r="N90" s="2234"/>
      <c r="Q90" s="2976"/>
      <c r="R90" s="2976"/>
      <c r="S90" s="2976"/>
      <c r="T90" s="2976"/>
      <c r="U90" s="2976"/>
      <c r="V90" s="2976"/>
      <c r="W90" s="2976"/>
    </row>
    <row r="91" spans="1:33">
      <c r="A91" s="3684" t="s">
        <v>2438</v>
      </c>
      <c r="B91" s="3684"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4"/>
      <c r="B92" s="3684"/>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5"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6"/>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6"/>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6"/>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6"/>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6"/>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6"/>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7"/>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5"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6"/>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6"/>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6"/>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6"/>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6"/>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6"/>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6"/>
      <c r="B108" s="3688"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7"/>
      <c r="B109" s="3689"/>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3" t="s">
        <v>2445</v>
      </c>
      <c r="B110" s="3683"/>
      <c r="C110" s="3683"/>
      <c r="D110" s="3683"/>
      <c r="E110" s="3683"/>
      <c r="F110" s="3683"/>
      <c r="G110" s="3683"/>
      <c r="H110" s="3683"/>
      <c r="I110" s="3683"/>
      <c r="J110" s="3683"/>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5" t="s">
        <v>597</v>
      </c>
      <c r="B1" s="370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5" t="s">
        <v>105</v>
      </c>
      <c r="B1" s="3705"/>
      <c r="C1" s="3705"/>
      <c r="D1" s="3705"/>
      <c r="E1" s="3705"/>
      <c r="F1" s="370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6" t="s">
        <v>118</v>
      </c>
      <c r="B2" s="3706"/>
      <c r="C2" s="3706"/>
      <c r="D2" s="3706"/>
      <c r="E2" s="3706"/>
      <c r="F2" s="370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3" t="s">
        <v>2803</v>
      </c>
      <c r="B20" s="3716" t="s">
        <v>2811</v>
      </c>
      <c r="C20" s="3290" t="s">
        <v>2812</v>
      </c>
      <c r="D20" s="3291"/>
      <c r="E20" s="3292">
        <v>1</v>
      </c>
      <c r="F20" s="3293" t="s">
        <v>2813</v>
      </c>
      <c r="G20" s="3293"/>
    </row>
    <row r="21" spans="1:13" ht="19.5" customHeight="1">
      <c r="A21" s="3714"/>
      <c r="B21" s="3712"/>
      <c r="C21" s="740" t="s">
        <v>2814</v>
      </c>
      <c r="D21" s="741"/>
      <c r="E21" s="3294">
        <v>1</v>
      </c>
      <c r="F21" s="3293" t="s">
        <v>2815</v>
      </c>
      <c r="G21" s="3293"/>
    </row>
    <row r="22" spans="1:13" ht="19.5" customHeight="1">
      <c r="A22" s="3714"/>
      <c r="B22" s="3712"/>
      <c r="C22" s="740" t="s">
        <v>2816</v>
      </c>
      <c r="D22" s="741"/>
      <c r="E22" s="3294">
        <v>0.9</v>
      </c>
      <c r="F22" s="3293" t="s">
        <v>2817</v>
      </c>
      <c r="G22" s="3293"/>
    </row>
    <row r="23" spans="1:13" ht="19.5" customHeight="1">
      <c r="A23" s="3714"/>
      <c r="B23" s="3712"/>
      <c r="C23" s="740" t="s">
        <v>2818</v>
      </c>
      <c r="D23" s="741"/>
      <c r="E23" s="3294">
        <v>0.9</v>
      </c>
      <c r="F23" s="3293" t="s">
        <v>2819</v>
      </c>
      <c r="G23" s="3293"/>
    </row>
    <row r="24" spans="1:13" ht="19.5" customHeight="1">
      <c r="A24" s="3714"/>
      <c r="B24" s="3712"/>
      <c r="C24" s="740" t="s">
        <v>2820</v>
      </c>
      <c r="D24" s="741"/>
      <c r="E24" s="3294">
        <v>0.8</v>
      </c>
      <c r="F24" s="3293" t="s">
        <v>2821</v>
      </c>
      <c r="G24" s="3293"/>
    </row>
    <row r="25" spans="1:13" ht="19.5" customHeight="1" thickBot="1">
      <c r="A25" s="3715"/>
      <c r="B25" s="3717"/>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8" t="s">
        <v>2808</v>
      </c>
      <c r="B27" s="3716" t="s">
        <v>2808</v>
      </c>
      <c r="C27" s="3290" t="s">
        <v>2825</v>
      </c>
      <c r="D27" s="3291"/>
      <c r="E27" s="3292">
        <v>1</v>
      </c>
      <c r="F27" s="3293" t="s">
        <v>2866</v>
      </c>
      <c r="G27" s="3293"/>
    </row>
    <row r="28" spans="1:13" ht="19.5" customHeight="1">
      <c r="A28" s="3719"/>
      <c r="B28" s="3712"/>
      <c r="C28" s="740" t="s">
        <v>2826</v>
      </c>
      <c r="D28" s="741"/>
      <c r="E28" s="3294">
        <v>1</v>
      </c>
      <c r="F28" s="3293" t="s">
        <v>2867</v>
      </c>
      <c r="G28" s="3293"/>
    </row>
    <row r="29" spans="1:13" ht="19.5" customHeight="1">
      <c r="A29" s="3719"/>
      <c r="B29" s="3712"/>
      <c r="C29" s="740" t="s">
        <v>2827</v>
      </c>
      <c r="D29" s="741"/>
      <c r="E29" s="3294">
        <v>0.8</v>
      </c>
      <c r="F29" s="3293" t="s">
        <v>2868</v>
      </c>
      <c r="G29" s="3293"/>
    </row>
    <row r="30" spans="1:13" ht="19.5" customHeight="1">
      <c r="A30" s="3719"/>
      <c r="B30" s="3712"/>
      <c r="C30" s="740" t="s">
        <v>2828</v>
      </c>
      <c r="D30" s="741"/>
      <c r="E30" s="3294">
        <v>0.8</v>
      </c>
      <c r="F30" s="3293" t="s">
        <v>2869</v>
      </c>
      <c r="G30" s="3293"/>
    </row>
    <row r="31" spans="1:13" ht="19.5" customHeight="1">
      <c r="A31" s="3719"/>
      <c r="B31" s="3712"/>
      <c r="C31" s="740" t="s">
        <v>2829</v>
      </c>
      <c r="D31" s="741"/>
      <c r="E31" s="3294">
        <v>0.8</v>
      </c>
      <c r="F31" s="3293" t="s">
        <v>2870</v>
      </c>
      <c r="G31" s="3293"/>
    </row>
    <row r="32" spans="1:13" ht="19.5" customHeight="1">
      <c r="A32" s="3719"/>
      <c r="B32" s="3712"/>
      <c r="C32" s="740" t="s">
        <v>2830</v>
      </c>
      <c r="D32" s="741"/>
      <c r="E32" s="3294">
        <v>0.7</v>
      </c>
      <c r="F32" s="3293" t="s">
        <v>2871</v>
      </c>
      <c r="G32" s="3293"/>
    </row>
    <row r="33" spans="1:7" ht="19.5" customHeight="1">
      <c r="A33" s="3719"/>
      <c r="B33" s="3712"/>
      <c r="C33" s="740" t="s">
        <v>2831</v>
      </c>
      <c r="D33" s="741"/>
      <c r="E33" s="3294">
        <v>0.8</v>
      </c>
      <c r="F33" s="3293" t="s">
        <v>2872</v>
      </c>
      <c r="G33" s="3293"/>
    </row>
    <row r="34" spans="1:7" ht="19.5" customHeight="1">
      <c r="A34" s="3719"/>
      <c r="B34" s="3712"/>
      <c r="C34" s="740" t="s">
        <v>2832</v>
      </c>
      <c r="D34" s="741"/>
      <c r="E34" s="3294">
        <v>0.6</v>
      </c>
      <c r="F34" s="3293" t="s">
        <v>2873</v>
      </c>
      <c r="G34" s="3293"/>
    </row>
    <row r="35" spans="1:7" ht="19.5" customHeight="1">
      <c r="A35" s="3719"/>
      <c r="B35" s="3712"/>
      <c r="C35" s="740" t="s">
        <v>2833</v>
      </c>
      <c r="D35" s="741"/>
      <c r="E35" s="3294">
        <v>0.2</v>
      </c>
      <c r="F35" s="3293" t="s">
        <v>2874</v>
      </c>
      <c r="G35" s="3293"/>
    </row>
    <row r="36" spans="1:7" ht="19.5" customHeight="1">
      <c r="A36" s="3719"/>
      <c r="B36" s="3712"/>
      <c r="C36" s="740" t="s">
        <v>2834</v>
      </c>
      <c r="D36" s="741"/>
      <c r="E36" s="3294">
        <v>0.2</v>
      </c>
      <c r="F36" s="3293" t="s">
        <v>2875</v>
      </c>
      <c r="G36" s="3293"/>
    </row>
    <row r="37" spans="1:7" ht="19.5" customHeight="1">
      <c r="A37" s="3719"/>
      <c r="B37" s="3710" t="s">
        <v>2835</v>
      </c>
      <c r="C37" s="740" t="s">
        <v>2836</v>
      </c>
      <c r="D37" s="741"/>
      <c r="E37" s="3294">
        <v>0.6</v>
      </c>
      <c r="F37" s="3293" t="s">
        <v>2876</v>
      </c>
      <c r="G37" s="3293"/>
    </row>
    <row r="38" spans="1:7" ht="19.5" customHeight="1">
      <c r="A38" s="3719"/>
      <c r="B38" s="3712"/>
      <c r="C38" s="740" t="s">
        <v>2837</v>
      </c>
      <c r="D38" s="741"/>
      <c r="E38" s="3294">
        <v>0.6</v>
      </c>
      <c r="F38" s="3293" t="s">
        <v>2877</v>
      </c>
      <c r="G38" s="3293"/>
    </row>
    <row r="39" spans="1:7" ht="19.5" customHeight="1" thickBot="1">
      <c r="A39" s="3720"/>
      <c r="B39" s="3717"/>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3" t="s">
        <v>2841</v>
      </c>
      <c r="B41" s="3716" t="s">
        <v>2842</v>
      </c>
      <c r="C41" s="3290" t="s">
        <v>2843</v>
      </c>
      <c r="D41" s="3291"/>
      <c r="E41" s="3292">
        <v>1</v>
      </c>
      <c r="F41" s="3293" t="s">
        <v>2844</v>
      </c>
      <c r="G41" s="3293"/>
    </row>
    <row r="42" spans="1:7" ht="19.5" customHeight="1">
      <c r="A42" s="3714"/>
      <c r="B42" s="3712"/>
      <c r="C42" s="740" t="s">
        <v>2845</v>
      </c>
      <c r="D42" s="741"/>
      <c r="E42" s="3294">
        <v>1</v>
      </c>
      <c r="F42" s="3293" t="s">
        <v>2846</v>
      </c>
      <c r="G42" s="3293"/>
    </row>
    <row r="43" spans="1:7" ht="19.5" customHeight="1">
      <c r="A43" s="3714"/>
      <c r="B43" s="3711"/>
      <c r="C43" s="740" t="s">
        <v>2847</v>
      </c>
      <c r="D43" s="741"/>
      <c r="E43" s="3294">
        <v>1.5</v>
      </c>
      <c r="F43" s="3293" t="s">
        <v>2848</v>
      </c>
      <c r="G43" s="3293"/>
    </row>
    <row r="44" spans="1:7" ht="19.5" customHeight="1">
      <c r="A44" s="3714"/>
      <c r="B44" s="3303" t="s">
        <v>2808</v>
      </c>
      <c r="C44" s="740" t="s">
        <v>2807</v>
      </c>
      <c r="D44" s="741"/>
      <c r="E44" s="3294">
        <v>2</v>
      </c>
      <c r="F44" s="3293" t="s">
        <v>2849</v>
      </c>
      <c r="G44" s="3293"/>
    </row>
    <row r="45" spans="1:7" ht="19.5" customHeight="1">
      <c r="A45" s="3714"/>
      <c r="B45" s="3710" t="s">
        <v>2850</v>
      </c>
      <c r="C45" s="740" t="s">
        <v>2851</v>
      </c>
      <c r="D45" s="741"/>
      <c r="E45" s="3294">
        <v>1</v>
      </c>
      <c r="F45" s="3293" t="s">
        <v>2852</v>
      </c>
      <c r="G45" s="3293"/>
    </row>
    <row r="46" spans="1:7" ht="19.5" customHeight="1">
      <c r="A46" s="3714"/>
      <c r="B46" s="3712"/>
      <c r="C46" s="740" t="s">
        <v>2853</v>
      </c>
      <c r="D46" s="741"/>
      <c r="E46" s="3294">
        <v>1</v>
      </c>
      <c r="F46" s="3293" t="s">
        <v>2854</v>
      </c>
      <c r="G46" s="3293"/>
    </row>
    <row r="47" spans="1:7" ht="19.5" customHeight="1">
      <c r="A47" s="3714"/>
      <c r="B47" s="3712"/>
      <c r="C47" s="740" t="s">
        <v>2855</v>
      </c>
      <c r="D47" s="741"/>
      <c r="E47" s="3294">
        <v>1</v>
      </c>
      <c r="F47" s="3293" t="s">
        <v>2856</v>
      </c>
      <c r="G47" s="3293"/>
    </row>
    <row r="48" spans="1:7" ht="19.5" customHeight="1">
      <c r="A48" s="3714"/>
      <c r="B48" s="3712"/>
      <c r="C48" s="740" t="s">
        <v>2857</v>
      </c>
      <c r="D48" s="741"/>
      <c r="E48" s="3294">
        <v>1</v>
      </c>
      <c r="F48" s="3293" t="s">
        <v>2858</v>
      </c>
      <c r="G48" s="3293"/>
    </row>
    <row r="49" spans="1:7" ht="19.5" customHeight="1">
      <c r="A49" s="3714"/>
      <c r="B49" s="3712"/>
      <c r="C49" s="740" t="s">
        <v>2859</v>
      </c>
      <c r="D49" s="741"/>
      <c r="E49" s="3294">
        <v>1</v>
      </c>
      <c r="F49" s="3293" t="s">
        <v>2860</v>
      </c>
      <c r="G49" s="3293"/>
    </row>
    <row r="50" spans="1:7" ht="19.5" customHeight="1">
      <c r="A50" s="3714"/>
      <c r="B50" s="3712"/>
      <c r="C50" s="740" t="s">
        <v>2861</v>
      </c>
      <c r="D50" s="741"/>
      <c r="E50" s="3294">
        <v>1</v>
      </c>
      <c r="F50" s="3293" t="s">
        <v>2862</v>
      </c>
      <c r="G50" s="3293"/>
    </row>
    <row r="51" spans="1:7" ht="19.5" customHeight="1" thickBot="1">
      <c r="A51" s="3715"/>
      <c r="B51" s="3717"/>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10" t="s">
        <v>2881</v>
      </c>
      <c r="C73" s="3284" t="s">
        <v>2882</v>
      </c>
      <c r="D73" s="3284" t="s">
        <v>2883</v>
      </c>
      <c r="E73" s="3309">
        <v>0.2</v>
      </c>
      <c r="F73" s="3303">
        <v>25</v>
      </c>
    </row>
    <row r="74" spans="1:7" ht="24">
      <c r="A74" s="3303">
        <v>2</v>
      </c>
      <c r="B74" s="3712"/>
      <c r="C74" s="3284" t="s">
        <v>2884</v>
      </c>
      <c r="D74" s="3284" t="s">
        <v>2885</v>
      </c>
      <c r="E74" s="3309">
        <v>0.2</v>
      </c>
      <c r="F74" s="3303">
        <v>25</v>
      </c>
    </row>
    <row r="75" spans="1:7" ht="24">
      <c r="A75" s="3303">
        <v>3</v>
      </c>
      <c r="B75" s="3712"/>
      <c r="C75" s="3284" t="s">
        <v>2886</v>
      </c>
      <c r="D75" s="3284" t="s">
        <v>2887</v>
      </c>
      <c r="E75" s="3309">
        <v>0.2</v>
      </c>
      <c r="F75" s="3303">
        <v>25</v>
      </c>
    </row>
    <row r="76" spans="1:7" ht="13.5">
      <c r="A76" s="3303">
        <v>4</v>
      </c>
      <c r="B76" s="3712"/>
      <c r="C76" s="3284" t="s">
        <v>2888</v>
      </c>
      <c r="D76" s="3284" t="s">
        <v>2889</v>
      </c>
      <c r="E76" s="3309">
        <v>0.15</v>
      </c>
      <c r="F76" s="3303">
        <v>20</v>
      </c>
    </row>
    <row r="77" spans="1:7" ht="24">
      <c r="A77" s="3303">
        <v>5</v>
      </c>
      <c r="B77" s="3712"/>
      <c r="C77" s="3284" t="s">
        <v>2890</v>
      </c>
      <c r="D77" s="3284" t="s">
        <v>2891</v>
      </c>
      <c r="E77" s="3309">
        <v>0.15</v>
      </c>
      <c r="F77" s="3303">
        <v>20</v>
      </c>
    </row>
    <row r="78" spans="1:7" ht="24">
      <c r="A78" s="3303">
        <v>6</v>
      </c>
      <c r="B78" s="3712"/>
      <c r="C78" s="3284" t="s">
        <v>2892</v>
      </c>
      <c r="D78" s="3284" t="s">
        <v>2893</v>
      </c>
      <c r="E78" s="3309">
        <v>0.15</v>
      </c>
      <c r="F78" s="3303">
        <v>20</v>
      </c>
    </row>
    <row r="79" spans="1:7" ht="24">
      <c r="A79" s="3303">
        <v>7</v>
      </c>
      <c r="B79" s="3712"/>
      <c r="C79" s="3284" t="s">
        <v>2894</v>
      </c>
      <c r="D79" s="3284" t="s">
        <v>2895</v>
      </c>
      <c r="E79" s="3309">
        <v>0.15</v>
      </c>
      <c r="F79" s="3303">
        <v>20</v>
      </c>
    </row>
    <row r="80" spans="1:7" ht="24">
      <c r="A80" s="3303">
        <v>8</v>
      </c>
      <c r="B80" s="3712"/>
      <c r="C80" s="3284" t="s">
        <v>2896</v>
      </c>
      <c r="D80" s="3284" t="s">
        <v>2897</v>
      </c>
      <c r="E80" s="3309">
        <v>0.1</v>
      </c>
      <c r="F80" s="3303">
        <v>15</v>
      </c>
    </row>
    <row r="81" spans="1:6" ht="24">
      <c r="A81" s="3303">
        <v>9</v>
      </c>
      <c r="B81" s="3712"/>
      <c r="C81" s="3284" t="s">
        <v>2898</v>
      </c>
      <c r="D81" s="3284" t="s">
        <v>2899</v>
      </c>
      <c r="E81" s="3309">
        <v>0.1</v>
      </c>
      <c r="F81" s="3303">
        <v>15</v>
      </c>
    </row>
    <row r="82" spans="1:6" ht="24">
      <c r="A82" s="3303">
        <v>10</v>
      </c>
      <c r="B82" s="3712"/>
      <c r="C82" s="3284" t="s">
        <v>2900</v>
      </c>
      <c r="D82" s="3284" t="s">
        <v>2901</v>
      </c>
      <c r="E82" s="3309">
        <v>0.1</v>
      </c>
      <c r="F82" s="3303">
        <v>15</v>
      </c>
    </row>
    <row r="83" spans="1:6" ht="24">
      <c r="A83" s="3303">
        <v>11</v>
      </c>
      <c r="B83" s="3712"/>
      <c r="C83" s="3284" t="s">
        <v>2902</v>
      </c>
      <c r="D83" s="3284" t="s">
        <v>2903</v>
      </c>
      <c r="E83" s="3309">
        <v>0.1</v>
      </c>
      <c r="F83" s="3303">
        <v>15</v>
      </c>
    </row>
    <row r="84" spans="1:6" ht="24">
      <c r="A84" s="3303">
        <v>12</v>
      </c>
      <c r="B84" s="3712"/>
      <c r="C84" s="3284" t="s">
        <v>2904</v>
      </c>
      <c r="D84" s="3284" t="s">
        <v>2905</v>
      </c>
      <c r="E84" s="3309">
        <v>0.1</v>
      </c>
      <c r="F84" s="3303">
        <v>15</v>
      </c>
    </row>
    <row r="85" spans="1:6" ht="13.5">
      <c r="A85" s="3303">
        <v>13</v>
      </c>
      <c r="B85" s="3712"/>
      <c r="C85" s="3284" t="s">
        <v>2906</v>
      </c>
      <c r="D85" s="3284" t="s">
        <v>2907</v>
      </c>
      <c r="E85" s="3309">
        <v>0.1</v>
      </c>
      <c r="F85" s="3303">
        <v>15</v>
      </c>
    </row>
    <row r="86" spans="1:6" ht="13.5">
      <c r="A86" s="3303">
        <v>14</v>
      </c>
      <c r="B86" s="3712"/>
      <c r="C86" s="3284" t="s">
        <v>2908</v>
      </c>
      <c r="D86" s="3284" t="s">
        <v>2909</v>
      </c>
      <c r="E86" s="3309">
        <v>0.1</v>
      </c>
      <c r="F86" s="3303">
        <v>15</v>
      </c>
    </row>
    <row r="87" spans="1:6" ht="13.5">
      <c r="A87" s="3303">
        <v>15</v>
      </c>
      <c r="B87" s="3712"/>
      <c r="C87" s="3284" t="s">
        <v>2910</v>
      </c>
      <c r="D87" s="3284" t="s">
        <v>2911</v>
      </c>
      <c r="E87" s="3309">
        <v>0.1</v>
      </c>
      <c r="F87" s="3303">
        <v>15</v>
      </c>
    </row>
    <row r="88" spans="1:6" ht="24">
      <c r="A88" s="3303">
        <v>16</v>
      </c>
      <c r="B88" s="3712"/>
      <c r="C88" s="3284" t="s">
        <v>2912</v>
      </c>
      <c r="D88" s="3284" t="s">
        <v>2913</v>
      </c>
      <c r="E88" s="3309">
        <v>0.1</v>
      </c>
      <c r="F88" s="3303">
        <v>15</v>
      </c>
    </row>
    <row r="89" spans="1:6" ht="24">
      <c r="A89" s="3303">
        <v>17</v>
      </c>
      <c r="B89" s="3711"/>
      <c r="C89" s="3284" t="s">
        <v>2914</v>
      </c>
      <c r="D89" s="3284" t="s">
        <v>2915</v>
      </c>
      <c r="E89" s="3309">
        <v>0.1</v>
      </c>
      <c r="F89" s="3303">
        <v>15</v>
      </c>
    </row>
    <row r="90" spans="1:6" ht="13.5">
      <c r="A90" s="3303">
        <v>18</v>
      </c>
      <c r="B90" s="3710" t="s">
        <v>2916</v>
      </c>
      <c r="C90" s="3284" t="s">
        <v>2917</v>
      </c>
      <c r="D90" s="3284" t="s">
        <v>2918</v>
      </c>
      <c r="E90" s="3309">
        <v>0.2</v>
      </c>
      <c r="F90" s="3303">
        <v>25</v>
      </c>
    </row>
    <row r="91" spans="1:6" ht="24">
      <c r="A91" s="3303">
        <v>19</v>
      </c>
      <c r="B91" s="3712"/>
      <c r="C91" s="3284" t="s">
        <v>2919</v>
      </c>
      <c r="D91" s="3284" t="s">
        <v>2920</v>
      </c>
      <c r="E91" s="3309">
        <v>0.2</v>
      </c>
      <c r="F91" s="3303">
        <v>25</v>
      </c>
    </row>
    <row r="92" spans="1:6" ht="13.5">
      <c r="A92" s="3303">
        <v>20</v>
      </c>
      <c r="B92" s="3712"/>
      <c r="C92" s="3284" t="s">
        <v>2921</v>
      </c>
      <c r="D92" s="3284" t="s">
        <v>2922</v>
      </c>
      <c r="E92" s="3309">
        <v>0.15</v>
      </c>
      <c r="F92" s="3303">
        <v>20</v>
      </c>
    </row>
    <row r="93" spans="1:6" ht="24">
      <c r="A93" s="3303">
        <v>21</v>
      </c>
      <c r="B93" s="3712"/>
      <c r="C93" s="3284" t="s">
        <v>2923</v>
      </c>
      <c r="D93" s="3284" t="s">
        <v>2924</v>
      </c>
      <c r="E93" s="3309">
        <v>0.15</v>
      </c>
      <c r="F93" s="3303">
        <v>20</v>
      </c>
    </row>
    <row r="94" spans="1:6" ht="24">
      <c r="A94" s="3303">
        <v>22</v>
      </c>
      <c r="B94" s="3712"/>
      <c r="C94" s="3284" t="s">
        <v>2925</v>
      </c>
      <c r="D94" s="3284" t="s">
        <v>2926</v>
      </c>
      <c r="E94" s="3309">
        <v>0.15</v>
      </c>
      <c r="F94" s="3303">
        <v>20</v>
      </c>
    </row>
    <row r="95" spans="1:6" ht="36">
      <c r="A95" s="3303">
        <v>23</v>
      </c>
      <c r="B95" s="3712"/>
      <c r="C95" s="3284" t="s">
        <v>2927</v>
      </c>
      <c r="D95" s="3284" t="s">
        <v>2928</v>
      </c>
      <c r="E95" s="3309">
        <v>0.15</v>
      </c>
      <c r="F95" s="3303">
        <v>20</v>
      </c>
    </row>
    <row r="96" spans="1:6" ht="13.5">
      <c r="A96" s="3303">
        <v>24</v>
      </c>
      <c r="B96" s="3712"/>
      <c r="C96" s="3284" t="s">
        <v>2929</v>
      </c>
      <c r="D96" s="3284" t="s">
        <v>2930</v>
      </c>
      <c r="E96" s="3309">
        <v>0.1</v>
      </c>
      <c r="F96" s="3303">
        <v>15</v>
      </c>
    </row>
    <row r="97" spans="1:6" ht="24">
      <c r="A97" s="3303">
        <v>25</v>
      </c>
      <c r="B97" s="3712"/>
      <c r="C97" s="3284" t="s">
        <v>2931</v>
      </c>
      <c r="D97" s="3284" t="s">
        <v>2932</v>
      </c>
      <c r="E97" s="3309">
        <v>0.1</v>
      </c>
      <c r="F97" s="3303">
        <v>15</v>
      </c>
    </row>
    <row r="98" spans="1:6" ht="24">
      <c r="A98" s="3303">
        <v>26</v>
      </c>
      <c r="B98" s="3712"/>
      <c r="C98" s="3284" t="s">
        <v>2933</v>
      </c>
      <c r="D98" s="3284" t="s">
        <v>2934</v>
      </c>
      <c r="E98" s="3309">
        <v>0.1</v>
      </c>
      <c r="F98" s="3303">
        <v>15</v>
      </c>
    </row>
    <row r="99" spans="1:6" ht="24">
      <c r="A99" s="3303">
        <v>27</v>
      </c>
      <c r="B99" s="3712"/>
      <c r="C99" s="3284" t="s">
        <v>2935</v>
      </c>
      <c r="D99" s="3284" t="s">
        <v>2936</v>
      </c>
      <c r="E99" s="3309">
        <v>0.1</v>
      </c>
      <c r="F99" s="3303">
        <v>15</v>
      </c>
    </row>
    <row r="100" spans="1:6" ht="24">
      <c r="A100" s="3303">
        <v>28</v>
      </c>
      <c r="B100" s="3712"/>
      <c r="C100" s="3284" t="s">
        <v>2937</v>
      </c>
      <c r="D100" s="3284" t="s">
        <v>2938</v>
      </c>
      <c r="E100" s="3309">
        <v>0.1</v>
      </c>
      <c r="F100" s="3303">
        <v>15</v>
      </c>
    </row>
    <row r="101" spans="1:6" ht="24">
      <c r="A101" s="3303">
        <v>29</v>
      </c>
      <c r="B101" s="3712"/>
      <c r="C101" s="3284" t="s">
        <v>2939</v>
      </c>
      <c r="D101" s="3284" t="s">
        <v>2940</v>
      </c>
      <c r="E101" s="3309">
        <v>0.1</v>
      </c>
      <c r="F101" s="3303">
        <v>15</v>
      </c>
    </row>
    <row r="102" spans="1:6" ht="24">
      <c r="A102" s="3303">
        <v>30</v>
      </c>
      <c r="B102" s="3712"/>
      <c r="C102" s="3284" t="s">
        <v>2941</v>
      </c>
      <c r="D102" s="3284" t="s">
        <v>2942</v>
      </c>
      <c r="E102" s="3309">
        <v>0.1</v>
      </c>
      <c r="F102" s="3303">
        <v>15</v>
      </c>
    </row>
    <row r="103" spans="1:6" ht="24">
      <c r="A103" s="3303">
        <v>31</v>
      </c>
      <c r="B103" s="3712"/>
      <c r="C103" s="3284" t="s">
        <v>2943</v>
      </c>
      <c r="D103" s="3284" t="s">
        <v>2944</v>
      </c>
      <c r="E103" s="3309">
        <v>0.1</v>
      </c>
      <c r="F103" s="3303">
        <v>15</v>
      </c>
    </row>
    <row r="104" spans="1:6" ht="24">
      <c r="A104" s="3303">
        <v>32</v>
      </c>
      <c r="B104" s="3712"/>
      <c r="C104" s="3284" t="s">
        <v>2945</v>
      </c>
      <c r="D104" s="3284" t="s">
        <v>2946</v>
      </c>
      <c r="E104" s="3309">
        <v>0.1</v>
      </c>
      <c r="F104" s="3303">
        <v>15</v>
      </c>
    </row>
    <row r="105" spans="1:6" ht="24">
      <c r="A105" s="3303">
        <v>33</v>
      </c>
      <c r="B105" s="3712"/>
      <c r="C105" s="3284" t="s">
        <v>2947</v>
      </c>
      <c r="D105" s="3284" t="s">
        <v>2948</v>
      </c>
      <c r="E105" s="3309">
        <v>0.1</v>
      </c>
      <c r="F105" s="3303">
        <v>15</v>
      </c>
    </row>
    <row r="106" spans="1:6" ht="24">
      <c r="A106" s="3303">
        <v>34</v>
      </c>
      <c r="B106" s="3711"/>
      <c r="C106" s="3284" t="s">
        <v>2949</v>
      </c>
      <c r="D106" s="3284" t="s">
        <v>2950</v>
      </c>
      <c r="E106" s="3309">
        <v>0.1</v>
      </c>
      <c r="F106" s="3303">
        <v>15</v>
      </c>
    </row>
    <row r="107" spans="1:6" ht="24">
      <c r="A107" s="3303">
        <v>35</v>
      </c>
      <c r="B107" s="3710" t="s">
        <v>2951</v>
      </c>
      <c r="C107" s="3303" t="s">
        <v>2952</v>
      </c>
      <c r="D107" s="3284" t="s">
        <v>2953</v>
      </c>
      <c r="E107" s="3309">
        <v>0.15</v>
      </c>
      <c r="F107" s="3303">
        <v>20</v>
      </c>
    </row>
    <row r="108" spans="1:6" ht="24">
      <c r="A108" s="3303">
        <v>36</v>
      </c>
      <c r="B108" s="3712"/>
      <c r="C108" s="3303" t="s">
        <v>2954</v>
      </c>
      <c r="D108" s="3284" t="s">
        <v>2955</v>
      </c>
      <c r="E108" s="3309">
        <v>0.15</v>
      </c>
      <c r="F108" s="3303">
        <v>20</v>
      </c>
    </row>
    <row r="109" spans="1:6" ht="24">
      <c r="A109" s="3303">
        <v>37</v>
      </c>
      <c r="B109" s="3712"/>
      <c r="C109" s="3303" t="s">
        <v>2956</v>
      </c>
      <c r="D109" s="3284" t="s">
        <v>2957</v>
      </c>
      <c r="E109" s="3309">
        <v>0.15</v>
      </c>
      <c r="F109" s="3303">
        <v>20</v>
      </c>
    </row>
    <row r="110" spans="1:6" ht="13.5">
      <c r="A110" s="3303">
        <v>38</v>
      </c>
      <c r="B110" s="3712"/>
      <c r="C110" s="3303" t="s">
        <v>2958</v>
      </c>
      <c r="D110" s="3284" t="s">
        <v>2959</v>
      </c>
      <c r="E110" s="3309">
        <v>0.1</v>
      </c>
      <c r="F110" s="3303">
        <v>15</v>
      </c>
    </row>
    <row r="111" spans="1:6" ht="24">
      <c r="A111" s="3303">
        <v>39</v>
      </c>
      <c r="B111" s="3712"/>
      <c r="C111" s="3303" t="s">
        <v>2960</v>
      </c>
      <c r="D111" s="3284" t="s">
        <v>2961</v>
      </c>
      <c r="E111" s="3309">
        <v>0.1</v>
      </c>
      <c r="F111" s="3303">
        <v>15</v>
      </c>
    </row>
    <row r="112" spans="1:6" ht="24">
      <c r="A112" s="3303">
        <v>40</v>
      </c>
      <c r="B112" s="3711"/>
      <c r="C112" s="3303" t="s">
        <v>2962</v>
      </c>
      <c r="D112" s="3284" t="s">
        <v>2963</v>
      </c>
      <c r="E112" s="3309">
        <v>0.1</v>
      </c>
      <c r="F112" s="3303">
        <v>15</v>
      </c>
    </row>
    <row r="113" spans="1:6" ht="24">
      <c r="A113" s="3303">
        <v>41</v>
      </c>
      <c r="B113" s="3709" t="s">
        <v>2964</v>
      </c>
      <c r="C113" s="3303" t="s">
        <v>2965</v>
      </c>
      <c r="D113" s="3284" t="s">
        <v>2966</v>
      </c>
      <c r="E113" s="3309">
        <v>0.1</v>
      </c>
      <c r="F113" s="3303">
        <v>15</v>
      </c>
    </row>
    <row r="114" spans="1:6" ht="13.5">
      <c r="A114" s="3303">
        <v>42</v>
      </c>
      <c r="B114" s="3709"/>
      <c r="C114" s="3303" t="s">
        <v>2967</v>
      </c>
      <c r="D114" s="3284" t="s">
        <v>2968</v>
      </c>
      <c r="E114" s="3309">
        <v>0.1</v>
      </c>
      <c r="F114" s="3303">
        <v>15</v>
      </c>
    </row>
    <row r="115" spans="1:6" ht="24">
      <c r="A115" s="3303">
        <v>43</v>
      </c>
      <c r="B115" s="3709"/>
      <c r="C115" s="3303" t="s">
        <v>2969</v>
      </c>
      <c r="D115" s="3284" t="s">
        <v>2970</v>
      </c>
      <c r="E115" s="3309">
        <v>0.1</v>
      </c>
      <c r="F115" s="3303">
        <v>15</v>
      </c>
    </row>
    <row r="116" spans="1:6" ht="24">
      <c r="A116" s="3303">
        <v>44</v>
      </c>
      <c r="B116" s="3710" t="s">
        <v>2971</v>
      </c>
      <c r="C116" s="3303" t="s">
        <v>2972</v>
      </c>
      <c r="D116" s="3284" t="s">
        <v>2973</v>
      </c>
      <c r="E116" s="3309">
        <v>0.1</v>
      </c>
      <c r="F116" s="3303">
        <v>15</v>
      </c>
    </row>
    <row r="117" spans="1:6" ht="24">
      <c r="A117" s="3303">
        <v>45</v>
      </c>
      <c r="B117" s="3711"/>
      <c r="C117" s="3284" t="s">
        <v>2974</v>
      </c>
      <c r="D117" s="3284" t="s">
        <v>2975</v>
      </c>
      <c r="E117" s="3309">
        <v>0.1</v>
      </c>
      <c r="F117" s="3303">
        <v>15</v>
      </c>
    </row>
    <row r="118" spans="1:6" ht="24">
      <c r="A118" s="3303">
        <v>46</v>
      </c>
      <c r="B118" s="3710" t="s">
        <v>2976</v>
      </c>
      <c r="C118" s="3303" t="s">
        <v>2977</v>
      </c>
      <c r="D118" s="3284" t="s">
        <v>2978</v>
      </c>
      <c r="E118" s="3309">
        <v>0.1</v>
      </c>
      <c r="F118" s="3303">
        <v>15</v>
      </c>
    </row>
    <row r="119" spans="1:6" ht="24">
      <c r="A119" s="3303">
        <v>47</v>
      </c>
      <c r="B119" s="3711"/>
      <c r="C119" s="3303" t="s">
        <v>2979</v>
      </c>
      <c r="D119" s="3284" t="s">
        <v>2980</v>
      </c>
      <c r="E119" s="3309">
        <v>0.1</v>
      </c>
      <c r="F119" s="3303">
        <v>15</v>
      </c>
    </row>
    <row r="120" spans="1:6" ht="24">
      <c r="A120" s="3303">
        <v>48</v>
      </c>
      <c r="B120" s="3710" t="s">
        <v>2981</v>
      </c>
      <c r="C120" s="3303" t="s">
        <v>2982</v>
      </c>
      <c r="D120" s="3284" t="s">
        <v>2983</v>
      </c>
      <c r="E120" s="3309">
        <v>0.1</v>
      </c>
      <c r="F120" s="3303">
        <v>15</v>
      </c>
    </row>
    <row r="121" spans="1:6" ht="13.5">
      <c r="A121" s="3303">
        <v>49</v>
      </c>
      <c r="B121" s="3711"/>
      <c r="C121" s="3303" t="s">
        <v>2984</v>
      </c>
      <c r="D121" s="3284" t="s">
        <v>2985</v>
      </c>
      <c r="E121" s="3309">
        <v>0.1</v>
      </c>
      <c r="F121" s="3303">
        <v>15</v>
      </c>
    </row>
    <row r="122" spans="1:6" ht="24">
      <c r="A122" s="3303">
        <v>50</v>
      </c>
      <c r="B122" s="3709" t="s">
        <v>2986</v>
      </c>
      <c r="C122" s="3303" t="s">
        <v>2987</v>
      </c>
      <c r="D122" s="3284" t="s">
        <v>2988</v>
      </c>
      <c r="E122" s="3309">
        <v>0.1</v>
      </c>
      <c r="F122" s="3303">
        <v>15</v>
      </c>
    </row>
    <row r="123" spans="1:6" ht="24">
      <c r="A123" s="3303">
        <v>51</v>
      </c>
      <c r="B123" s="3709"/>
      <c r="C123" s="3303" t="s">
        <v>2989</v>
      </c>
      <c r="D123" s="3284" t="s">
        <v>2990</v>
      </c>
      <c r="E123" s="3309">
        <v>0.1</v>
      </c>
      <c r="F123" s="3303">
        <v>15</v>
      </c>
    </row>
    <row r="124" spans="1:6" ht="24">
      <c r="A124" s="3303">
        <v>52</v>
      </c>
      <c r="B124" s="3709" t="s">
        <v>2991</v>
      </c>
      <c r="C124" s="3303" t="s">
        <v>2992</v>
      </c>
      <c r="D124" s="3284" t="s">
        <v>2993</v>
      </c>
      <c r="E124" s="3309">
        <v>0.1</v>
      </c>
      <c r="F124" s="3303">
        <v>15</v>
      </c>
    </row>
    <row r="125" spans="1:6" ht="24">
      <c r="A125" s="3303">
        <v>53</v>
      </c>
      <c r="B125" s="370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9" t="s">
        <v>2999</v>
      </c>
      <c r="C127" s="3303" t="s">
        <v>3000</v>
      </c>
      <c r="D127" s="3284" t="s">
        <v>3001</v>
      </c>
      <c r="E127" s="3309">
        <v>0.1</v>
      </c>
      <c r="F127" s="3303">
        <v>15</v>
      </c>
    </row>
    <row r="128" spans="1:6" ht="13.5">
      <c r="A128" s="3303">
        <v>56</v>
      </c>
      <c r="B128" s="3709"/>
      <c r="C128" s="3303" t="s">
        <v>3002</v>
      </c>
      <c r="D128" s="3284" t="s">
        <v>3003</v>
      </c>
      <c r="E128" s="3309">
        <v>0.1</v>
      </c>
      <c r="F128" s="3303">
        <v>15</v>
      </c>
    </row>
    <row r="129" spans="1:6" ht="24">
      <c r="A129" s="3303">
        <v>57</v>
      </c>
      <c r="B129" s="3709"/>
      <c r="C129" s="3303" t="s">
        <v>3004</v>
      </c>
      <c r="D129" s="3284" t="s">
        <v>3005</v>
      </c>
      <c r="E129" s="3309">
        <v>0.1</v>
      </c>
      <c r="F129" s="3303">
        <v>15</v>
      </c>
    </row>
    <row r="130" spans="1:6" ht="24">
      <c r="A130" s="3303">
        <v>58</v>
      </c>
      <c r="B130" s="3709" t="s">
        <v>3006</v>
      </c>
      <c r="C130" s="3303" t="s">
        <v>3007</v>
      </c>
      <c r="D130" s="3284" t="s">
        <v>3008</v>
      </c>
      <c r="E130" s="3309">
        <v>0.1</v>
      </c>
      <c r="F130" s="3303">
        <v>15</v>
      </c>
    </row>
    <row r="131" spans="1:6" ht="24">
      <c r="A131" s="3303">
        <v>59</v>
      </c>
      <c r="B131" s="3709"/>
      <c r="C131" s="3303" t="s">
        <v>3009</v>
      </c>
      <c r="D131" s="3284" t="s">
        <v>3010</v>
      </c>
      <c r="E131" s="3309">
        <v>0.1</v>
      </c>
      <c r="F131" s="3303">
        <v>15</v>
      </c>
    </row>
    <row r="132" spans="1:6" ht="24">
      <c r="A132" s="3303">
        <v>60</v>
      </c>
      <c r="B132" s="3710" t="s">
        <v>3011</v>
      </c>
      <c r="C132" s="3303" t="s">
        <v>3012</v>
      </c>
      <c r="D132" s="3284" t="s">
        <v>3013</v>
      </c>
      <c r="E132" s="3309">
        <v>0.1</v>
      </c>
      <c r="F132" s="3303">
        <v>15</v>
      </c>
    </row>
    <row r="133" spans="1:6" ht="24">
      <c r="A133" s="3303">
        <v>61</v>
      </c>
      <c r="B133" s="3711"/>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9" t="s">
        <v>3019</v>
      </c>
      <c r="C135" s="3303" t="s">
        <v>3020</v>
      </c>
      <c r="D135" s="3284" t="s">
        <v>3021</v>
      </c>
      <c r="E135" s="3309">
        <v>0.1</v>
      </c>
      <c r="F135" s="3303">
        <v>15</v>
      </c>
    </row>
    <row r="136" spans="1:6" ht="13.5">
      <c r="A136" s="3303">
        <v>64</v>
      </c>
      <c r="B136" s="370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6" t="s">
        <v>782</v>
      </c>
      <c r="C1" s="3726"/>
      <c r="D1" s="3726"/>
      <c r="E1" s="3726"/>
      <c r="F1" s="3726"/>
      <c r="G1" s="3725" t="s">
        <v>783</v>
      </c>
      <c r="H1" s="3725"/>
      <c r="I1" s="3725"/>
      <c r="J1" s="3725"/>
      <c r="K1" s="3725"/>
      <c r="L1" s="3725"/>
      <c r="N1" s="3725" t="s">
        <v>784</v>
      </c>
      <c r="O1" s="3725"/>
      <c r="P1" s="3725"/>
      <c r="Q1" s="3725"/>
      <c r="S1" s="3725" t="s">
        <v>785</v>
      </c>
      <c r="T1" s="3725"/>
      <c r="U1" s="3725"/>
      <c r="V1" s="3725"/>
      <c r="X1" s="3724" t="s">
        <v>786</v>
      </c>
      <c r="Y1" s="3725"/>
      <c r="Z1" s="3725"/>
      <c r="AA1" s="3725"/>
      <c r="AB1" s="3725"/>
      <c r="AD1" s="3724" t="s">
        <v>787</v>
      </c>
      <c r="AE1" s="3725"/>
      <c r="AF1" s="3725"/>
      <c r="AG1" s="3725"/>
      <c r="AH1" s="3725"/>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2">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2"/>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2"/>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1"/>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7">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2"/>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2"/>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1"/>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7">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2"/>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2"/>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3"/>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1">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2"/>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2"/>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3"/>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1">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2"/>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2"/>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3"/>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8">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9"/>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9"/>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0"/>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1">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2"/>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2"/>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3"/>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1">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2">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2">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3">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1">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2">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2">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3">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1">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2">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2">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3">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1">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2">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2">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3">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1">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2">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2">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3">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1">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2">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2">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3">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1">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2">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2">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3">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1">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2">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2">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3">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1">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2">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2">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3">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1">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2">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2">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3">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29" sqref="F2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44756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4.25">
      <c r="A6" s="1287"/>
      <c r="B6" s="1292" t="str">
        <f>项目基本情况!I1</f>
        <v>北京市房地产</v>
      </c>
      <c r="C6" s="3332">
        <f>项目基本情况!C12</f>
        <v>134.34</v>
      </c>
      <c r="D6" s="3332"/>
      <c r="E6" s="1287"/>
    </row>
    <row r="7" spans="1:5" ht="14.25">
      <c r="A7" s="1287"/>
      <c r="B7" s="3326" t="s">
        <v>594</v>
      </c>
      <c r="C7" s="1293" t="str">
        <f>IF('数据-取费表'!B3="万元","总价（万元）","总价（元）")</f>
        <v>总价（万元）</v>
      </c>
      <c r="D7" s="1294">
        <f ca="1">IF('数据-取费表'!E3="否",结果表!I102,'结果表 (1修多)'!I104)</f>
        <v>243</v>
      </c>
      <c r="E7" s="1287"/>
    </row>
    <row r="8" spans="1:5" ht="14.25">
      <c r="A8" s="1287"/>
      <c r="B8" s="3326"/>
      <c r="C8" s="1295" t="s">
        <v>924</v>
      </c>
      <c r="D8" s="1296" t="str">
        <f ca="1">IF('数据-取费表'!B3="万元",NUMBERSTRING(INT(D7*10000),2)&amp;"元整",NUMBERSTRING(INT(D7),2)&amp;"元整")</f>
        <v>贰佰肆拾叁万元整</v>
      </c>
      <c r="E8" s="1287"/>
    </row>
    <row r="9" spans="1:5" ht="14.25">
      <c r="A9" s="1287"/>
      <c r="B9" s="3326"/>
      <c r="C9" s="1297" t="s">
        <v>1020</v>
      </c>
      <c r="D9" s="1294">
        <f ca="1">IF('数据-取费表'!E3="否",结果表!I103,'结果表 (1修多)'!I105)</f>
        <v>18088</v>
      </c>
      <c r="E9" s="1287"/>
    </row>
    <row r="10" spans="1:5" ht="14.25">
      <c r="A10" s="1287"/>
      <c r="B10" s="333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3" t="str">
        <f>IF('数据-取费表'!E3="否",结果表!F110,'结果表 (1修多)'!F112)</f>
        <v>3.房地产抵押价值</v>
      </c>
      <c r="C15" s="1288" t="str">
        <f>C7</f>
        <v>总价（万元）</v>
      </c>
      <c r="D15" s="1294">
        <f ca="1">IF('数据-取费表'!E3="否",结果表!I110,'结果表 (1修多)'!I112)</f>
        <v>243</v>
      </c>
      <c r="E15" s="1287"/>
    </row>
    <row r="16" spans="1:5" ht="14.25">
      <c r="A16" s="1287"/>
      <c r="B16" s="3333"/>
      <c r="C16" s="1295" t="s">
        <v>924</v>
      </c>
      <c r="D16" s="1294" t="str">
        <f ca="1">IF('数据-取费表'!B3="万元",NUMBERSTRING(INT(D15*10000),2)&amp;"元整",NUMBERSTRING(INT(D15),2)&amp;"元整")</f>
        <v>贰佰肆拾叁万元整</v>
      </c>
      <c r="E16" s="1287"/>
    </row>
    <row r="17" spans="1:5" ht="14.25">
      <c r="A17" s="1287"/>
      <c r="B17" s="3333"/>
      <c r="C17" s="1297" t="s">
        <v>1020</v>
      </c>
      <c r="D17" s="1294">
        <f ca="1">IF('数据-取费表'!E3="否",结果表!I111,'结果表 (1修多)'!I113)</f>
        <v>18088</v>
      </c>
      <c r="E17" s="1287"/>
    </row>
    <row r="18" spans="1:5" ht="14.25">
      <c r="A18" s="1287"/>
      <c r="B18" s="3333" t="str">
        <f>IF('数据-取费表'!E3="否",结果表!F112,'结果表 (1修多)'!F114)</f>
        <v>——</v>
      </c>
      <c r="C18" s="1288" t="str">
        <f>C7</f>
        <v>总价（万元）</v>
      </c>
      <c r="D18" s="1294" t="str">
        <f>IF('数据-取费表'!E3="否",结果表!I112,'结果表 (1修多)'!I114)</f>
        <v>——</v>
      </c>
      <c r="E18" s="1287"/>
    </row>
    <row r="19" spans="1:5" ht="14.25">
      <c r="A19" s="1287"/>
      <c r="B19" s="3333"/>
      <c r="C19" s="1295" t="s">
        <v>924</v>
      </c>
      <c r="D19" s="1294" t="e">
        <f>IF('数据-取费表'!B3="万元",NUMBERSTRING(INT(D18*10000),2)&amp;"元整",NUMBERSTRING(INT(D18),2)&amp;"元整")</f>
        <v>#VALUE!</v>
      </c>
      <c r="E19" s="1287"/>
    </row>
    <row r="20" spans="1:5" ht="14.25">
      <c r="A20" s="1287"/>
      <c r="B20" s="3333"/>
      <c r="C20" s="1297" t="s">
        <v>1020</v>
      </c>
      <c r="D20" s="1294" t="str">
        <f>IF('数据-取费表'!E3="否",结果表!I113,'结果表 (1修多)'!I115)</f>
        <v>——</v>
      </c>
      <c r="E20" s="1287"/>
    </row>
    <row r="21" spans="1:5" ht="14.25">
      <c r="A21" s="1287"/>
      <c r="B21" s="3326" t="str">
        <f>IF('数据-取费表'!E3="否",结果表!F114,'结果表 (1修多)'!F116)</f>
        <v>——</v>
      </c>
      <c r="C21" s="1293" t="str">
        <f>C7</f>
        <v>总价（万元）</v>
      </c>
      <c r="D21" s="1294" t="str">
        <f>IF('数据-取费表'!E3="否",结果表!I114,'结果表 (1修多)'!I116)</f>
        <v>——</v>
      </c>
      <c r="E21" s="1287"/>
    </row>
    <row r="22" spans="1:5" ht="14.25">
      <c r="A22" s="1287"/>
      <c r="B22" s="3326"/>
      <c r="C22" s="1295" t="s">
        <v>924</v>
      </c>
      <c r="D22" s="1296" t="e">
        <f>IF('数据-取费表'!B3="万元",NUMBERSTRING(INT(D21*10000),2)&amp;"元整",NUMBERSTRING(INT(D21),2)&amp;"元整")</f>
        <v>#VALUE!</v>
      </c>
      <c r="E22" s="1287"/>
    </row>
    <row r="23" spans="1:5" ht="15" thickBot="1">
      <c r="A23" s="1287"/>
      <c r="B23" s="332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4.25">
      <c r="A28" s="1287"/>
      <c r="B28" s="3334" t="s">
        <v>594</v>
      </c>
      <c r="C28" s="1304" t="s">
        <v>925</v>
      </c>
      <c r="D28" s="1305">
        <f ca="1">IF('数据-取费表'!E3="否",结果表!I102,'结果表 (1修多)'!I104)</f>
        <v>243</v>
      </c>
      <c r="E28" s="1287"/>
    </row>
    <row r="29" spans="1:5" ht="14.25">
      <c r="A29" s="1287"/>
      <c r="B29" s="3335"/>
      <c r="C29" s="1306" t="s">
        <v>924</v>
      </c>
      <c r="D29" s="1307" t="str">
        <f ca="1">IF('数据-取费表'!B3="万元",NUMBERSTRING(INT(D28*10000),2)&amp;"元整",NUMBERSTRING(INT(D28),2)&amp;"元整")</f>
        <v>贰佰肆拾叁万元整</v>
      </c>
      <c r="E29" s="1287"/>
    </row>
    <row r="30" spans="1:5" ht="14.25">
      <c r="A30" s="1287"/>
      <c r="B30" s="3336"/>
      <c r="C30" s="1297" t="s">
        <v>927</v>
      </c>
      <c r="D30" s="1308">
        <f ca="1">IF('数据-取费表'!E3="否",结果表!I103,'结果表 (1修多)'!I105)</f>
        <v>18088</v>
      </c>
      <c r="E30" s="1287"/>
    </row>
    <row r="31" spans="1:5" ht="14.25">
      <c r="A31" s="1287"/>
      <c r="B31" s="3339" t="str">
        <f>B10</f>
        <v>2.估价师所知悉的法定优先受偿款</v>
      </c>
      <c r="C31" s="1309" t="s">
        <v>926</v>
      </c>
      <c r="D31" s="1310">
        <f>IF('数据-取费表'!E3="否",结果表!I105,'结果表 (1修多)'!I107)</f>
        <v>0</v>
      </c>
      <c r="E31" s="1287"/>
    </row>
    <row r="32" spans="1:5" ht="14.25">
      <c r="A32" s="1287"/>
      <c r="B32" s="334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7" t="str">
        <f>B15</f>
        <v>3.房地产抵押价值</v>
      </c>
      <c r="C36" s="1309" t="str">
        <f>C28</f>
        <v>总价</v>
      </c>
      <c r="D36" s="1310">
        <f ca="1">IF('数据-取费表'!E3="否",结果表!I110,'结果表 (1修多)'!I112)</f>
        <v>243</v>
      </c>
      <c r="E36" s="1287"/>
    </row>
    <row r="37" spans="1:5" ht="14.25">
      <c r="A37" s="1287"/>
      <c r="B37" s="3337"/>
      <c r="C37" s="1306" t="s">
        <v>924</v>
      </c>
      <c r="D37" s="1311" t="str">
        <f ca="1">IF('数据-取费表'!B3="万元",NUMBERSTRING(INT(D36*10000),2)&amp;"元整",NUMBERSTRING(INT(D36),2)&amp;"元整")</f>
        <v>贰佰肆拾叁万元整</v>
      </c>
      <c r="E37" s="1287"/>
    </row>
    <row r="38" spans="1:5" ht="14.25">
      <c r="A38" s="1287"/>
      <c r="B38" s="3337"/>
      <c r="C38" s="1297" t="s">
        <v>928</v>
      </c>
      <c r="D38" s="1308">
        <f ca="1">IF('数据-取费表'!E3="否",结果表!D113,'结果表 (1修多)'!D117)</f>
        <v>18088</v>
      </c>
      <c r="E38" s="1287"/>
    </row>
    <row r="39" spans="1:5" ht="14.25">
      <c r="A39" s="1287"/>
      <c r="B39" s="3338" t="str">
        <f>B18</f>
        <v>——</v>
      </c>
      <c r="C39" s="1309" t="str">
        <f>C28</f>
        <v>总价</v>
      </c>
      <c r="D39" s="1310" t="str">
        <f>IF('数据-取费表'!E3="否",结果表!I112,'结果表 (1修多)'!I114)</f>
        <v>——</v>
      </c>
      <c r="E39" s="1287"/>
    </row>
    <row r="40" spans="1:5" ht="14.25">
      <c r="A40" s="1287"/>
      <c r="B40" s="3338"/>
      <c r="C40" s="1306" t="s">
        <v>924</v>
      </c>
      <c r="D40" s="1311" t="e">
        <f>IF('数据-取费表'!B3="万元",NUMBERSTRING(INT(D39*10000),2)&amp;"元整",NUMBERSTRING(INT(D39),2)&amp;"元整")</f>
        <v>#VALUE!</v>
      </c>
      <c r="E40" s="1287"/>
    </row>
    <row r="41" spans="1:5" ht="14.25">
      <c r="A41" s="1287"/>
      <c r="B41" s="3338"/>
      <c r="C41" s="1297" t="s">
        <v>928</v>
      </c>
      <c r="D41" s="1308" t="str">
        <f>IF('数据-取费表'!E3="否",结果表!D115,'结果表 (1修多)'!D119)</f>
        <v>——</v>
      </c>
      <c r="E41" s="1287"/>
    </row>
    <row r="42" spans="1:5" ht="14.25">
      <c r="A42" s="1287"/>
      <c r="B42" s="3337" t="str">
        <f>B21</f>
        <v>——</v>
      </c>
      <c r="C42" s="1309" t="str">
        <f>C28</f>
        <v>总价</v>
      </c>
      <c r="D42" s="1310" t="str">
        <f>IF('数据-取费表'!E3="否",结果表!I114,'结果表 (1修多)'!I116)</f>
        <v>——</v>
      </c>
      <c r="E42" s="1287"/>
    </row>
    <row r="43" spans="1:5" ht="14.25">
      <c r="A43" s="1287"/>
      <c r="B43" s="3339"/>
      <c r="C43" s="1306" t="s">
        <v>924</v>
      </c>
      <c r="D43" s="1312" t="e">
        <f>IF('数据-取费表'!B3="万元",NUMBERSTRING(INT(D42*10000),2)&amp;"元整",NUMBERSTRING(INT(D42),2)&amp;"元整")</f>
        <v>#VALUE!</v>
      </c>
      <c r="E43" s="1287"/>
    </row>
    <row r="44" spans="1:5" ht="15" thickBot="1">
      <c r="A44" s="1287"/>
      <c r="B44" s="334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134.34</v>
      </c>
      <c r="C4" s="776">
        <f>结果表!C121</f>
        <v>0</v>
      </c>
      <c r="D4" s="776">
        <f ca="1">IF('数据-取费表'!E3="否",结果表!D121,'结果表 (1修多)'!D125)</f>
        <v>178</v>
      </c>
      <c r="E4" s="776">
        <f ca="1">IF('数据-取费表'!E3="否",结果表!E121,'结果表 (1修多)'!E125)</f>
        <v>13250</v>
      </c>
      <c r="F4" s="776">
        <f ca="1">IF('数据-取费表'!E3="否",结果表!F121,'结果表 (1修多)'!F125)</f>
        <v>65</v>
      </c>
      <c r="G4" s="776">
        <f ca="1">IF('数据-取费表'!E3="否",结果表!G121,'结果表 (1修多)'!G125)</f>
        <v>4838</v>
      </c>
      <c r="H4" s="776">
        <f ca="1">IF('数据-取费表'!E3="否",结果表!H121,'结果表 (1修多)'!H125)</f>
        <v>243</v>
      </c>
      <c r="I4" s="776">
        <f ca="1">IF('数据-取费表'!E3="否",结果表!I121,'结果表 (1修多)'!I125)</f>
        <v>18088</v>
      </c>
    </row>
    <row r="5" spans="1:9" ht="15">
      <c r="A5" s="3351" t="s">
        <v>1030</v>
      </c>
      <c r="B5" s="3351"/>
      <c r="C5" s="3351"/>
      <c r="D5" s="3349" t="str">
        <f ca="1">IF('数据-取费表'!E3="否",结果表!D122,'结果表 (1修多)'!D126)</f>
        <v>壹佰柒拾捌万元整</v>
      </c>
      <c r="E5" s="3349"/>
      <c r="F5" s="3349" t="str">
        <f ca="1">IF('数据-取费表'!E3="否",结果表!F122,'结果表 (1修多)'!F126)</f>
        <v>陆拾伍万元整</v>
      </c>
      <c r="G5" s="3349"/>
      <c r="H5" s="3349" t="str">
        <f ca="1">IF('数据-取费表'!E3="否",结果表!H122,'结果表 (1修多)'!H126)</f>
        <v>贰佰肆拾叁万元整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 ca="1">IF('数据-取费表'!E3="否",结果表!D125,'结果表 (1修多)'!D129)</f>
        <v>243</v>
      </c>
      <c r="E8" s="3350"/>
      <c r="F8" s="3350"/>
      <c r="G8" s="3350"/>
      <c r="H8" s="3350"/>
      <c r="I8" s="3350"/>
    </row>
    <row r="9" spans="1:9" ht="15">
      <c r="A9" s="3351" t="s">
        <v>1030</v>
      </c>
      <c r="B9" s="3351"/>
      <c r="C9" s="3351"/>
      <c r="D9" s="3349">
        <f ca="1">IF('数据-取费表'!E3="否",结果表!D126,'结果表 (1修多)'!D130)</f>
        <v>18088</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0" t="s">
        <v>2496</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0" t="str">
        <f>IF(项目基本情况!D4="抵押","4.本次评估估价师所知悉的法定优先受偿款情况说明如下：","——")</f>
        <v>4.本次评估估价师所知悉的法定优先受偿款情况说明如下：</v>
      </c>
      <c r="B15" s="3362"/>
      <c r="C15" s="3362"/>
      <c r="D15" s="3362"/>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1" t="s">
        <v>1045</v>
      </c>
      <c r="B17" s="3361"/>
      <c r="C17" s="3361"/>
      <c r="D17" s="3361"/>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2497</v>
      </c>
      <c r="B20" s="3361"/>
      <c r="C20" s="3361"/>
      <c r="D20" s="336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40" t="s">
        <v>1129</v>
      </c>
      <c r="B19" s="1341"/>
      <c r="C19" s="1342"/>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3" t="s">
        <v>1135</v>
      </c>
    </row>
    <row r="24" spans="1:3" ht="14.25">
      <c r="A24" s="3368"/>
      <c r="B24" s="3369"/>
      <c r="C24" s="1343" t="s">
        <v>1136</v>
      </c>
    </row>
    <row r="25" spans="1:3" ht="14.25">
      <c r="A25" s="3368"/>
      <c r="B25" s="3369"/>
      <c r="C25" s="1343" t="s">
        <v>1137</v>
      </c>
    </row>
    <row r="26" spans="1:3" ht="14.25">
      <c r="A26" s="3368"/>
      <c r="B26" s="3369"/>
      <c r="C26" s="1343" t="s">
        <v>1138</v>
      </c>
    </row>
    <row r="27" spans="1:3" ht="14.25">
      <c r="A27" s="3368"/>
      <c r="B27" s="3369"/>
      <c r="C27" s="1343" t="s">
        <v>1139</v>
      </c>
    </row>
    <row r="28" spans="1:3" ht="14.25">
      <c r="A28" s="3368"/>
      <c r="B28" s="3369"/>
      <c r="C28" s="1343" t="s">
        <v>1140</v>
      </c>
    </row>
    <row r="29" spans="1:3" ht="14.25">
      <c r="A29" s="3368"/>
      <c r="B29" s="3369"/>
      <c r="C29" s="1343" t="s">
        <v>1141</v>
      </c>
    </row>
    <row r="30" spans="1:3" ht="14.25">
      <c r="A30" s="3368"/>
      <c r="B30" s="3369"/>
      <c r="C30" s="1343" t="s">
        <v>1142</v>
      </c>
    </row>
    <row r="31" spans="1:3" ht="14.25">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44757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7"/>
      <c r="E18" s="3375" t="s">
        <v>584</v>
      </c>
      <c r="F18" s="3374"/>
      <c r="G18" s="337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2022-07-15T09:06:02Z</dcterms:modified>
</cp:coreProperties>
</file>